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Bubb\Documents\a IBS\Data Models\BAF Data Model\BAF Rate Generation\Updates Sprint 56\"/>
    </mc:Choice>
  </mc:AlternateContent>
  <xr:revisionPtr revIDLastSave="0" documentId="13_ncr:1_{3CA22775-9406-4CBC-A80B-59C7CF0862AA}" xr6:coauthVersionLast="47" xr6:coauthVersionMax="47" xr10:uidLastSave="{00000000-0000-0000-0000-000000000000}"/>
  <bookViews>
    <workbookView xWindow="23880" yWindow="-120" windowWidth="29040" windowHeight="15840" tabRatio="831" activeTab="1" xr2:uid="{D25F7F13-59A5-41D7-8898-9FC0FE5D1ED8}"/>
  </bookViews>
  <sheets>
    <sheet name="Example" sheetId="20" r:id="rId1"/>
    <sheet name="BAF PDM Summary" sheetId="21" r:id="rId2"/>
    <sheet name="project" sheetId="14" r:id="rId3"/>
    <sheet name="BAF Location" sheetId="15" r:id="rId4"/>
    <sheet name="BAF Fuel Type" sheetId="16" r:id="rId5"/>
    <sheet name="route" sheetId="19" r:id="rId6"/>
    <sheet name="cargo_type" sheetId="17" r:id="rId7"/>
    <sheet name="baf_freight_payable_unit" sheetId="18" r:id="rId8"/>
    <sheet name="project_baf_parameter" sheetId="1" r:id="rId9"/>
    <sheet name="project_baf_location" sheetId="23" r:id="rId10"/>
    <sheet name="project_baf_fuel_type" sheetId="25" r:id="rId11"/>
    <sheet name="project_baf_baseline_fuel_price" sheetId="2" r:id="rId12"/>
    <sheet name="project_baf_route_location" sheetId="22" r:id="rId13"/>
    <sheet name="project_baf_route_fuel_mixing_%" sheetId="4" r:id="rId14"/>
    <sheet name="project_baf_technical_factor" sheetId="3" r:id="rId15"/>
    <sheet name="baf_monthly_fuel_price" sheetId="6" r:id="rId16"/>
    <sheet name="Project BAF Rate Gen Buffers VW" sheetId="13" r:id="rId17"/>
    <sheet name="Project BAF Rate Gen Prices VW" sheetId="11" r:id="rId18"/>
    <sheet name="Project BAF Rates Gen Source VW" sheetId="12" r:id="rId19"/>
    <sheet name="Validation" sheetId="24" r:id="rId20"/>
  </sheets>
  <definedNames>
    <definedName name="_xlnm._FilterDatabase" localSheetId="16" hidden="1">'Project BAF Rate Gen Buffers VW'!$C$1:$Q$9</definedName>
    <definedName name="_xlnm._FilterDatabase" localSheetId="17" hidden="1">'Project BAF Rate Gen Prices VW'!$A$1:$Y$89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3" i="12" l="1"/>
  <c r="Q2" i="13"/>
  <c r="Q14" i="13"/>
  <c r="E14" i="12"/>
  <c r="E13" i="12"/>
  <c r="E12" i="12"/>
  <c r="E11" i="12"/>
  <c r="E10" i="12"/>
  <c r="E9" i="12"/>
  <c r="E8" i="12"/>
  <c r="E7" i="12"/>
  <c r="E6" i="12"/>
  <c r="E5" i="12"/>
  <c r="E4" i="12"/>
  <c r="G51" i="12"/>
  <c r="G44" i="12"/>
  <c r="G42" i="12"/>
  <c r="G29" i="12"/>
  <c r="G26" i="12"/>
  <c r="G25" i="12"/>
  <c r="G12" i="12"/>
  <c r="H8" i="12"/>
  <c r="G37" i="12"/>
  <c r="H37" i="12"/>
  <c r="E17" i="13"/>
  <c r="H53" i="12" s="1"/>
  <c r="D17" i="13"/>
  <c r="G13" i="12" s="1"/>
  <c r="E16" i="13"/>
  <c r="H49" i="12" s="1"/>
  <c r="D16" i="13"/>
  <c r="G50" i="12" s="1"/>
  <c r="E15" i="13"/>
  <c r="H45" i="12" s="1"/>
  <c r="D15" i="13"/>
  <c r="G46" i="12" s="1"/>
  <c r="E14" i="13"/>
  <c r="H44" i="12" s="1"/>
  <c r="D14" i="13"/>
  <c r="G4" i="12" s="1"/>
  <c r="N53" i="12"/>
  <c r="N52" i="12"/>
  <c r="N51" i="12"/>
  <c r="N50" i="12"/>
  <c r="N49" i="12"/>
  <c r="N48" i="12"/>
  <c r="N35" i="12"/>
  <c r="N34" i="12"/>
  <c r="N33" i="12"/>
  <c r="N32" i="12"/>
  <c r="N31" i="12"/>
  <c r="N30" i="12"/>
  <c r="N14" i="12"/>
  <c r="N13" i="12"/>
  <c r="N12" i="12"/>
  <c r="N11" i="12"/>
  <c r="N10" i="12"/>
  <c r="N9" i="12"/>
  <c r="N47" i="12"/>
  <c r="N46" i="12"/>
  <c r="N45" i="12"/>
  <c r="N44" i="12"/>
  <c r="N43" i="12"/>
  <c r="N42" i="12"/>
  <c r="N29" i="12"/>
  <c r="N28" i="12"/>
  <c r="N27" i="12"/>
  <c r="N26" i="12"/>
  <c r="N25" i="12"/>
  <c r="N24" i="12"/>
  <c r="N4" i="12"/>
  <c r="N5" i="12"/>
  <c r="N6" i="12"/>
  <c r="N7" i="12"/>
  <c r="N8" i="12"/>
  <c r="N3" i="12"/>
  <c r="N1" i="12"/>
  <c r="AB53" i="12"/>
  <c r="AB50" i="12"/>
  <c r="AB47" i="12"/>
  <c r="AB44" i="12"/>
  <c r="AB35" i="12"/>
  <c r="AB32" i="12"/>
  <c r="AB29" i="12"/>
  <c r="AB26" i="12"/>
  <c r="AB14" i="12"/>
  <c r="AB11" i="12"/>
  <c r="AB8" i="12"/>
  <c r="AB5" i="12"/>
  <c r="AB52" i="12"/>
  <c r="AB51" i="12"/>
  <c r="AB49" i="12"/>
  <c r="AB48" i="12"/>
  <c r="AB46" i="12"/>
  <c r="AB45" i="12"/>
  <c r="AB43" i="12"/>
  <c r="AB42" i="12"/>
  <c r="AB34" i="12"/>
  <c r="AB33" i="12"/>
  <c r="AB31" i="12"/>
  <c r="AB30" i="12"/>
  <c r="AB28" i="12"/>
  <c r="AB27" i="12"/>
  <c r="AB25" i="12"/>
  <c r="AB24" i="12"/>
  <c r="AB13" i="12"/>
  <c r="AB12" i="12"/>
  <c r="AB10" i="12"/>
  <c r="AB9" i="12"/>
  <c r="AB7" i="12"/>
  <c r="AB6" i="12"/>
  <c r="AB4" i="12"/>
  <c r="AB3" i="12"/>
  <c r="AB1" i="12"/>
  <c r="Z1" i="12"/>
  <c r="Z23" i="12" s="1"/>
  <c r="L1" i="12"/>
  <c r="M1" i="12"/>
  <c r="O1" i="12"/>
  <c r="P1" i="12"/>
  <c r="Q1" i="12"/>
  <c r="R1" i="12"/>
  <c r="S1" i="12"/>
  <c r="T1" i="12"/>
  <c r="U1" i="12"/>
  <c r="V1" i="12"/>
  <c r="W1" i="12"/>
  <c r="X1" i="12"/>
  <c r="AC1" i="12"/>
  <c r="AD1" i="12"/>
  <c r="AE1" i="12"/>
  <c r="AF1" i="12"/>
  <c r="AG1" i="12"/>
  <c r="AH1" i="12"/>
  <c r="AI1" i="12"/>
  <c r="AJ1" i="12"/>
  <c r="AK1" i="12"/>
  <c r="AL1" i="12"/>
  <c r="AL41" i="12"/>
  <c r="AK41" i="12"/>
  <c r="AJ41" i="12"/>
  <c r="AI41" i="12"/>
  <c r="AH41" i="12"/>
  <c r="AG41" i="12"/>
  <c r="AF41" i="12"/>
  <c r="AE41" i="12"/>
  <c r="AD41" i="12"/>
  <c r="AL23" i="12"/>
  <c r="AK23" i="12"/>
  <c r="AJ23" i="12"/>
  <c r="AI23" i="12"/>
  <c r="AH23" i="12"/>
  <c r="AG23" i="12"/>
  <c r="AF23" i="12"/>
  <c r="AE23" i="12"/>
  <c r="AD23" i="12"/>
  <c r="U1" i="11"/>
  <c r="T1" i="11"/>
  <c r="S1" i="11"/>
  <c r="R38" i="11"/>
  <c r="R39" i="11"/>
  <c r="R40" i="11"/>
  <c r="R41" i="11"/>
  <c r="R42" i="11"/>
  <c r="R43" i="11"/>
  <c r="R44" i="11"/>
  <c r="R37" i="11"/>
  <c r="R1" i="11"/>
  <c r="R21" i="11"/>
  <c r="R22" i="11"/>
  <c r="R23" i="11"/>
  <c r="R24" i="11"/>
  <c r="R25" i="11"/>
  <c r="R26" i="11"/>
  <c r="R27" i="11"/>
  <c r="R20" i="11"/>
  <c r="R10" i="11"/>
  <c r="R9" i="11"/>
  <c r="R8" i="11"/>
  <c r="R7" i="11"/>
  <c r="R6" i="11"/>
  <c r="R5" i="11"/>
  <c r="R4" i="11"/>
  <c r="R3" i="11"/>
  <c r="P1" i="11"/>
  <c r="I1" i="11"/>
  <c r="D1" i="6"/>
  <c r="K1" i="11" s="1"/>
  <c r="C1" i="6"/>
  <c r="J1" i="11" s="1"/>
  <c r="B1" i="6"/>
  <c r="A1" i="6"/>
  <c r="H1" i="11" s="1"/>
  <c r="E1" i="3"/>
  <c r="B1" i="3"/>
  <c r="A1" i="3"/>
  <c r="E1" i="22"/>
  <c r="C1" i="22"/>
  <c r="B1" i="22"/>
  <c r="C1" i="23"/>
  <c r="C1" i="2" s="1"/>
  <c r="D1" i="25"/>
  <c r="C1" i="25"/>
  <c r="E1" i="4" s="1"/>
  <c r="O1" i="13" s="1"/>
  <c r="M1" i="13"/>
  <c r="M9" i="13"/>
  <c r="M7" i="13"/>
  <c r="M8" i="13"/>
  <c r="M6" i="13"/>
  <c r="M5" i="13"/>
  <c r="M3" i="13"/>
  <c r="M4" i="13"/>
  <c r="M2" i="13"/>
  <c r="E5" i="19"/>
  <c r="E4" i="19"/>
  <c r="E3" i="19"/>
  <c r="E2" i="19"/>
  <c r="Q1" i="11"/>
  <c r="N1" i="11"/>
  <c r="M1" i="11"/>
  <c r="L1" i="11"/>
  <c r="C1" i="11"/>
  <c r="B1" i="11"/>
  <c r="P1" i="13"/>
  <c r="B1" i="13"/>
  <c r="A1" i="13"/>
  <c r="D3" i="18"/>
  <c r="D4" i="18"/>
  <c r="D2" i="18"/>
  <c r="D1" i="18"/>
  <c r="H7" i="12" l="1"/>
  <c r="G33" i="12"/>
  <c r="H10" i="12"/>
  <c r="G43" i="12"/>
  <c r="H14" i="12"/>
  <c r="G3" i="12"/>
  <c r="G24" i="12"/>
  <c r="G47" i="12"/>
  <c r="H5" i="12"/>
  <c r="H4" i="12"/>
  <c r="H3" i="12"/>
  <c r="G8" i="12"/>
  <c r="G10" i="12"/>
  <c r="H24" i="12"/>
  <c r="H28" i="12"/>
  <c r="H32" i="12"/>
  <c r="H42" i="12"/>
  <c r="H46" i="12"/>
  <c r="H50" i="12"/>
  <c r="G5" i="12"/>
  <c r="G7" i="12"/>
  <c r="H12" i="12"/>
  <c r="H25" i="12"/>
  <c r="H29" i="12"/>
  <c r="H33" i="12"/>
  <c r="H43" i="12"/>
  <c r="H47" i="12"/>
  <c r="H51" i="12"/>
  <c r="G9" i="12"/>
  <c r="G30" i="12"/>
  <c r="G34" i="12"/>
  <c r="G48" i="12"/>
  <c r="G52" i="12"/>
  <c r="H9" i="12"/>
  <c r="G14" i="12"/>
  <c r="H26" i="12"/>
  <c r="H30" i="12"/>
  <c r="H34" i="12"/>
  <c r="H48" i="12"/>
  <c r="H52" i="12"/>
  <c r="G6" i="12"/>
  <c r="H11" i="12"/>
  <c r="H13" i="12"/>
  <c r="G27" i="12"/>
  <c r="G31" i="12"/>
  <c r="G35" i="12"/>
  <c r="G45" i="12"/>
  <c r="G49" i="12"/>
  <c r="G53" i="12"/>
  <c r="H6" i="12"/>
  <c r="G11" i="12"/>
  <c r="H27" i="12"/>
  <c r="H31" i="12"/>
  <c r="H35" i="12"/>
  <c r="G28" i="12"/>
  <c r="G32" i="12"/>
  <c r="E1" i="2"/>
  <c r="X53" i="12"/>
  <c r="X52" i="12"/>
  <c r="X51" i="12"/>
  <c r="X50" i="12"/>
  <c r="X49" i="12"/>
  <c r="X48" i="12"/>
  <c r="X47" i="12"/>
  <c r="X46" i="12"/>
  <c r="X45" i="12"/>
  <c r="X44" i="12"/>
  <c r="X43" i="12"/>
  <c r="X42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14" i="12"/>
  <c r="X13" i="12"/>
  <c r="X12" i="12"/>
  <c r="X11" i="12"/>
  <c r="X10" i="12"/>
  <c r="X9" i="12"/>
  <c r="X8" i="12"/>
  <c r="X7" i="12"/>
  <c r="X6" i="12"/>
  <c r="X5" i="12"/>
  <c r="X4" i="12"/>
  <c r="X3" i="12"/>
  <c r="T53" i="12"/>
  <c r="S53" i="12"/>
  <c r="T52" i="12"/>
  <c r="S52" i="12"/>
  <c r="T51" i="12"/>
  <c r="S51" i="12"/>
  <c r="T50" i="12"/>
  <c r="S50" i="12"/>
  <c r="T49" i="12"/>
  <c r="S49" i="12"/>
  <c r="T48" i="12"/>
  <c r="S48" i="12"/>
  <c r="T47" i="12"/>
  <c r="S47" i="12"/>
  <c r="T46" i="12"/>
  <c r="S46" i="12"/>
  <c r="T45" i="12"/>
  <c r="S45" i="12"/>
  <c r="T44" i="12"/>
  <c r="S44" i="12"/>
  <c r="T43" i="12"/>
  <c r="S43" i="12"/>
  <c r="T42" i="12"/>
  <c r="S42" i="12"/>
  <c r="R53" i="12"/>
  <c r="R52" i="12"/>
  <c r="R51" i="12"/>
  <c r="R50" i="12"/>
  <c r="R49" i="12"/>
  <c r="R48" i="12"/>
  <c r="R47" i="12"/>
  <c r="R46" i="12"/>
  <c r="R45" i="12"/>
  <c r="R44" i="12"/>
  <c r="R43" i="12"/>
  <c r="R42" i="12"/>
  <c r="Q53" i="12"/>
  <c r="Q52" i="12"/>
  <c r="Q51" i="12"/>
  <c r="Q50" i="12"/>
  <c r="Q49" i="12"/>
  <c r="Q48" i="12"/>
  <c r="Q47" i="12"/>
  <c r="Q46" i="12"/>
  <c r="Q45" i="12"/>
  <c r="Q44" i="12"/>
  <c r="Q43" i="12"/>
  <c r="Q42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T35" i="12"/>
  <c r="S35" i="12"/>
  <c r="T34" i="12"/>
  <c r="S34" i="12"/>
  <c r="T33" i="12"/>
  <c r="S33" i="12"/>
  <c r="T32" i="12"/>
  <c r="S32" i="12"/>
  <c r="T31" i="12"/>
  <c r="S31" i="12"/>
  <c r="T30" i="12"/>
  <c r="S30" i="12"/>
  <c r="T29" i="12"/>
  <c r="S29" i="12"/>
  <c r="T28" i="12"/>
  <c r="S28" i="12"/>
  <c r="T27" i="12"/>
  <c r="S27" i="12"/>
  <c r="T26" i="12"/>
  <c r="S26" i="12"/>
  <c r="T25" i="12"/>
  <c r="S25" i="12"/>
  <c r="T24" i="12"/>
  <c r="S24" i="12"/>
  <c r="R35" i="12"/>
  <c r="R34" i="12"/>
  <c r="R33" i="12"/>
  <c r="R32" i="12"/>
  <c r="R31" i="12"/>
  <c r="R30" i="12"/>
  <c r="R29" i="12"/>
  <c r="R28" i="12"/>
  <c r="R27" i="12"/>
  <c r="R26" i="12"/>
  <c r="R25" i="12"/>
  <c r="R24" i="12"/>
  <c r="Q35" i="12"/>
  <c r="Q34" i="12"/>
  <c r="Q33" i="12"/>
  <c r="Q32" i="12"/>
  <c r="Q31" i="12"/>
  <c r="Q30" i="12"/>
  <c r="Q29" i="12"/>
  <c r="Q28" i="12"/>
  <c r="Q27" i="12"/>
  <c r="Q26" i="12"/>
  <c r="Q25" i="12"/>
  <c r="Q24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T14" i="12"/>
  <c r="S14" i="12"/>
  <c r="T13" i="12"/>
  <c r="S13" i="12"/>
  <c r="T12" i="12"/>
  <c r="S12" i="12"/>
  <c r="T11" i="12"/>
  <c r="S11" i="12"/>
  <c r="T10" i="12"/>
  <c r="S10" i="12"/>
  <c r="T9" i="12"/>
  <c r="S9" i="12"/>
  <c r="T8" i="12"/>
  <c r="S8" i="12"/>
  <c r="T7" i="12"/>
  <c r="S7" i="12"/>
  <c r="T6" i="12"/>
  <c r="S6" i="12"/>
  <c r="T5" i="12"/>
  <c r="S5" i="12"/>
  <c r="T4" i="12"/>
  <c r="S4" i="12"/>
  <c r="T3" i="12"/>
  <c r="S3" i="12"/>
  <c r="R14" i="12"/>
  <c r="R13" i="12"/>
  <c r="R12" i="12"/>
  <c r="R11" i="12"/>
  <c r="R10" i="12"/>
  <c r="R9" i="12"/>
  <c r="R8" i="12"/>
  <c r="R7" i="12"/>
  <c r="R6" i="12"/>
  <c r="R5" i="12"/>
  <c r="R4" i="12"/>
  <c r="R3" i="12"/>
  <c r="Q14" i="12"/>
  <c r="Q13" i="12"/>
  <c r="Q12" i="12"/>
  <c r="Q11" i="12"/>
  <c r="Q10" i="12"/>
  <c r="Q9" i="12"/>
  <c r="Q8" i="12"/>
  <c r="Q7" i="12"/>
  <c r="Q6" i="12"/>
  <c r="Q5" i="12"/>
  <c r="Q4" i="12"/>
  <c r="Q3" i="12"/>
  <c r="K14" i="12"/>
  <c r="K13" i="12"/>
  <c r="K12" i="12"/>
  <c r="K11" i="12"/>
  <c r="K10" i="12"/>
  <c r="K9" i="12"/>
  <c r="K8" i="12"/>
  <c r="K7" i="12"/>
  <c r="K6" i="12"/>
  <c r="K5" i="12"/>
  <c r="K4" i="12"/>
  <c r="K3" i="12"/>
  <c r="N23" i="12"/>
  <c r="G7" i="3"/>
  <c r="G4" i="3"/>
  <c r="C13" i="3"/>
  <c r="C12" i="3"/>
  <c r="C1" i="3"/>
  <c r="C7" i="4"/>
  <c r="C1" i="4"/>
  <c r="E9" i="4"/>
  <c r="E7" i="4"/>
  <c r="E5" i="4"/>
  <c r="E3" i="4"/>
  <c r="E8" i="4"/>
  <c r="E6" i="4"/>
  <c r="E4" i="4"/>
  <c r="E2" i="4"/>
  <c r="D9" i="4"/>
  <c r="D7" i="4"/>
  <c r="D5" i="4"/>
  <c r="D3" i="4"/>
  <c r="D8" i="4"/>
  <c r="D6" i="4"/>
  <c r="D4" i="4"/>
  <c r="D2" i="4"/>
  <c r="C3" i="22"/>
  <c r="C5" i="4" s="1"/>
  <c r="C4" i="22"/>
  <c r="C6" i="4" s="1"/>
  <c r="C5" i="22"/>
  <c r="C11" i="3" s="1"/>
  <c r="C2" i="22"/>
  <c r="C3" i="3" s="1"/>
  <c r="E1" i="18"/>
  <c r="G1" i="3" s="1"/>
  <c r="E2" i="18"/>
  <c r="G8" i="3" s="1"/>
  <c r="E3" i="18"/>
  <c r="E4" i="18"/>
  <c r="G13" i="3" s="1"/>
  <c r="E5" i="2"/>
  <c r="E3" i="2"/>
  <c r="E4" i="2"/>
  <c r="E2" i="2"/>
  <c r="D2" i="2"/>
  <c r="D5" i="2"/>
  <c r="D4" i="2"/>
  <c r="D3" i="2"/>
  <c r="C2" i="25"/>
  <c r="D2" i="25"/>
  <c r="C3" i="25"/>
  <c r="D3" i="25"/>
  <c r="B3" i="25"/>
  <c r="B2" i="25"/>
  <c r="A3" i="25"/>
  <c r="A2" i="25"/>
  <c r="G9" i="3" l="1"/>
  <c r="G11" i="3"/>
  <c r="G12" i="3"/>
  <c r="G5" i="3"/>
  <c r="G10" i="3"/>
  <c r="G2" i="3"/>
  <c r="G3" i="3"/>
  <c r="G6" i="3"/>
  <c r="C8" i="4"/>
  <c r="C9" i="4"/>
  <c r="C8" i="3"/>
  <c r="C9" i="3"/>
  <c r="C10" i="3"/>
  <c r="C5" i="3"/>
  <c r="C4" i="4"/>
  <c r="C6" i="3"/>
  <c r="C7" i="3"/>
  <c r="C3" i="4"/>
  <c r="C4" i="3"/>
  <c r="C2" i="4"/>
  <c r="C2" i="3"/>
  <c r="N41" i="12"/>
  <c r="D4" i="16" l="1"/>
  <c r="K37" i="12"/>
  <c r="F37" i="12"/>
  <c r="I37" i="12"/>
  <c r="J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L37" i="12"/>
  <c r="AM37" i="12"/>
  <c r="AO37" i="12"/>
  <c r="AP37" i="12"/>
  <c r="B37" i="12"/>
  <c r="X41" i="12"/>
  <c r="Z41" i="12"/>
  <c r="AB41" i="12"/>
  <c r="AM41" i="12"/>
  <c r="AN41" i="12"/>
  <c r="AO41" i="12"/>
  <c r="AP41" i="12"/>
  <c r="X23" i="12"/>
  <c r="AB23" i="12"/>
  <c r="AM23" i="12"/>
  <c r="AN23" i="12"/>
  <c r="AO23" i="12"/>
  <c r="AP23" i="12"/>
  <c r="H33" i="24"/>
  <c r="H32" i="24"/>
  <c r="H31" i="24"/>
  <c r="S23" i="24"/>
  <c r="N23" i="24"/>
  <c r="I23" i="24"/>
  <c r="D23" i="24"/>
  <c r="C23" i="24"/>
  <c r="B23" i="24"/>
  <c r="V22" i="24"/>
  <c r="U22" i="24"/>
  <c r="T22" i="24"/>
  <c r="S22" i="24"/>
  <c r="Q22" i="24"/>
  <c r="P22" i="24"/>
  <c r="O22" i="24"/>
  <c r="N22" i="24"/>
  <c r="L22" i="24"/>
  <c r="K22" i="24"/>
  <c r="J22" i="24"/>
  <c r="I22" i="24"/>
  <c r="V21" i="24"/>
  <c r="V23" i="24" s="1"/>
  <c r="V24" i="24" s="1"/>
  <c r="U21" i="24"/>
  <c r="U23" i="24" s="1"/>
  <c r="U24" i="24" s="1"/>
  <c r="T21" i="24"/>
  <c r="T23" i="24" s="1"/>
  <c r="S21" i="24"/>
  <c r="Q21" i="24"/>
  <c r="Q23" i="24" s="1"/>
  <c r="Q24" i="24" s="1"/>
  <c r="P21" i="24"/>
  <c r="P23" i="24" s="1"/>
  <c r="P24" i="24" s="1"/>
  <c r="O21" i="24"/>
  <c r="O23" i="24" s="1"/>
  <c r="N21" i="24"/>
  <c r="L21" i="24"/>
  <c r="L23" i="24" s="1"/>
  <c r="L24" i="24" s="1"/>
  <c r="K21" i="24"/>
  <c r="K23" i="24" s="1"/>
  <c r="K24" i="24" s="1"/>
  <c r="J21" i="24"/>
  <c r="J23" i="24" s="1"/>
  <c r="I21" i="24"/>
  <c r="V14" i="24"/>
  <c r="U14" i="24"/>
  <c r="Q14" i="24"/>
  <c r="P14" i="24"/>
  <c r="L14" i="24"/>
  <c r="K14" i="24"/>
  <c r="V13" i="24"/>
  <c r="U13" i="24"/>
  <c r="Q13" i="24"/>
  <c r="P13" i="24"/>
  <c r="N13" i="24"/>
  <c r="L13" i="24"/>
  <c r="K13" i="24"/>
  <c r="V12" i="24"/>
  <c r="U12" i="24"/>
  <c r="T12" i="24"/>
  <c r="T13" i="24" s="1"/>
  <c r="S12" i="24"/>
  <c r="S13" i="24" s="1"/>
  <c r="Q12" i="24"/>
  <c r="P12" i="24"/>
  <c r="O12" i="24"/>
  <c r="O14" i="24" s="1"/>
  <c r="N12" i="24"/>
  <c r="N14" i="24" s="1"/>
  <c r="L12" i="24"/>
  <c r="K12" i="24"/>
  <c r="J12" i="24"/>
  <c r="J13" i="24" s="1"/>
  <c r="I12" i="24"/>
  <c r="I13" i="24" s="1"/>
  <c r="C10" i="24"/>
  <c r="D10" i="24" s="1"/>
  <c r="B6" i="24"/>
  <c r="A6" i="24"/>
  <c r="C9" i="24" s="1"/>
  <c r="D9" i="24" s="1"/>
  <c r="D12" i="24" s="1"/>
  <c r="V5" i="24"/>
  <c r="U5" i="24"/>
  <c r="T5" i="24"/>
  <c r="Q5" i="24"/>
  <c r="P5" i="24"/>
  <c r="O5" i="24"/>
  <c r="L5" i="24"/>
  <c r="K5" i="24"/>
  <c r="J5" i="24"/>
  <c r="B5" i="24"/>
  <c r="A5" i="24"/>
  <c r="AL53" i="12"/>
  <c r="AM53" i="12" s="1"/>
  <c r="AC53" i="12"/>
  <c r="Z53" i="12"/>
  <c r="AL52" i="12"/>
  <c r="AM52" i="12" s="1"/>
  <c r="AC52" i="12"/>
  <c r="Z52" i="12"/>
  <c r="AL51" i="12"/>
  <c r="AM51" i="12" s="1"/>
  <c r="AC51" i="12"/>
  <c r="Z51" i="12"/>
  <c r="AL50" i="12"/>
  <c r="AM50" i="12" s="1"/>
  <c r="Z50" i="12"/>
  <c r="AL49" i="12"/>
  <c r="AM49" i="12" s="1"/>
  <c r="Z49" i="12"/>
  <c r="AL48" i="12"/>
  <c r="AM48" i="12" s="1"/>
  <c r="Z48" i="12"/>
  <c r="AL47" i="12"/>
  <c r="AM47" i="12" s="1"/>
  <c r="Z47" i="12"/>
  <c r="AL46" i="12"/>
  <c r="AM46" i="12" s="1"/>
  <c r="Z46" i="12"/>
  <c r="AL45" i="12"/>
  <c r="AM45" i="12" s="1"/>
  <c r="Z45" i="12"/>
  <c r="AL44" i="12"/>
  <c r="AM44" i="12" s="1"/>
  <c r="AC44" i="12"/>
  <c r="Z44" i="12"/>
  <c r="AL43" i="12"/>
  <c r="AM43" i="12" s="1"/>
  <c r="AC43" i="12"/>
  <c r="Z43" i="12"/>
  <c r="AL42" i="12"/>
  <c r="AM42" i="12" s="1"/>
  <c r="AC42" i="12"/>
  <c r="Z42" i="12"/>
  <c r="AL35" i="12"/>
  <c r="AM35" i="12" s="1"/>
  <c r="AC35" i="12"/>
  <c r="Z35" i="12"/>
  <c r="AL34" i="12"/>
  <c r="AM34" i="12" s="1"/>
  <c r="AC34" i="12"/>
  <c r="Z34" i="12"/>
  <c r="AL33" i="12"/>
  <c r="AM33" i="12" s="1"/>
  <c r="AC33" i="12"/>
  <c r="Z33" i="12"/>
  <c r="AL32" i="12"/>
  <c r="AM32" i="12" s="1"/>
  <c r="Z32" i="12"/>
  <c r="AL31" i="12"/>
  <c r="AM31" i="12" s="1"/>
  <c r="Z31" i="12"/>
  <c r="AL30" i="12"/>
  <c r="AM30" i="12" s="1"/>
  <c r="Z30" i="12"/>
  <c r="AL29" i="12"/>
  <c r="AM29" i="12" s="1"/>
  <c r="Z29" i="12"/>
  <c r="AL28" i="12"/>
  <c r="AM28" i="12" s="1"/>
  <c r="Z28" i="12"/>
  <c r="AL27" i="12"/>
  <c r="AM27" i="12" s="1"/>
  <c r="Z27" i="12"/>
  <c r="AL26" i="12"/>
  <c r="AM26" i="12" s="1"/>
  <c r="AC26" i="12"/>
  <c r="Z26" i="12"/>
  <c r="AL25" i="12"/>
  <c r="AM25" i="12" s="1"/>
  <c r="AC25" i="12"/>
  <c r="Z25" i="12"/>
  <c r="AL24" i="12"/>
  <c r="AM24" i="12" s="1"/>
  <c r="AC24" i="12"/>
  <c r="Z24" i="12"/>
  <c r="AL14" i="12"/>
  <c r="AL13" i="12"/>
  <c r="AL12" i="12"/>
  <c r="AL11" i="12"/>
  <c r="AL10" i="12"/>
  <c r="AL9" i="12"/>
  <c r="AL8" i="12"/>
  <c r="AL7" i="12"/>
  <c r="AL6" i="12"/>
  <c r="AL5" i="12"/>
  <c r="AL4" i="12"/>
  <c r="AL3" i="12"/>
  <c r="Z14" i="12"/>
  <c r="Z13" i="12"/>
  <c r="Z12" i="12"/>
  <c r="Z11" i="12"/>
  <c r="Z10" i="12"/>
  <c r="Z9" i="12"/>
  <c r="Z8" i="12"/>
  <c r="Z7" i="12"/>
  <c r="Z6" i="12"/>
  <c r="Z5" i="12"/>
  <c r="Z4" i="12"/>
  <c r="Z3" i="12"/>
  <c r="AC14" i="12"/>
  <c r="AC13" i="12"/>
  <c r="AC12" i="12"/>
  <c r="AC5" i="12"/>
  <c r="Y5" i="12"/>
  <c r="AC4" i="12"/>
  <c r="AC3" i="12"/>
  <c r="M44" i="11"/>
  <c r="L44" i="11"/>
  <c r="V44" i="11" s="1"/>
  <c r="J44" i="11"/>
  <c r="M43" i="11"/>
  <c r="L43" i="11"/>
  <c r="V43" i="11" s="1"/>
  <c r="M42" i="11"/>
  <c r="L42" i="11"/>
  <c r="V42" i="11" s="1"/>
  <c r="K42" i="11"/>
  <c r="M41" i="11"/>
  <c r="L41" i="11"/>
  <c r="V41" i="11" s="1"/>
  <c r="K41" i="11"/>
  <c r="J41" i="11"/>
  <c r="M40" i="11"/>
  <c r="L40" i="11"/>
  <c r="V40" i="11" s="1"/>
  <c r="M39" i="11"/>
  <c r="L39" i="11"/>
  <c r="K39" i="11"/>
  <c r="J39" i="11"/>
  <c r="M38" i="11"/>
  <c r="L38" i="11"/>
  <c r="V38" i="11" s="1"/>
  <c r="J38" i="11"/>
  <c r="M37" i="11"/>
  <c r="L37" i="11"/>
  <c r="H42" i="11"/>
  <c r="U44" i="11"/>
  <c r="G44" i="11"/>
  <c r="F44" i="11"/>
  <c r="E44" i="11"/>
  <c r="D44" i="11"/>
  <c r="C44" i="11"/>
  <c r="B44" i="11"/>
  <c r="U43" i="11"/>
  <c r="G43" i="11"/>
  <c r="G52" i="11" s="1"/>
  <c r="F43" i="11"/>
  <c r="E43" i="11"/>
  <c r="D43" i="11"/>
  <c r="C43" i="11"/>
  <c r="C52" i="11" s="1"/>
  <c r="B43" i="11"/>
  <c r="U42" i="11"/>
  <c r="Y42" i="11" s="1"/>
  <c r="G42" i="11"/>
  <c r="F42" i="11"/>
  <c r="E42" i="11"/>
  <c r="D42" i="11"/>
  <c r="C42" i="11"/>
  <c r="B42" i="11"/>
  <c r="U41" i="11"/>
  <c r="T41" i="11"/>
  <c r="S41" i="11"/>
  <c r="G41" i="11"/>
  <c r="G51" i="11" s="1"/>
  <c r="F41" i="11"/>
  <c r="E41" i="11"/>
  <c r="D41" i="11"/>
  <c r="C41" i="11"/>
  <c r="C51" i="11" s="1"/>
  <c r="B41" i="11"/>
  <c r="U40" i="11"/>
  <c r="T40" i="11"/>
  <c r="G40" i="11"/>
  <c r="F40" i="11"/>
  <c r="E40" i="11"/>
  <c r="D40" i="11"/>
  <c r="C40" i="11"/>
  <c r="B40" i="11"/>
  <c r="U39" i="11"/>
  <c r="V39" i="11"/>
  <c r="G39" i="11"/>
  <c r="G50" i="11" s="1"/>
  <c r="F39" i="11"/>
  <c r="E39" i="11"/>
  <c r="D39" i="11"/>
  <c r="C39" i="11"/>
  <c r="C50" i="11" s="1"/>
  <c r="B39" i="11"/>
  <c r="U38" i="11"/>
  <c r="G38" i="11"/>
  <c r="F38" i="11"/>
  <c r="E38" i="11"/>
  <c r="D38" i="11"/>
  <c r="C38" i="11"/>
  <c r="B38" i="11"/>
  <c r="U37" i="11"/>
  <c r="Y37" i="11" s="1"/>
  <c r="V37" i="11"/>
  <c r="G37" i="11"/>
  <c r="G49" i="11" s="1"/>
  <c r="F37" i="11"/>
  <c r="E37" i="11"/>
  <c r="D37" i="11"/>
  <c r="C37" i="11"/>
  <c r="C49" i="11" s="1"/>
  <c r="B37" i="11"/>
  <c r="M20" i="11"/>
  <c r="M21" i="11"/>
  <c r="M22" i="11"/>
  <c r="M23" i="11"/>
  <c r="M24" i="11"/>
  <c r="M25" i="11"/>
  <c r="M26" i="11"/>
  <c r="M27" i="11"/>
  <c r="L27" i="11"/>
  <c r="V27" i="11" s="1"/>
  <c r="K27" i="11"/>
  <c r="J27" i="11"/>
  <c r="L26" i="11"/>
  <c r="V26" i="11" s="1"/>
  <c r="I26" i="11"/>
  <c r="L25" i="11"/>
  <c r="V25" i="11" s="1"/>
  <c r="K25" i="11"/>
  <c r="J25" i="11"/>
  <c r="L24" i="11"/>
  <c r="V24" i="11" s="1"/>
  <c r="L23" i="11"/>
  <c r="V23" i="11" s="1"/>
  <c r="K23" i="11"/>
  <c r="J23" i="11"/>
  <c r="L22" i="11"/>
  <c r="V22" i="11" s="1"/>
  <c r="L21" i="11"/>
  <c r="V21" i="11" s="1"/>
  <c r="V33" i="11" s="1"/>
  <c r="K21" i="11"/>
  <c r="J21" i="11"/>
  <c r="I21" i="11"/>
  <c r="L20" i="11"/>
  <c r="V20" i="11" s="1"/>
  <c r="H27" i="11"/>
  <c r="H21" i="11"/>
  <c r="F5" i="2"/>
  <c r="F4" i="2"/>
  <c r="U27" i="11"/>
  <c r="G27" i="11"/>
  <c r="F27" i="11"/>
  <c r="E27" i="11"/>
  <c r="D27" i="11"/>
  <c r="C27" i="11"/>
  <c r="B27" i="11"/>
  <c r="U26" i="11"/>
  <c r="S26" i="11"/>
  <c r="G26" i="11"/>
  <c r="G35" i="11" s="1"/>
  <c r="F26" i="11"/>
  <c r="E26" i="11"/>
  <c r="D26" i="11"/>
  <c r="C26" i="11"/>
  <c r="C35" i="11" s="1"/>
  <c r="B26" i="11"/>
  <c r="U25" i="11"/>
  <c r="G25" i="11"/>
  <c r="F25" i="11"/>
  <c r="E25" i="11"/>
  <c r="D25" i="11"/>
  <c r="C25" i="11"/>
  <c r="B25" i="11"/>
  <c r="U24" i="11"/>
  <c r="G24" i="11"/>
  <c r="G34" i="11" s="1"/>
  <c r="F24" i="11"/>
  <c r="E24" i="11"/>
  <c r="D24" i="11"/>
  <c r="C24" i="11"/>
  <c r="C34" i="11" s="1"/>
  <c r="B24" i="11"/>
  <c r="U23" i="11"/>
  <c r="Y23" i="11" s="1"/>
  <c r="G23" i="11"/>
  <c r="F23" i="11"/>
  <c r="E23" i="11"/>
  <c r="D23" i="11"/>
  <c r="C23" i="11"/>
  <c r="B23" i="11"/>
  <c r="U22" i="11"/>
  <c r="G22" i="11"/>
  <c r="G33" i="11" s="1"/>
  <c r="F22" i="11"/>
  <c r="E22" i="11"/>
  <c r="D22" i="11"/>
  <c r="C22" i="11"/>
  <c r="C33" i="11" s="1"/>
  <c r="B22" i="11"/>
  <c r="U21" i="11"/>
  <c r="G21" i="11"/>
  <c r="F21" i="11"/>
  <c r="E21" i="11"/>
  <c r="D21" i="11"/>
  <c r="C21" i="11"/>
  <c r="B21" i="11"/>
  <c r="U20" i="11"/>
  <c r="S20" i="11"/>
  <c r="G20" i="11"/>
  <c r="G32" i="11" s="1"/>
  <c r="F20" i="11"/>
  <c r="E20" i="11"/>
  <c r="D20" i="11"/>
  <c r="C20" i="11"/>
  <c r="C32" i="11" s="1"/>
  <c r="B20" i="11"/>
  <c r="U10" i="11"/>
  <c r="U9" i="11"/>
  <c r="U8" i="11"/>
  <c r="U7" i="11"/>
  <c r="U6" i="11"/>
  <c r="U5" i="11"/>
  <c r="U4" i="11"/>
  <c r="U3" i="11"/>
  <c r="Y3" i="11" s="1"/>
  <c r="S3" i="11"/>
  <c r="P9" i="13"/>
  <c r="P8" i="13"/>
  <c r="P7" i="13"/>
  <c r="P6" i="13"/>
  <c r="P5" i="13"/>
  <c r="P4" i="13"/>
  <c r="P3" i="13"/>
  <c r="P2" i="13"/>
  <c r="N9" i="13"/>
  <c r="D13" i="6"/>
  <c r="K44" i="11" s="1"/>
  <c r="C13" i="6"/>
  <c r="J42" i="11" s="1"/>
  <c r="B13" i="6"/>
  <c r="I44" i="11" s="1"/>
  <c r="A13" i="6"/>
  <c r="H44" i="11" s="1"/>
  <c r="D12" i="6"/>
  <c r="K43" i="11" s="1"/>
  <c r="C12" i="6"/>
  <c r="J43" i="11" s="1"/>
  <c r="B12" i="6"/>
  <c r="I43" i="11" s="1"/>
  <c r="A12" i="6"/>
  <c r="H43" i="11" s="1"/>
  <c r="D11" i="6"/>
  <c r="K40" i="11" s="1"/>
  <c r="C11" i="6"/>
  <c r="J40" i="11" s="1"/>
  <c r="B11" i="6"/>
  <c r="I38" i="11" s="1"/>
  <c r="A11" i="6"/>
  <c r="H40" i="11" s="1"/>
  <c r="D10" i="6"/>
  <c r="K37" i="11" s="1"/>
  <c r="C10" i="6"/>
  <c r="J37" i="11" s="1"/>
  <c r="B10" i="6"/>
  <c r="I37" i="11" s="1"/>
  <c r="A10" i="6"/>
  <c r="H39" i="11" s="1"/>
  <c r="D9" i="6"/>
  <c r="C9" i="6"/>
  <c r="B9" i="6"/>
  <c r="I25" i="11" s="1"/>
  <c r="A9" i="6"/>
  <c r="H25" i="11" s="1"/>
  <c r="D8" i="6"/>
  <c r="K26" i="11" s="1"/>
  <c r="C8" i="6"/>
  <c r="J26" i="11" s="1"/>
  <c r="B8" i="6"/>
  <c r="I24" i="11" s="1"/>
  <c r="A8" i="6"/>
  <c r="H26" i="11" s="1"/>
  <c r="D7" i="6"/>
  <c r="C7" i="6"/>
  <c r="B7" i="6"/>
  <c r="I23" i="11" s="1"/>
  <c r="A7" i="6"/>
  <c r="H23" i="11" s="1"/>
  <c r="D6" i="6"/>
  <c r="K22" i="11" s="1"/>
  <c r="C6" i="6"/>
  <c r="J22" i="11" s="1"/>
  <c r="B6" i="6"/>
  <c r="I20" i="11" s="1"/>
  <c r="A6" i="6"/>
  <c r="H20" i="11" s="1"/>
  <c r="C5" i="6"/>
  <c r="C4" i="6"/>
  <c r="C3" i="6"/>
  <c r="C2" i="6"/>
  <c r="B2" i="6"/>
  <c r="D2" i="6"/>
  <c r="B3" i="6"/>
  <c r="D3" i="6"/>
  <c r="B4" i="6"/>
  <c r="D4" i="6"/>
  <c r="B5" i="6"/>
  <c r="D5" i="6"/>
  <c r="E13" i="3"/>
  <c r="E12" i="3"/>
  <c r="E11" i="3"/>
  <c r="E10" i="3"/>
  <c r="E9" i="3"/>
  <c r="E8" i="3"/>
  <c r="E7" i="3"/>
  <c r="E6" i="3"/>
  <c r="E5" i="3"/>
  <c r="E4" i="3"/>
  <c r="E3" i="3"/>
  <c r="E2" i="3"/>
  <c r="A3" i="6"/>
  <c r="A5" i="6"/>
  <c r="A4" i="6"/>
  <c r="A2" i="6"/>
  <c r="F11" i="3"/>
  <c r="AA12" i="12" s="1"/>
  <c r="F10" i="3"/>
  <c r="AA32" i="12" s="1"/>
  <c r="F8" i="3"/>
  <c r="AA48" i="12" s="1"/>
  <c r="F5" i="3"/>
  <c r="AA6" i="12" s="1"/>
  <c r="F3" i="3"/>
  <c r="AA43" i="12" s="1"/>
  <c r="F2" i="3"/>
  <c r="AA24" i="12" s="1"/>
  <c r="D13" i="3"/>
  <c r="Y35" i="12" s="1"/>
  <c r="D12" i="3"/>
  <c r="Y34" i="12" s="1"/>
  <c r="D11" i="3"/>
  <c r="Y12" i="12" s="1"/>
  <c r="D10" i="3"/>
  <c r="Y11" i="12" s="1"/>
  <c r="D9" i="3"/>
  <c r="Y49" i="12" s="1"/>
  <c r="D8" i="3"/>
  <c r="Y30" i="12" s="1"/>
  <c r="D7" i="3"/>
  <c r="Y29" i="12" s="1"/>
  <c r="D6" i="3"/>
  <c r="Y28" i="12" s="1"/>
  <c r="D5" i="3"/>
  <c r="Y45" i="12" s="1"/>
  <c r="D1" i="3"/>
  <c r="Y1" i="12" s="1"/>
  <c r="D4" i="3"/>
  <c r="Y44" i="12" s="1"/>
  <c r="D3" i="3"/>
  <c r="Y25" i="12" s="1"/>
  <c r="D2" i="3"/>
  <c r="Y3" i="12" s="1"/>
  <c r="F1" i="3"/>
  <c r="AA1" i="12" s="1"/>
  <c r="F7" i="3"/>
  <c r="F9" i="3"/>
  <c r="T10" i="11"/>
  <c r="S27" i="11"/>
  <c r="T26" i="11"/>
  <c r="S9" i="11"/>
  <c r="O8" i="13"/>
  <c r="N8" i="13"/>
  <c r="T24" i="11"/>
  <c r="S24" i="11"/>
  <c r="T6" i="11"/>
  <c r="S23" i="11"/>
  <c r="T22" i="11"/>
  <c r="S5" i="11"/>
  <c r="O4" i="13"/>
  <c r="T3" i="11"/>
  <c r="S21" i="11"/>
  <c r="S37" i="11"/>
  <c r="A1" i="22"/>
  <c r="D1" i="22"/>
  <c r="O1" i="11" s="1"/>
  <c r="B3" i="22"/>
  <c r="B5" i="3" s="1"/>
  <c r="B4" i="22"/>
  <c r="B5" i="22"/>
  <c r="B12" i="3" s="1"/>
  <c r="B2" i="22"/>
  <c r="B4" i="3" s="1"/>
  <c r="A5" i="22"/>
  <c r="A9" i="4" s="1"/>
  <c r="D5" i="22"/>
  <c r="E2" i="22"/>
  <c r="A3" i="22"/>
  <c r="A5" i="3" s="1"/>
  <c r="A4" i="22"/>
  <c r="A8" i="3" s="1"/>
  <c r="A2" i="22"/>
  <c r="A3" i="3" s="1"/>
  <c r="C3" i="23"/>
  <c r="C2" i="23"/>
  <c r="B3" i="23"/>
  <c r="B2" i="23"/>
  <c r="D3" i="22" s="1"/>
  <c r="A3" i="23"/>
  <c r="A2" i="23"/>
  <c r="A2" i="1"/>
  <c r="J1" i="12"/>
  <c r="J23" i="12" s="1"/>
  <c r="B23" i="20"/>
  <c r="C23" i="20"/>
  <c r="D23" i="20" s="1"/>
  <c r="B6" i="20"/>
  <c r="A6" i="20"/>
  <c r="B5" i="20"/>
  <c r="A5" i="20"/>
  <c r="AC23" i="12"/>
  <c r="Y27" i="12" l="1"/>
  <c r="Y46" i="12"/>
  <c r="O40" i="11"/>
  <c r="O39" i="11"/>
  <c r="O50" i="11" s="1"/>
  <c r="O5" i="11"/>
  <c r="O23" i="11"/>
  <c r="O22" i="11"/>
  <c r="O6" i="11"/>
  <c r="O44" i="11"/>
  <c r="O27" i="11"/>
  <c r="O43" i="11"/>
  <c r="O9" i="11"/>
  <c r="O26" i="11"/>
  <c r="O10" i="11"/>
  <c r="P21" i="11"/>
  <c r="P3" i="11"/>
  <c r="P20" i="11"/>
  <c r="P4" i="11"/>
  <c r="P38" i="11"/>
  <c r="P37" i="11"/>
  <c r="M23" i="12"/>
  <c r="M41" i="12"/>
  <c r="H41" i="11"/>
  <c r="I40" i="11"/>
  <c r="I42" i="11"/>
  <c r="B4" i="2"/>
  <c r="B5" i="2"/>
  <c r="H22" i="11"/>
  <c r="D2" i="22"/>
  <c r="C5" i="2"/>
  <c r="C4" i="2"/>
  <c r="E4" i="22"/>
  <c r="H24" i="11"/>
  <c r="I27" i="11"/>
  <c r="I39" i="11"/>
  <c r="I41" i="11"/>
  <c r="C2" i="2"/>
  <c r="C3" i="2"/>
  <c r="H37" i="11"/>
  <c r="D4" i="22"/>
  <c r="E5" i="22"/>
  <c r="I22" i="11"/>
  <c r="H38" i="11"/>
  <c r="B2" i="2"/>
  <c r="B3" i="2"/>
  <c r="H5" i="13" s="1"/>
  <c r="E3" i="22"/>
  <c r="Y13" i="12"/>
  <c r="AG73" i="12" s="1"/>
  <c r="Y26" i="12"/>
  <c r="AA30" i="12"/>
  <c r="Y8" i="12"/>
  <c r="AG66" i="12" s="1"/>
  <c r="AA45" i="12"/>
  <c r="Y51" i="12"/>
  <c r="Y50" i="12"/>
  <c r="B3" i="4"/>
  <c r="Q38" i="11" s="1"/>
  <c r="A2" i="4"/>
  <c r="N3" i="11" s="1"/>
  <c r="N15" i="11" s="1"/>
  <c r="B11" i="3"/>
  <c r="W12" i="12" s="1"/>
  <c r="AE72" i="12" s="1"/>
  <c r="B8" i="4"/>
  <c r="Q9" i="11" s="1"/>
  <c r="Q18" i="11" s="1"/>
  <c r="A11" i="3"/>
  <c r="V33" i="12" s="1"/>
  <c r="A12" i="3"/>
  <c r="V52" i="12" s="1"/>
  <c r="B13" i="3"/>
  <c r="W53" i="12" s="1"/>
  <c r="A4" i="3"/>
  <c r="A5" i="4"/>
  <c r="N23" i="11" s="1"/>
  <c r="A7" i="3"/>
  <c r="V8" i="12" s="1"/>
  <c r="AD66" i="12" s="1"/>
  <c r="B2" i="3"/>
  <c r="W3" i="12" s="1"/>
  <c r="AE61" i="12" s="1"/>
  <c r="B2" i="4"/>
  <c r="Q20" i="11" s="1"/>
  <c r="Q32" i="11" s="1"/>
  <c r="R17" i="11"/>
  <c r="B3" i="3"/>
  <c r="W25" i="12" s="1"/>
  <c r="O16" i="11"/>
  <c r="A6" i="3"/>
  <c r="V7" i="12" s="1"/>
  <c r="AD65" i="12" s="1"/>
  <c r="A3" i="4"/>
  <c r="N4" i="11" s="1"/>
  <c r="W6" i="12"/>
  <c r="AE64" i="12" s="1"/>
  <c r="W45" i="12"/>
  <c r="W27" i="12"/>
  <c r="V9" i="12"/>
  <c r="AD67" i="12" s="1"/>
  <c r="V48" i="12"/>
  <c r="V30" i="12"/>
  <c r="V43" i="12"/>
  <c r="V25" i="12"/>
  <c r="V4" i="12"/>
  <c r="AD62" i="12" s="1"/>
  <c r="R18" i="11"/>
  <c r="V6" i="12"/>
  <c r="AD64" i="12" s="1"/>
  <c r="V45" i="12"/>
  <c r="V27" i="12"/>
  <c r="K9" i="13"/>
  <c r="N27" i="11"/>
  <c r="N44" i="11"/>
  <c r="N10" i="11"/>
  <c r="W5" i="12"/>
  <c r="AE63" i="12" s="1"/>
  <c r="W44" i="12"/>
  <c r="W26" i="12"/>
  <c r="B7" i="3"/>
  <c r="O33" i="11"/>
  <c r="A10" i="3"/>
  <c r="A7" i="4"/>
  <c r="A9" i="3"/>
  <c r="A6" i="4"/>
  <c r="W52" i="12"/>
  <c r="W34" i="12"/>
  <c r="W13" i="12"/>
  <c r="AE73" i="12" s="1"/>
  <c r="B5" i="4"/>
  <c r="B10" i="3"/>
  <c r="B8" i="3"/>
  <c r="B6" i="4"/>
  <c r="L6" i="13" s="1"/>
  <c r="L16" i="13" s="1"/>
  <c r="B7" i="4"/>
  <c r="Q8" i="11" s="1"/>
  <c r="B9" i="3"/>
  <c r="R34" i="11"/>
  <c r="B6" i="3"/>
  <c r="B4" i="4"/>
  <c r="Q22" i="11" s="1"/>
  <c r="Q33" i="11" s="1"/>
  <c r="K5" i="13"/>
  <c r="A4" i="4"/>
  <c r="A13" i="3"/>
  <c r="B9" i="4"/>
  <c r="A2" i="3"/>
  <c r="M15" i="13"/>
  <c r="A8" i="4"/>
  <c r="N26" i="11" s="1"/>
  <c r="N35" i="11" s="1"/>
  <c r="AA10" i="12"/>
  <c r="AI68" i="12" s="1"/>
  <c r="AA31" i="12"/>
  <c r="AA49" i="12"/>
  <c r="AA29" i="12"/>
  <c r="AA47" i="12"/>
  <c r="AA8" i="12"/>
  <c r="AI66" i="12" s="1"/>
  <c r="AA3" i="12"/>
  <c r="AI61" i="12" s="1"/>
  <c r="AA11" i="12"/>
  <c r="AI69" i="12" s="1"/>
  <c r="AA25" i="12"/>
  <c r="Y31" i="12"/>
  <c r="Y42" i="12"/>
  <c r="F4" i="3"/>
  <c r="F12" i="3"/>
  <c r="Y10" i="12"/>
  <c r="AG68" i="12" s="1"/>
  <c r="Y32" i="12"/>
  <c r="Y33" i="12"/>
  <c r="AA50" i="12"/>
  <c r="F13" i="3"/>
  <c r="Y7" i="12"/>
  <c r="AG65" i="12" s="1"/>
  <c r="AA27" i="12"/>
  <c r="AA42" i="12"/>
  <c r="Y43" i="12"/>
  <c r="Y47" i="12"/>
  <c r="AA51" i="12"/>
  <c r="Y52" i="12"/>
  <c r="F6" i="3"/>
  <c r="AJ63" i="12"/>
  <c r="Y4" i="12"/>
  <c r="AG62" i="12" s="1"/>
  <c r="Y24" i="12"/>
  <c r="AA33" i="12"/>
  <c r="Y48" i="12"/>
  <c r="AJ66" i="12"/>
  <c r="AA4" i="12"/>
  <c r="AI62" i="12" s="1"/>
  <c r="Y9" i="12"/>
  <c r="AG67" i="12" s="1"/>
  <c r="Y53" i="12"/>
  <c r="AJ68" i="12"/>
  <c r="Y6" i="12"/>
  <c r="AG64" i="12" s="1"/>
  <c r="AA9" i="12"/>
  <c r="AI67" i="12" s="1"/>
  <c r="Y14" i="12"/>
  <c r="AG74" i="12" s="1"/>
  <c r="AJ74" i="12"/>
  <c r="AJ65" i="12"/>
  <c r="AJ67" i="12"/>
  <c r="AJ62" i="12"/>
  <c r="AJ72" i="12"/>
  <c r="O5" i="13"/>
  <c r="T8" i="11"/>
  <c r="S40" i="11"/>
  <c r="S44" i="11"/>
  <c r="O2" i="13"/>
  <c r="S8" i="11"/>
  <c r="T25" i="11"/>
  <c r="O9" i="13"/>
  <c r="T44" i="11"/>
  <c r="J20" i="11"/>
  <c r="J24" i="11"/>
  <c r="S39" i="11"/>
  <c r="S43" i="11"/>
  <c r="K38" i="11"/>
  <c r="T37" i="11"/>
  <c r="N2" i="13"/>
  <c r="S4" i="11"/>
  <c r="S7" i="11"/>
  <c r="S22" i="11"/>
  <c r="K20" i="11"/>
  <c r="K24" i="11"/>
  <c r="S38" i="11"/>
  <c r="T39" i="11"/>
  <c r="T43" i="11"/>
  <c r="N3" i="13"/>
  <c r="T4" i="11"/>
  <c r="T38" i="11"/>
  <c r="S42" i="11"/>
  <c r="T21" i="11"/>
  <c r="N6" i="13"/>
  <c r="T42" i="11"/>
  <c r="J41" i="12"/>
  <c r="AC41" i="12"/>
  <c r="J24" i="24"/>
  <c r="T24" i="24"/>
  <c r="L32" i="24"/>
  <c r="L40" i="24" s="1"/>
  <c r="L33" i="24"/>
  <c r="L41" i="24" s="1"/>
  <c r="L31" i="24"/>
  <c r="L39" i="24" s="1"/>
  <c r="V32" i="24"/>
  <c r="V40" i="24" s="1"/>
  <c r="V33" i="24"/>
  <c r="V41" i="24" s="1"/>
  <c r="V31" i="24"/>
  <c r="V39" i="24" s="1"/>
  <c r="I24" i="24"/>
  <c r="K32" i="24"/>
  <c r="K40" i="24" s="1"/>
  <c r="K33" i="24"/>
  <c r="K41" i="24" s="1"/>
  <c r="K31" i="24"/>
  <c r="K39" i="24" s="1"/>
  <c r="O24" i="24"/>
  <c r="D24" i="24"/>
  <c r="D13" i="24"/>
  <c r="D14" i="24"/>
  <c r="N24" i="24"/>
  <c r="P33" i="24"/>
  <c r="P41" i="24" s="1"/>
  <c r="P31" i="24"/>
  <c r="P39" i="24" s="1"/>
  <c r="P32" i="24"/>
  <c r="P40" i="24" s="1"/>
  <c r="U32" i="24"/>
  <c r="U40" i="24" s="1"/>
  <c r="U33" i="24"/>
  <c r="U41" i="24" s="1"/>
  <c r="U31" i="24"/>
  <c r="U39" i="24" s="1"/>
  <c r="Q33" i="24"/>
  <c r="Q41" i="24" s="1"/>
  <c r="Q31" i="24"/>
  <c r="Q39" i="24" s="1"/>
  <c r="Q32" i="24"/>
  <c r="Q40" i="24" s="1"/>
  <c r="O13" i="24"/>
  <c r="I14" i="24"/>
  <c r="S14" i="24"/>
  <c r="S24" i="24" s="1"/>
  <c r="D25" i="24"/>
  <c r="J14" i="24"/>
  <c r="T14" i="24"/>
  <c r="Y41" i="11"/>
  <c r="Y51" i="11" s="1"/>
  <c r="Y39" i="11"/>
  <c r="Y44" i="11"/>
  <c r="X23" i="11"/>
  <c r="X35" i="11" s="1"/>
  <c r="Y40" i="11"/>
  <c r="Y43" i="11"/>
  <c r="X25" i="11"/>
  <c r="Y38" i="11"/>
  <c r="Y49" i="11" s="1"/>
  <c r="Y21" i="11"/>
  <c r="X27" i="11"/>
  <c r="X22" i="11"/>
  <c r="X34" i="11" s="1"/>
  <c r="X42" i="11"/>
  <c r="W42" i="11"/>
  <c r="W39" i="11"/>
  <c r="W51" i="11" s="1"/>
  <c r="X39" i="11"/>
  <c r="X51" i="11" s="1"/>
  <c r="V51" i="11"/>
  <c r="X44" i="11"/>
  <c r="W44" i="11"/>
  <c r="W41" i="11"/>
  <c r="X41" i="11"/>
  <c r="W38" i="11"/>
  <c r="W50" i="11" s="1"/>
  <c r="X38" i="11"/>
  <c r="X50" i="11" s="1"/>
  <c r="V50" i="11"/>
  <c r="X43" i="11"/>
  <c r="W43" i="11"/>
  <c r="V52" i="11"/>
  <c r="W40" i="11"/>
  <c r="W52" i="11" s="1"/>
  <c r="X40" i="11"/>
  <c r="X52" i="11" s="1"/>
  <c r="W37" i="11"/>
  <c r="W49" i="11" s="1"/>
  <c r="V49" i="11"/>
  <c r="X37" i="11"/>
  <c r="X49" i="11" s="1"/>
  <c r="Y20" i="11"/>
  <c r="Y27" i="11"/>
  <c r="Y26" i="11"/>
  <c r="X26" i="11"/>
  <c r="X20" i="11"/>
  <c r="X32" i="11" s="1"/>
  <c r="Y22" i="11"/>
  <c r="Y33" i="11" s="1"/>
  <c r="X24" i="11"/>
  <c r="Y25" i="11"/>
  <c r="Y24" i="11"/>
  <c r="O3" i="13"/>
  <c r="S6" i="11"/>
  <c r="T7" i="11"/>
  <c r="T23" i="11"/>
  <c r="N4" i="13"/>
  <c r="T20" i="11"/>
  <c r="S25" i="11"/>
  <c r="N5" i="13"/>
  <c r="T5" i="11"/>
  <c r="O6" i="13"/>
  <c r="K7" i="13"/>
  <c r="K17" i="13" s="1"/>
  <c r="N7" i="13"/>
  <c r="O7" i="13"/>
  <c r="N8" i="11"/>
  <c r="S10" i="11"/>
  <c r="T27" i="11"/>
  <c r="T9" i="11"/>
  <c r="W20" i="11"/>
  <c r="W32" i="11" s="1"/>
  <c r="W21" i="11"/>
  <c r="W33" i="11" s="1"/>
  <c r="W22" i="11"/>
  <c r="W34" i="11" s="1"/>
  <c r="W23" i="11"/>
  <c r="W35" i="11" s="1"/>
  <c r="W24" i="11"/>
  <c r="W25" i="11"/>
  <c r="W26" i="11"/>
  <c r="W27" i="11"/>
  <c r="V34" i="11"/>
  <c r="X21" i="11"/>
  <c r="X33" i="11" s="1"/>
  <c r="V32" i="11"/>
  <c r="V35" i="11"/>
  <c r="C9" i="20"/>
  <c r="D9" i="20" s="1"/>
  <c r="D12" i="20" s="1"/>
  <c r="C10" i="20"/>
  <c r="D10" i="20" s="1"/>
  <c r="AM14" i="12"/>
  <c r="AM13" i="12"/>
  <c r="AM12" i="12"/>
  <c r="AM11" i="12"/>
  <c r="AM10" i="12"/>
  <c r="AM9" i="12"/>
  <c r="AM8" i="12"/>
  <c r="AM7" i="12"/>
  <c r="AM6" i="12"/>
  <c r="AM5" i="12"/>
  <c r="AM4" i="12"/>
  <c r="AM3" i="12"/>
  <c r="AH74" i="12"/>
  <c r="AF74" i="12"/>
  <c r="AH73" i="12"/>
  <c r="AF73" i="12"/>
  <c r="AI72" i="12"/>
  <c r="AH72" i="12"/>
  <c r="AG72" i="12"/>
  <c r="AF72" i="12"/>
  <c r="AH69" i="12"/>
  <c r="AG69" i="12"/>
  <c r="AF69" i="12"/>
  <c r="AH68" i="12"/>
  <c r="AF68" i="12"/>
  <c r="AH67" i="12"/>
  <c r="AF67" i="12"/>
  <c r="AH66" i="12"/>
  <c r="AF66" i="12"/>
  <c r="AH65" i="12"/>
  <c r="AF65" i="12"/>
  <c r="AI64" i="12"/>
  <c r="AH64" i="12"/>
  <c r="AF64" i="12"/>
  <c r="AH63" i="12"/>
  <c r="AG63" i="12"/>
  <c r="AF63" i="12"/>
  <c r="AH62" i="12"/>
  <c r="AF62" i="12"/>
  <c r="AH61" i="12"/>
  <c r="AG61" i="12"/>
  <c r="AF61" i="12"/>
  <c r="S23" i="12"/>
  <c r="T23" i="12"/>
  <c r="U23" i="12"/>
  <c r="R23" i="12"/>
  <c r="P23" i="12"/>
  <c r="O23" i="12"/>
  <c r="L23" i="12"/>
  <c r="K1" i="12"/>
  <c r="K23" i="12" s="1"/>
  <c r="I1" i="12"/>
  <c r="F1" i="12"/>
  <c r="E1" i="12"/>
  <c r="B1" i="12"/>
  <c r="G1" i="11"/>
  <c r="Q23" i="12" s="1"/>
  <c r="F1" i="11"/>
  <c r="E1" i="11"/>
  <c r="D1" i="11"/>
  <c r="M6" i="11"/>
  <c r="L6" i="11"/>
  <c r="V6" i="11" s="1"/>
  <c r="K6" i="11"/>
  <c r="J6" i="11"/>
  <c r="I6" i="11"/>
  <c r="H6" i="11"/>
  <c r="M5" i="11"/>
  <c r="L5" i="11"/>
  <c r="V5" i="11" s="1"/>
  <c r="K5" i="11"/>
  <c r="J5" i="11"/>
  <c r="I5" i="11"/>
  <c r="H5" i="11"/>
  <c r="M9" i="11"/>
  <c r="L9" i="11"/>
  <c r="V9" i="11" s="1"/>
  <c r="K9" i="11"/>
  <c r="J9" i="11"/>
  <c r="I9" i="11"/>
  <c r="H9" i="11"/>
  <c r="M10" i="11"/>
  <c r="L10" i="11"/>
  <c r="V10" i="11" s="1"/>
  <c r="K10" i="11"/>
  <c r="J10" i="11"/>
  <c r="I10" i="11"/>
  <c r="H10" i="11"/>
  <c r="M8" i="11"/>
  <c r="L8" i="11"/>
  <c r="V8" i="11" s="1"/>
  <c r="K8" i="11"/>
  <c r="J8" i="11"/>
  <c r="I8" i="11"/>
  <c r="M7" i="11"/>
  <c r="L7" i="11"/>
  <c r="V7" i="11" s="1"/>
  <c r="K7" i="11"/>
  <c r="J7" i="11"/>
  <c r="I7" i="11"/>
  <c r="M4" i="11"/>
  <c r="L4" i="11"/>
  <c r="V4" i="11" s="1"/>
  <c r="K4" i="11"/>
  <c r="J4" i="11"/>
  <c r="I4" i="11"/>
  <c r="M3" i="11"/>
  <c r="L3" i="11"/>
  <c r="V3" i="11" s="1"/>
  <c r="K3" i="11"/>
  <c r="J3" i="11"/>
  <c r="I3" i="11"/>
  <c r="H8" i="11"/>
  <c r="H7" i="11"/>
  <c r="H4" i="11"/>
  <c r="H3" i="11"/>
  <c r="G10" i="11"/>
  <c r="F10" i="11"/>
  <c r="E10" i="11"/>
  <c r="D10" i="11"/>
  <c r="G9" i="11"/>
  <c r="G18" i="11" s="1"/>
  <c r="F9" i="11"/>
  <c r="E9" i="11"/>
  <c r="D9" i="11"/>
  <c r="G8" i="11"/>
  <c r="F8" i="11"/>
  <c r="E8" i="11"/>
  <c r="D8" i="11"/>
  <c r="G7" i="11"/>
  <c r="G17" i="11" s="1"/>
  <c r="F7" i="11"/>
  <c r="E7" i="11"/>
  <c r="D7" i="11"/>
  <c r="G6" i="11"/>
  <c r="F6" i="11"/>
  <c r="E6" i="11"/>
  <c r="D6" i="11"/>
  <c r="G5" i="11"/>
  <c r="G16" i="11" s="1"/>
  <c r="F5" i="11"/>
  <c r="E5" i="11"/>
  <c r="D5" i="11"/>
  <c r="G4" i="11"/>
  <c r="F4" i="11"/>
  <c r="E4" i="11"/>
  <c r="D4" i="11"/>
  <c r="G3" i="11"/>
  <c r="G15" i="11" s="1"/>
  <c r="F3" i="11"/>
  <c r="E3" i="11"/>
  <c r="D3" i="11"/>
  <c r="B4" i="11"/>
  <c r="C4" i="11"/>
  <c r="B5" i="11"/>
  <c r="C5" i="11"/>
  <c r="C16" i="11" s="1"/>
  <c r="B6" i="11"/>
  <c r="C6" i="11"/>
  <c r="B7" i="11"/>
  <c r="C7" i="11"/>
  <c r="C17" i="11" s="1"/>
  <c r="B8" i="11"/>
  <c r="C8" i="11"/>
  <c r="B9" i="11"/>
  <c r="C9" i="11"/>
  <c r="C18" i="11" s="1"/>
  <c r="B10" i="11"/>
  <c r="C10" i="11"/>
  <c r="C3" i="11"/>
  <c r="C15" i="11" s="1"/>
  <c r="B3" i="11"/>
  <c r="N1" i="13"/>
  <c r="L1" i="13"/>
  <c r="D1" i="12" s="1"/>
  <c r="K1" i="13"/>
  <c r="C1" i="12" s="1"/>
  <c r="J1" i="13"/>
  <c r="I1" i="13"/>
  <c r="H1" i="13"/>
  <c r="G1" i="13"/>
  <c r="E1" i="13"/>
  <c r="H1" i="12" s="1"/>
  <c r="F1" i="13"/>
  <c r="D1" i="13"/>
  <c r="G1" i="12" s="1"/>
  <c r="C1" i="13"/>
  <c r="B9" i="13"/>
  <c r="A9" i="13"/>
  <c r="B8" i="13"/>
  <c r="A8" i="13"/>
  <c r="B7" i="13"/>
  <c r="B17" i="13" s="1"/>
  <c r="A7" i="13"/>
  <c r="B6" i="13"/>
  <c r="B16" i="13" s="1"/>
  <c r="A6" i="13"/>
  <c r="B5" i="13"/>
  <c r="A5" i="13"/>
  <c r="B4" i="13"/>
  <c r="A4" i="13"/>
  <c r="B3" i="13"/>
  <c r="B15" i="13" s="1"/>
  <c r="A3" i="13"/>
  <c r="B2" i="13"/>
  <c r="B14" i="13" s="1"/>
  <c r="A2" i="13"/>
  <c r="H7" i="3"/>
  <c r="H6" i="3"/>
  <c r="H5" i="3"/>
  <c r="J9" i="13"/>
  <c r="I9" i="13"/>
  <c r="H9" i="13"/>
  <c r="G9" i="13"/>
  <c r="J8" i="13"/>
  <c r="I8" i="13"/>
  <c r="H8" i="13"/>
  <c r="G8" i="13"/>
  <c r="J7" i="13"/>
  <c r="I7" i="13"/>
  <c r="H7" i="13"/>
  <c r="G7" i="13"/>
  <c r="J6" i="13"/>
  <c r="I6" i="13"/>
  <c r="H6" i="13"/>
  <c r="G6" i="13"/>
  <c r="J5" i="13"/>
  <c r="I5" i="13"/>
  <c r="G5" i="13"/>
  <c r="J4" i="13"/>
  <c r="I4" i="13"/>
  <c r="H4" i="13"/>
  <c r="G4" i="13"/>
  <c r="J3" i="13"/>
  <c r="I3" i="13"/>
  <c r="H3" i="13"/>
  <c r="G3" i="13"/>
  <c r="J2" i="13"/>
  <c r="I2" i="13"/>
  <c r="H2" i="13"/>
  <c r="G2" i="13"/>
  <c r="F9" i="13"/>
  <c r="E9" i="13"/>
  <c r="D9" i="13"/>
  <c r="C9" i="13"/>
  <c r="F7" i="13"/>
  <c r="E7" i="13"/>
  <c r="D7" i="13"/>
  <c r="C7" i="13"/>
  <c r="F5" i="13"/>
  <c r="E5" i="13"/>
  <c r="D5" i="13"/>
  <c r="C5" i="13"/>
  <c r="F3" i="13"/>
  <c r="E3" i="13"/>
  <c r="D3" i="13"/>
  <c r="C3" i="13"/>
  <c r="F8" i="13"/>
  <c r="E8" i="13"/>
  <c r="D8" i="13"/>
  <c r="C8" i="13"/>
  <c r="F6" i="13"/>
  <c r="E6" i="13"/>
  <c r="D6" i="13"/>
  <c r="C6" i="13"/>
  <c r="F4" i="13"/>
  <c r="E4" i="13"/>
  <c r="D4" i="13"/>
  <c r="C4" i="13"/>
  <c r="F2" i="13"/>
  <c r="E2" i="13"/>
  <c r="D2" i="13"/>
  <c r="C2" i="13"/>
  <c r="H41" i="12" l="1"/>
  <c r="H23" i="12"/>
  <c r="G41" i="12"/>
  <c r="G23" i="12"/>
  <c r="B24" i="12"/>
  <c r="B26" i="12"/>
  <c r="B44" i="12"/>
  <c r="B5" i="12"/>
  <c r="B43" i="12"/>
  <c r="B4" i="12"/>
  <c r="B42" i="12"/>
  <c r="B3" i="12"/>
  <c r="B25" i="12"/>
  <c r="B32" i="12"/>
  <c r="B48" i="12"/>
  <c r="B31" i="12"/>
  <c r="B30" i="12"/>
  <c r="B10" i="12"/>
  <c r="B9" i="12"/>
  <c r="B50" i="12"/>
  <c r="B11" i="12"/>
  <c r="B49" i="12"/>
  <c r="B46" i="12"/>
  <c r="B7" i="12"/>
  <c r="B45" i="12"/>
  <c r="B6" i="12"/>
  <c r="B27" i="12"/>
  <c r="B29" i="12"/>
  <c r="B28" i="12"/>
  <c r="B47" i="12"/>
  <c r="B8" i="12"/>
  <c r="B35" i="12"/>
  <c r="B53" i="12"/>
  <c r="B14" i="12"/>
  <c r="B52" i="12"/>
  <c r="B13" i="12"/>
  <c r="B34" i="12"/>
  <c r="B51" i="12"/>
  <c r="B12" i="12"/>
  <c r="B33" i="12"/>
  <c r="U50" i="12"/>
  <c r="U49" i="12"/>
  <c r="U48" i="12"/>
  <c r="U44" i="12"/>
  <c r="U43" i="12"/>
  <c r="U42" i="12"/>
  <c r="N20" i="11"/>
  <c r="N32" i="11" s="1"/>
  <c r="U28" i="12"/>
  <c r="U27" i="12"/>
  <c r="U29" i="12"/>
  <c r="S2" i="13"/>
  <c r="R2" i="13"/>
  <c r="N37" i="11"/>
  <c r="N49" i="11" s="1"/>
  <c r="L44" i="12" s="1"/>
  <c r="M47" i="12"/>
  <c r="M46" i="12"/>
  <c r="M45" i="12"/>
  <c r="O14" i="12"/>
  <c r="O13" i="12"/>
  <c r="O12" i="12"/>
  <c r="C12" i="12"/>
  <c r="C51" i="12"/>
  <c r="C33" i="12"/>
  <c r="C52" i="12"/>
  <c r="C34" i="12"/>
  <c r="C14" i="12"/>
  <c r="C13" i="12"/>
  <c r="C53" i="12"/>
  <c r="C35" i="12"/>
  <c r="K2" i="13"/>
  <c r="K14" i="13" s="1"/>
  <c r="L26" i="12"/>
  <c r="L25" i="12"/>
  <c r="L24" i="12"/>
  <c r="M29" i="12"/>
  <c r="M28" i="12"/>
  <c r="M27" i="12"/>
  <c r="L43" i="12"/>
  <c r="L42" i="12"/>
  <c r="L4" i="12"/>
  <c r="L3" i="12"/>
  <c r="L5" i="12"/>
  <c r="O25" i="11"/>
  <c r="O24" i="11"/>
  <c r="O42" i="11"/>
  <c r="O8" i="11"/>
  <c r="O41" i="11"/>
  <c r="O51" i="11" s="1"/>
  <c r="O7" i="11"/>
  <c r="O17" i="11" s="1"/>
  <c r="Q26" i="11"/>
  <c r="Q35" i="11" s="1"/>
  <c r="L35" i="12"/>
  <c r="L34" i="12"/>
  <c r="L33" i="12"/>
  <c r="O29" i="12"/>
  <c r="O28" i="12"/>
  <c r="O27" i="12"/>
  <c r="V12" i="12"/>
  <c r="AD72" i="12" s="1"/>
  <c r="AD12" i="12" s="1"/>
  <c r="M8" i="12"/>
  <c r="M7" i="12"/>
  <c r="M6" i="12"/>
  <c r="P10" i="11"/>
  <c r="P26" i="11"/>
  <c r="P35" i="11" s="1"/>
  <c r="P43" i="11"/>
  <c r="P52" i="11" s="1"/>
  <c r="P9" i="11"/>
  <c r="P18" i="11" s="1"/>
  <c r="P27" i="11"/>
  <c r="P44" i="11"/>
  <c r="P14" i="12"/>
  <c r="P13" i="12"/>
  <c r="P12" i="12"/>
  <c r="P41" i="11"/>
  <c r="P51" i="11" s="1"/>
  <c r="P24" i="11"/>
  <c r="P34" i="11" s="1"/>
  <c r="P42" i="11"/>
  <c r="P8" i="11"/>
  <c r="P7" i="11"/>
  <c r="P25" i="11"/>
  <c r="D48" i="12"/>
  <c r="D30" i="12"/>
  <c r="D10" i="12"/>
  <c r="D50" i="12"/>
  <c r="D32" i="12"/>
  <c r="D11" i="12"/>
  <c r="D9" i="12"/>
  <c r="D49" i="12"/>
  <c r="D31" i="12"/>
  <c r="V51" i="12"/>
  <c r="P9" i="12"/>
  <c r="P11" i="12"/>
  <c r="P10" i="12"/>
  <c r="P39" i="11"/>
  <c r="P50" i="11" s="1"/>
  <c r="P5" i="11"/>
  <c r="P16" i="11" s="1"/>
  <c r="P23" i="11"/>
  <c r="P40" i="11"/>
  <c r="P6" i="11"/>
  <c r="P22" i="11"/>
  <c r="P33" i="11" s="1"/>
  <c r="O26" i="12"/>
  <c r="O25" i="12"/>
  <c r="O24" i="12"/>
  <c r="O21" i="11"/>
  <c r="O4" i="11"/>
  <c r="O20" i="11"/>
  <c r="O32" i="11" s="1"/>
  <c r="O38" i="11"/>
  <c r="O37" i="11"/>
  <c r="O49" i="11" s="1"/>
  <c r="O3" i="11"/>
  <c r="O15" i="11" s="1"/>
  <c r="P32" i="12"/>
  <c r="P30" i="12"/>
  <c r="P31" i="12"/>
  <c r="E45" i="12"/>
  <c r="E27" i="12"/>
  <c r="H9" i="3"/>
  <c r="AC28" i="12"/>
  <c r="AC46" i="12"/>
  <c r="AC7" i="12"/>
  <c r="H10" i="3"/>
  <c r="AC47" i="12"/>
  <c r="AC29" i="12"/>
  <c r="AC8" i="12"/>
  <c r="H8" i="3"/>
  <c r="AC45" i="12"/>
  <c r="AC27" i="12"/>
  <c r="AC6" i="12"/>
  <c r="R16" i="11"/>
  <c r="Q43" i="11"/>
  <c r="Q52" i="11" s="1"/>
  <c r="L7" i="13"/>
  <c r="L17" i="13" s="1"/>
  <c r="Y50" i="11"/>
  <c r="N40" i="11"/>
  <c r="L4" i="13"/>
  <c r="Q4" i="11"/>
  <c r="Y32" i="11"/>
  <c r="N6" i="11"/>
  <c r="Q3" i="11"/>
  <c r="Q15" i="11" s="1"/>
  <c r="Q21" i="11"/>
  <c r="L3" i="13"/>
  <c r="L15" i="13" s="1"/>
  <c r="R51" i="11"/>
  <c r="Q37" i="11"/>
  <c r="Q49" i="11" s="1"/>
  <c r="W35" i="12"/>
  <c r="M16" i="13"/>
  <c r="L2" i="13"/>
  <c r="L14" i="13" s="1"/>
  <c r="W14" i="12"/>
  <c r="AE74" i="12" s="1"/>
  <c r="AE14" i="12" s="1"/>
  <c r="O34" i="11"/>
  <c r="V29" i="12"/>
  <c r="N21" i="11"/>
  <c r="W51" i="12"/>
  <c r="W33" i="12"/>
  <c r="O18" i="11"/>
  <c r="O52" i="11"/>
  <c r="O35" i="11"/>
  <c r="W43" i="12"/>
  <c r="W4" i="12"/>
  <c r="AE62" i="12" s="1"/>
  <c r="AE43" i="12" s="1"/>
  <c r="V46" i="12"/>
  <c r="V28" i="12"/>
  <c r="V5" i="12"/>
  <c r="AD63" i="12" s="1"/>
  <c r="AD5" i="12" s="1"/>
  <c r="V44" i="12"/>
  <c r="V26" i="12"/>
  <c r="W24" i="12"/>
  <c r="W42" i="12"/>
  <c r="V47" i="12"/>
  <c r="V13" i="12"/>
  <c r="AD73" i="12" s="1"/>
  <c r="AD34" i="12" s="1"/>
  <c r="V34" i="12"/>
  <c r="K4" i="13"/>
  <c r="N38" i="11"/>
  <c r="Q25" i="11"/>
  <c r="Q42" i="11"/>
  <c r="N41" i="11"/>
  <c r="N51" i="11" s="1"/>
  <c r="K6" i="13"/>
  <c r="K16" i="13" s="1"/>
  <c r="N24" i="11"/>
  <c r="N34" i="11" s="1"/>
  <c r="N7" i="11"/>
  <c r="N17" i="11" s="1"/>
  <c r="N22" i="11"/>
  <c r="N33" i="11" s="1"/>
  <c r="N39" i="11"/>
  <c r="N50" i="11" s="1"/>
  <c r="P49" i="11"/>
  <c r="P32" i="11"/>
  <c r="Q7" i="11"/>
  <c r="Q17" i="11" s="1"/>
  <c r="Q24" i="11"/>
  <c r="Q34" i="11" s="1"/>
  <c r="Q41" i="11"/>
  <c r="Q51" i="11" s="1"/>
  <c r="V10" i="12"/>
  <c r="AD68" i="12" s="1"/>
  <c r="AD10" i="12" s="1"/>
  <c r="V49" i="12"/>
  <c r="V31" i="12"/>
  <c r="V14" i="12"/>
  <c r="AD74" i="12" s="1"/>
  <c r="AD14" i="12" s="1"/>
  <c r="V53" i="12"/>
  <c r="V35" i="12"/>
  <c r="R35" i="11"/>
  <c r="R52" i="11"/>
  <c r="Q5" i="11"/>
  <c r="Q16" i="11" s="1"/>
  <c r="Q39" i="11"/>
  <c r="Q50" i="11" s="1"/>
  <c r="W48" i="12"/>
  <c r="W30" i="12"/>
  <c r="W9" i="12"/>
  <c r="AE67" i="12" s="1"/>
  <c r="AE48" i="12" s="1"/>
  <c r="K8" i="13"/>
  <c r="N42" i="11"/>
  <c r="W47" i="12"/>
  <c r="W29" i="12"/>
  <c r="W8" i="12"/>
  <c r="AE66" i="12" s="1"/>
  <c r="AE47" i="12" s="1"/>
  <c r="N25" i="11"/>
  <c r="V42" i="12"/>
  <c r="V24" i="12"/>
  <c r="V3" i="12"/>
  <c r="AD61" i="12" s="1"/>
  <c r="AD3" i="12" s="1"/>
  <c r="W46" i="12"/>
  <c r="W28" i="12"/>
  <c r="W7" i="12"/>
  <c r="AE65" i="12" s="1"/>
  <c r="AE7" i="12" s="1"/>
  <c r="W11" i="12"/>
  <c r="AE69" i="12" s="1"/>
  <c r="AE11" i="12" s="1"/>
  <c r="W50" i="12"/>
  <c r="W32" i="12"/>
  <c r="V50" i="12"/>
  <c r="V32" i="12"/>
  <c r="V11" i="12"/>
  <c r="AD69" i="12" s="1"/>
  <c r="AD50" i="12" s="1"/>
  <c r="R32" i="11"/>
  <c r="R15" i="11"/>
  <c r="M14" i="13"/>
  <c r="R49" i="11"/>
  <c r="N9" i="11"/>
  <c r="N18" i="11" s="1"/>
  <c r="N43" i="11"/>
  <c r="N52" i="11" s="1"/>
  <c r="R33" i="11"/>
  <c r="R50" i="11"/>
  <c r="P17" i="11"/>
  <c r="W49" i="12"/>
  <c r="W31" i="12"/>
  <c r="W10" i="12"/>
  <c r="AE68" i="12" s="1"/>
  <c r="AE49" i="12" s="1"/>
  <c r="M17" i="13"/>
  <c r="K3" i="13"/>
  <c r="K15" i="13" s="1"/>
  <c r="L8" i="13"/>
  <c r="N5" i="11"/>
  <c r="N16" i="11" s="1"/>
  <c r="P15" i="11"/>
  <c r="Q27" i="11"/>
  <c r="Q44" i="11"/>
  <c r="Q10" i="11"/>
  <c r="L9" i="13"/>
  <c r="Q23" i="11"/>
  <c r="Q40" i="11"/>
  <c r="L5" i="13"/>
  <c r="Q6" i="11"/>
  <c r="AA34" i="12"/>
  <c r="AA52" i="12"/>
  <c r="AA13" i="12"/>
  <c r="AI73" i="12" s="1"/>
  <c r="AI52" i="12" s="1"/>
  <c r="AA44" i="12"/>
  <c r="AA26" i="12"/>
  <c r="AA5" i="12"/>
  <c r="AI63" i="12" s="1"/>
  <c r="AI26" i="12" s="1"/>
  <c r="AA28" i="12"/>
  <c r="AA7" i="12"/>
  <c r="AI65" i="12" s="1"/>
  <c r="AI28" i="12" s="1"/>
  <c r="AA46" i="12"/>
  <c r="AJ69" i="12"/>
  <c r="AJ50" i="12" s="1"/>
  <c r="AA53" i="12"/>
  <c r="AA14" i="12"/>
  <c r="AI74" i="12" s="1"/>
  <c r="AI53" i="12" s="1"/>
  <c r="AA35" i="12"/>
  <c r="AJ61" i="12"/>
  <c r="AJ42" i="12" s="1"/>
  <c r="AJ64" i="12"/>
  <c r="AJ27" i="12" s="1"/>
  <c r="AJ73" i="12"/>
  <c r="AJ13" i="12" s="1"/>
  <c r="W23" i="12"/>
  <c r="W41" i="12"/>
  <c r="D23" i="12"/>
  <c r="D41" i="12"/>
  <c r="F23" i="12"/>
  <c r="F41" i="12"/>
  <c r="R41" i="12"/>
  <c r="AA23" i="12"/>
  <c r="AA41" i="12"/>
  <c r="Q41" i="12"/>
  <c r="B23" i="12"/>
  <c r="B41" i="12"/>
  <c r="Y23" i="12"/>
  <c r="Y41" i="12"/>
  <c r="I23" i="12"/>
  <c r="I41" i="12"/>
  <c r="U41" i="12"/>
  <c r="O41" i="12"/>
  <c r="P41" i="12"/>
  <c r="C23" i="12"/>
  <c r="C41" i="12"/>
  <c r="K41" i="12"/>
  <c r="T41" i="12"/>
  <c r="E23" i="12"/>
  <c r="E41" i="12"/>
  <c r="L41" i="12"/>
  <c r="S41" i="12"/>
  <c r="V23" i="12"/>
  <c r="V41" i="12"/>
  <c r="S31" i="24"/>
  <c r="S39" i="24" s="1"/>
  <c r="S32" i="24"/>
  <c r="S40" i="24" s="1"/>
  <c r="S33" i="24"/>
  <c r="S41" i="24" s="1"/>
  <c r="I31" i="24"/>
  <c r="I39" i="24" s="1"/>
  <c r="I32" i="24"/>
  <c r="I40" i="24" s="1"/>
  <c r="I33" i="24"/>
  <c r="I41" i="24" s="1"/>
  <c r="J31" i="24"/>
  <c r="J39" i="24" s="1"/>
  <c r="J32" i="24"/>
  <c r="J40" i="24" s="1"/>
  <c r="J33" i="24"/>
  <c r="J41" i="24" s="1"/>
  <c r="C29" i="24"/>
  <c r="C28" i="24"/>
  <c r="C27" i="24"/>
  <c r="O33" i="24"/>
  <c r="O41" i="24" s="1"/>
  <c r="O31" i="24"/>
  <c r="O39" i="24" s="1"/>
  <c r="O32" i="24"/>
  <c r="O40" i="24" s="1"/>
  <c r="N32" i="24"/>
  <c r="N40" i="24" s="1"/>
  <c r="N33" i="24"/>
  <c r="N41" i="24" s="1"/>
  <c r="N31" i="24"/>
  <c r="N39" i="24" s="1"/>
  <c r="T31" i="24"/>
  <c r="T39" i="24" s="1"/>
  <c r="T32" i="24"/>
  <c r="T40" i="24" s="1"/>
  <c r="T33" i="24"/>
  <c r="T41" i="24" s="1"/>
  <c r="AI24" i="12"/>
  <c r="AI3" i="12"/>
  <c r="AI42" i="12"/>
  <c r="AH25" i="12"/>
  <c r="AH4" i="12"/>
  <c r="AH43" i="12"/>
  <c r="AG26" i="12"/>
  <c r="AG5" i="12"/>
  <c r="AG44" i="12"/>
  <c r="AF6" i="12"/>
  <c r="AF27" i="12"/>
  <c r="AF45" i="12"/>
  <c r="AJ31" i="12"/>
  <c r="AJ49" i="12"/>
  <c r="AJ10" i="12"/>
  <c r="AI50" i="12"/>
  <c r="AI11" i="12"/>
  <c r="AI32" i="12"/>
  <c r="AH51" i="12"/>
  <c r="AH33" i="12"/>
  <c r="AH12" i="12"/>
  <c r="AG52" i="12"/>
  <c r="AG13" i="12"/>
  <c r="AG34" i="12"/>
  <c r="AF53" i="12"/>
  <c r="AF35" i="12"/>
  <c r="AF14" i="12"/>
  <c r="AF43" i="12"/>
  <c r="AF4" i="12"/>
  <c r="AF25" i="12"/>
  <c r="AH10" i="12"/>
  <c r="AH31" i="12"/>
  <c r="AH49" i="12"/>
  <c r="AE34" i="12"/>
  <c r="AE13" i="12"/>
  <c r="AE52" i="12"/>
  <c r="AF26" i="12"/>
  <c r="AF44" i="12"/>
  <c r="AF5" i="12"/>
  <c r="AJ9" i="12"/>
  <c r="AJ30" i="12"/>
  <c r="AJ48" i="12"/>
  <c r="AI4" i="12"/>
  <c r="AI43" i="12"/>
  <c r="AI25" i="12"/>
  <c r="AH5" i="12"/>
  <c r="AH44" i="12"/>
  <c r="AH26" i="12"/>
  <c r="AG45" i="12"/>
  <c r="AG27" i="12"/>
  <c r="AG6" i="12"/>
  <c r="AF7" i="12"/>
  <c r="AF46" i="12"/>
  <c r="AF28" i="12"/>
  <c r="AI51" i="12"/>
  <c r="AI12" i="12"/>
  <c r="AI33" i="12"/>
  <c r="AH52" i="12"/>
  <c r="AH13" i="12"/>
  <c r="AH34" i="12"/>
  <c r="AG53" i="12"/>
  <c r="AG35" i="12"/>
  <c r="AG14" i="12"/>
  <c r="AJ46" i="12"/>
  <c r="AJ28" i="12"/>
  <c r="AJ7" i="12"/>
  <c r="AI8" i="12"/>
  <c r="AI47" i="12"/>
  <c r="AI29" i="12"/>
  <c r="AF11" i="12"/>
  <c r="AF50" i="12"/>
  <c r="AF32" i="12"/>
  <c r="AG42" i="12"/>
  <c r="AG24" i="12"/>
  <c r="AG3" i="12"/>
  <c r="AD8" i="12"/>
  <c r="AD29" i="12"/>
  <c r="AD47" i="12"/>
  <c r="AI30" i="12"/>
  <c r="AI48" i="12"/>
  <c r="AI9" i="12"/>
  <c r="AF33" i="12"/>
  <c r="AF51" i="12"/>
  <c r="AF12" i="12"/>
  <c r="AH42" i="12"/>
  <c r="AH3" i="12"/>
  <c r="AH24" i="12"/>
  <c r="AD30" i="12"/>
  <c r="AD48" i="12"/>
  <c r="AD9" i="12"/>
  <c r="AH50" i="12"/>
  <c r="AH32" i="12"/>
  <c r="AH11" i="12"/>
  <c r="AG12" i="12"/>
  <c r="AG33" i="12"/>
  <c r="AG51" i="12"/>
  <c r="AF34" i="12"/>
  <c r="AF52" i="12"/>
  <c r="AF13" i="12"/>
  <c r="AJ25" i="12"/>
  <c r="AJ4" i="12"/>
  <c r="AJ43" i="12"/>
  <c r="AG46" i="12"/>
  <c r="AG28" i="12"/>
  <c r="AG7" i="12"/>
  <c r="AJ51" i="12"/>
  <c r="AJ12" i="12"/>
  <c r="AJ33" i="12"/>
  <c r="AH35" i="12"/>
  <c r="AH14" i="12"/>
  <c r="AH53" i="12"/>
  <c r="AJ5" i="12"/>
  <c r="AJ44" i="12"/>
  <c r="AJ26" i="12"/>
  <c r="AI45" i="12"/>
  <c r="AI6" i="12"/>
  <c r="AI27" i="12"/>
  <c r="AH46" i="12"/>
  <c r="AH28" i="12"/>
  <c r="AH7" i="12"/>
  <c r="AG47" i="12"/>
  <c r="AG8" i="12"/>
  <c r="AG29" i="12"/>
  <c r="AF48" i="12"/>
  <c r="AF30" i="12"/>
  <c r="AF9" i="12"/>
  <c r="AF3" i="12"/>
  <c r="AF42" i="12"/>
  <c r="AF24" i="12"/>
  <c r="AD7" i="12"/>
  <c r="AD46" i="12"/>
  <c r="AD28" i="12"/>
  <c r="AH9" i="12"/>
  <c r="AH30" i="12"/>
  <c r="AH48" i="12"/>
  <c r="AG49" i="12"/>
  <c r="AG10" i="12"/>
  <c r="AG31" i="12"/>
  <c r="AE33" i="12"/>
  <c r="AE51" i="12"/>
  <c r="AE12" i="12"/>
  <c r="AE44" i="12"/>
  <c r="AE5" i="12"/>
  <c r="AE26" i="12"/>
  <c r="AJ8" i="12"/>
  <c r="AJ29" i="12"/>
  <c r="AJ47" i="12"/>
  <c r="AG32" i="12"/>
  <c r="AG11" i="12"/>
  <c r="AG50" i="12"/>
  <c r="AG43" i="12"/>
  <c r="AG25" i="12"/>
  <c r="AG4" i="12"/>
  <c r="AE6" i="12"/>
  <c r="AE45" i="12"/>
  <c r="AE27" i="12"/>
  <c r="AI31" i="12"/>
  <c r="AI49" i="12"/>
  <c r="AI10" i="12"/>
  <c r="AD25" i="12"/>
  <c r="AD43" i="12"/>
  <c r="AD4" i="12"/>
  <c r="AH6" i="12"/>
  <c r="AH45" i="12"/>
  <c r="AH27" i="12"/>
  <c r="AF47" i="12"/>
  <c r="AF8" i="12"/>
  <c r="AF29" i="12"/>
  <c r="AD51" i="12"/>
  <c r="AE42" i="12"/>
  <c r="AE3" i="12"/>
  <c r="AE24" i="12"/>
  <c r="AD45" i="12"/>
  <c r="AD27" i="12"/>
  <c r="AD6" i="12"/>
  <c r="AH29" i="12"/>
  <c r="AH8" i="12"/>
  <c r="AH47" i="12"/>
  <c r="AG48" i="12"/>
  <c r="AG9" i="12"/>
  <c r="AG30" i="12"/>
  <c r="AF10" i="12"/>
  <c r="AF31" i="12"/>
  <c r="AF49" i="12"/>
  <c r="AJ53" i="12"/>
  <c r="AJ35" i="12"/>
  <c r="AJ14" i="12"/>
  <c r="Y52" i="11"/>
  <c r="X8" i="11"/>
  <c r="Y35" i="11"/>
  <c r="X4" i="11"/>
  <c r="X16" i="11" s="1"/>
  <c r="Y34" i="11"/>
  <c r="X3" i="11"/>
  <c r="X15" i="11" s="1"/>
  <c r="X7" i="11"/>
  <c r="X9" i="11"/>
  <c r="X10" i="11"/>
  <c r="W3" i="11"/>
  <c r="W15" i="11" s="1"/>
  <c r="AK62" i="12" s="1"/>
  <c r="X6" i="11"/>
  <c r="X18" i="11" s="1"/>
  <c r="W4" i="11"/>
  <c r="W16" i="11" s="1"/>
  <c r="X5" i="11"/>
  <c r="X17" i="11" s="1"/>
  <c r="W6" i="11"/>
  <c r="W18" i="11" s="1"/>
  <c r="AK72" i="12" s="1"/>
  <c r="W5" i="11"/>
  <c r="W17" i="11" s="1"/>
  <c r="AK68" i="12" s="1"/>
  <c r="W7" i="11"/>
  <c r="W8" i="11"/>
  <c r="W9" i="11"/>
  <c r="W10" i="11"/>
  <c r="Y9" i="11"/>
  <c r="Y4" i="11"/>
  <c r="Y10" i="11"/>
  <c r="Y8" i="11"/>
  <c r="Y7" i="11"/>
  <c r="Y5" i="11"/>
  <c r="Y6" i="11"/>
  <c r="Q6" i="13"/>
  <c r="V18" i="11"/>
  <c r="V16" i="11"/>
  <c r="V15" i="11"/>
  <c r="V17" i="11"/>
  <c r="Q9" i="13"/>
  <c r="Q7" i="13"/>
  <c r="Q3" i="13"/>
  <c r="Q8" i="13"/>
  <c r="Q5" i="13"/>
  <c r="Q4" i="13"/>
  <c r="AD33" i="12" l="1"/>
  <c r="AE46" i="12"/>
  <c r="U46" i="12"/>
  <c r="U45" i="12"/>
  <c r="U47" i="12"/>
  <c r="S4" i="13"/>
  <c r="R4" i="13"/>
  <c r="R5" i="13"/>
  <c r="S5" i="13"/>
  <c r="U31" i="12"/>
  <c r="U32" i="12"/>
  <c r="U30" i="12"/>
  <c r="R7" i="13"/>
  <c r="S7" i="13"/>
  <c r="U26" i="12"/>
  <c r="U25" i="12"/>
  <c r="U24" i="12"/>
  <c r="U34" i="12"/>
  <c r="U33" i="12"/>
  <c r="U35" i="12"/>
  <c r="R9" i="13"/>
  <c r="S9" i="13"/>
  <c r="R6" i="13"/>
  <c r="S6" i="13"/>
  <c r="R3" i="13"/>
  <c r="S3" i="13"/>
  <c r="S8" i="13"/>
  <c r="R8" i="13"/>
  <c r="U52" i="12"/>
  <c r="U51" i="12"/>
  <c r="U53" i="12"/>
  <c r="L46" i="12"/>
  <c r="L45" i="12"/>
  <c r="L47" i="12"/>
  <c r="M30" i="12"/>
  <c r="M31" i="12"/>
  <c r="M32" i="12"/>
  <c r="L7" i="12"/>
  <c r="L8" i="12"/>
  <c r="L6" i="12"/>
  <c r="O6" i="12"/>
  <c r="O8" i="12"/>
  <c r="O7" i="12"/>
  <c r="L53" i="12"/>
  <c r="L52" i="12"/>
  <c r="L51" i="12"/>
  <c r="P53" i="12"/>
  <c r="P52" i="12"/>
  <c r="P51" i="12"/>
  <c r="O49" i="12"/>
  <c r="O50" i="12"/>
  <c r="O48" i="12"/>
  <c r="L32" i="12"/>
  <c r="L31" i="12"/>
  <c r="L30" i="12"/>
  <c r="D25" i="12"/>
  <c r="D44" i="12"/>
  <c r="D24" i="12"/>
  <c r="D4" i="12"/>
  <c r="D3" i="12"/>
  <c r="D5" i="12"/>
  <c r="D42" i="12"/>
  <c r="D26" i="12"/>
  <c r="D43" i="12"/>
  <c r="M5" i="12"/>
  <c r="M3" i="12"/>
  <c r="M4" i="12"/>
  <c r="C43" i="12"/>
  <c r="C3" i="12"/>
  <c r="C42" i="12"/>
  <c r="C24" i="12"/>
  <c r="C44" i="12"/>
  <c r="C26" i="12"/>
  <c r="C5" i="12"/>
  <c r="C4" i="12"/>
  <c r="C25" i="12"/>
  <c r="L13" i="12"/>
  <c r="L14" i="12"/>
  <c r="L12" i="12"/>
  <c r="C47" i="12"/>
  <c r="C27" i="12"/>
  <c r="C8" i="12"/>
  <c r="C46" i="12"/>
  <c r="C28" i="12"/>
  <c r="C7" i="12"/>
  <c r="C45" i="12"/>
  <c r="C29" i="12"/>
  <c r="C6" i="12"/>
  <c r="O31" i="12"/>
  <c r="O30" i="12"/>
  <c r="O32" i="12"/>
  <c r="O51" i="12"/>
  <c r="O53" i="12"/>
  <c r="O52" i="12"/>
  <c r="L49" i="12"/>
  <c r="L50" i="12"/>
  <c r="L48" i="12"/>
  <c r="M50" i="12"/>
  <c r="M49" i="12"/>
  <c r="M48" i="12"/>
  <c r="O43" i="12"/>
  <c r="O42" i="12"/>
  <c r="O44" i="12"/>
  <c r="M26" i="12"/>
  <c r="M25" i="12"/>
  <c r="M24" i="12"/>
  <c r="P34" i="12"/>
  <c r="P35" i="12"/>
  <c r="P33" i="12"/>
  <c r="C49" i="12"/>
  <c r="C31" i="12"/>
  <c r="C11" i="12"/>
  <c r="C10" i="12"/>
  <c r="C9" i="12"/>
  <c r="C30" i="12"/>
  <c r="C48" i="12"/>
  <c r="C32" i="12"/>
  <c r="C50" i="12"/>
  <c r="M42" i="12"/>
  <c r="M44" i="12"/>
  <c r="M43" i="12"/>
  <c r="P42" i="12"/>
  <c r="P44" i="12"/>
  <c r="P43" i="12"/>
  <c r="O9" i="12"/>
  <c r="O10" i="12"/>
  <c r="O11" i="12"/>
  <c r="P6" i="12"/>
  <c r="P8" i="12"/>
  <c r="P7" i="12"/>
  <c r="M35" i="12"/>
  <c r="M34" i="12"/>
  <c r="M33" i="12"/>
  <c r="P50" i="12"/>
  <c r="P49" i="12"/>
  <c r="P48" i="12"/>
  <c r="O34" i="12"/>
  <c r="O33" i="12"/>
  <c r="O35" i="12"/>
  <c r="M52" i="12"/>
  <c r="M53" i="12"/>
  <c r="M51" i="12"/>
  <c r="P45" i="12"/>
  <c r="P47" i="12"/>
  <c r="P46" i="12"/>
  <c r="O45" i="12"/>
  <c r="O47" i="12"/>
  <c r="O46" i="12"/>
  <c r="M11" i="12"/>
  <c r="M10" i="12"/>
  <c r="M9" i="12"/>
  <c r="P25" i="12"/>
  <c r="P26" i="12"/>
  <c r="P24" i="12"/>
  <c r="D45" i="12"/>
  <c r="D29" i="12"/>
  <c r="D6" i="12"/>
  <c r="D28" i="12"/>
  <c r="D46" i="12"/>
  <c r="D47" i="12"/>
  <c r="D27" i="12"/>
  <c r="D8" i="12"/>
  <c r="D7" i="12"/>
  <c r="L29" i="12"/>
  <c r="L28" i="12"/>
  <c r="L27" i="12"/>
  <c r="M12" i="12"/>
  <c r="M14" i="12"/>
  <c r="M13" i="12"/>
  <c r="P28" i="12"/>
  <c r="P27" i="12"/>
  <c r="P29" i="12"/>
  <c r="L11" i="12"/>
  <c r="L10" i="12"/>
  <c r="L9" i="12"/>
  <c r="O3" i="12"/>
  <c r="O5" i="12"/>
  <c r="O4" i="12"/>
  <c r="D51" i="12"/>
  <c r="D35" i="12"/>
  <c r="D14" i="12"/>
  <c r="D52" i="12"/>
  <c r="D34" i="12"/>
  <c r="D13" i="12"/>
  <c r="D12" i="12"/>
  <c r="D53" i="12"/>
  <c r="D33" i="12"/>
  <c r="E51" i="12"/>
  <c r="E33" i="12"/>
  <c r="E30" i="12"/>
  <c r="E48" i="12"/>
  <c r="E28" i="12"/>
  <c r="E29" i="12"/>
  <c r="E46" i="12"/>
  <c r="E47" i="12"/>
  <c r="E42" i="12"/>
  <c r="E24" i="12"/>
  <c r="P3" i="12"/>
  <c r="P5" i="12"/>
  <c r="P4" i="12"/>
  <c r="AE53" i="12"/>
  <c r="AE35" i="12"/>
  <c r="AD49" i="12"/>
  <c r="AD53" i="12"/>
  <c r="AD32" i="12"/>
  <c r="AE9" i="12"/>
  <c r="AE28" i="12"/>
  <c r="AJ11" i="12"/>
  <c r="AE4" i="12"/>
  <c r="AJ32" i="12"/>
  <c r="AE25" i="12"/>
  <c r="AE50" i="12"/>
  <c r="AE32" i="12"/>
  <c r="AI7" i="12"/>
  <c r="AE31" i="12"/>
  <c r="AE29" i="12"/>
  <c r="AE30" i="12"/>
  <c r="AI5" i="12"/>
  <c r="AI13" i="12"/>
  <c r="AJ6" i="12"/>
  <c r="AI44" i="12"/>
  <c r="AD42" i="12"/>
  <c r="AD31" i="12"/>
  <c r="AD52" i="12"/>
  <c r="AD13" i="12"/>
  <c r="AJ45" i="12"/>
  <c r="AD35" i="12"/>
  <c r="AJ52" i="12"/>
  <c r="AE10" i="12"/>
  <c r="AD44" i="12"/>
  <c r="AI34" i="12"/>
  <c r="AE8" i="12"/>
  <c r="AI35" i="12"/>
  <c r="AI46" i="12"/>
  <c r="AJ34" i="12"/>
  <c r="AJ24" i="12"/>
  <c r="AD11" i="12"/>
  <c r="AJ3" i="12"/>
  <c r="AI14" i="12"/>
  <c r="AD26" i="12"/>
  <c r="AD24" i="12"/>
  <c r="AC11" i="12"/>
  <c r="AC32" i="12"/>
  <c r="AC50" i="12"/>
  <c r="AC48" i="12"/>
  <c r="AC9" i="12"/>
  <c r="AC30" i="12"/>
  <c r="AC10" i="12"/>
  <c r="AC49" i="12"/>
  <c r="AC31" i="12"/>
  <c r="E3" i="12"/>
  <c r="AK31" i="12"/>
  <c r="AK49" i="12"/>
  <c r="AK10" i="12"/>
  <c r="AK51" i="12"/>
  <c r="AK33" i="12"/>
  <c r="AK12" i="12"/>
  <c r="AK25" i="12"/>
  <c r="AK4" i="12"/>
  <c r="AK43" i="12"/>
  <c r="AK63" i="12"/>
  <c r="AK65" i="12"/>
  <c r="AK66" i="12"/>
  <c r="AK64" i="12"/>
  <c r="AK61" i="12"/>
  <c r="AK69" i="12"/>
  <c r="AK74" i="12"/>
  <c r="AK73" i="12"/>
  <c r="AK67" i="12"/>
  <c r="S14" i="13"/>
  <c r="D14" i="20"/>
  <c r="D13" i="20"/>
  <c r="D25" i="20" s="1"/>
  <c r="Q17" i="13"/>
  <c r="Y16" i="11"/>
  <c r="Y15" i="11"/>
  <c r="Y17" i="11"/>
  <c r="Y18" i="11"/>
  <c r="Q16" i="13"/>
  <c r="Q15" i="13"/>
  <c r="S15" i="13" l="1"/>
  <c r="J46" i="12" s="1"/>
  <c r="F27" i="12"/>
  <c r="F47" i="12"/>
  <c r="F29" i="12"/>
  <c r="F8" i="12"/>
  <c r="F46" i="12"/>
  <c r="F28" i="12"/>
  <c r="F7" i="12"/>
  <c r="F6" i="12"/>
  <c r="F45" i="12"/>
  <c r="F52" i="12"/>
  <c r="F34" i="12"/>
  <c r="F12" i="12"/>
  <c r="F35" i="12"/>
  <c r="F51" i="12"/>
  <c r="F33" i="12"/>
  <c r="F53" i="12"/>
  <c r="F14" i="12"/>
  <c r="F13" i="12"/>
  <c r="U13" i="12"/>
  <c r="U12" i="12"/>
  <c r="U14" i="12"/>
  <c r="F44" i="12"/>
  <c r="F26" i="12"/>
  <c r="F3" i="12"/>
  <c r="F43" i="12"/>
  <c r="F25" i="12"/>
  <c r="F42" i="12"/>
  <c r="F24" i="12"/>
  <c r="F5" i="12"/>
  <c r="F4" i="12"/>
  <c r="U10" i="12"/>
  <c r="U11" i="12"/>
  <c r="U9" i="12"/>
  <c r="F48" i="12"/>
  <c r="F30" i="12"/>
  <c r="F11" i="12"/>
  <c r="F10" i="12"/>
  <c r="F50" i="12"/>
  <c r="F32" i="12"/>
  <c r="F49" i="12"/>
  <c r="F31" i="12"/>
  <c r="U5" i="12"/>
  <c r="U3" i="12"/>
  <c r="U4" i="12"/>
  <c r="U7" i="12"/>
  <c r="U6" i="12"/>
  <c r="U8" i="12"/>
  <c r="E34" i="12"/>
  <c r="E35" i="12"/>
  <c r="E52" i="12"/>
  <c r="E53" i="12"/>
  <c r="E32" i="12"/>
  <c r="E31" i="12"/>
  <c r="E50" i="12"/>
  <c r="E49" i="12"/>
  <c r="E25" i="12"/>
  <c r="E26" i="12"/>
  <c r="E44" i="12"/>
  <c r="E43" i="12"/>
  <c r="J6" i="12"/>
  <c r="J27" i="12"/>
  <c r="J45" i="12"/>
  <c r="J28" i="12"/>
  <c r="J3" i="12"/>
  <c r="J42" i="12"/>
  <c r="J26" i="12"/>
  <c r="J43" i="12"/>
  <c r="J4" i="12"/>
  <c r="J44" i="12"/>
  <c r="J24" i="12"/>
  <c r="J5" i="12"/>
  <c r="J25" i="12"/>
  <c r="F9" i="12"/>
  <c r="AK6" i="12"/>
  <c r="AK45" i="12"/>
  <c r="AK27" i="12"/>
  <c r="AK30" i="12"/>
  <c r="AK9" i="12"/>
  <c r="AK48" i="12"/>
  <c r="AK34" i="12"/>
  <c r="AK52" i="12"/>
  <c r="AK13" i="12"/>
  <c r="AK29" i="12"/>
  <c r="AK8" i="12"/>
  <c r="AK47" i="12"/>
  <c r="AK28" i="12"/>
  <c r="AK7" i="12"/>
  <c r="AK46" i="12"/>
  <c r="AK44" i="12"/>
  <c r="AK26" i="12"/>
  <c r="AK5" i="12"/>
  <c r="AK50" i="12"/>
  <c r="AK32" i="12"/>
  <c r="AK11" i="12"/>
  <c r="AK3" i="12"/>
  <c r="AK42" i="12"/>
  <c r="AK24" i="12"/>
  <c r="AK35" i="12"/>
  <c r="AK14" i="12"/>
  <c r="AK53" i="12"/>
  <c r="R17" i="13"/>
  <c r="R16" i="13"/>
  <c r="R14" i="13"/>
  <c r="D24" i="20"/>
  <c r="C27" i="20"/>
  <c r="R15" i="13"/>
  <c r="S16" i="13"/>
  <c r="S17" i="13"/>
  <c r="J8" i="12" l="1"/>
  <c r="J29" i="12"/>
  <c r="J7" i="12"/>
  <c r="AN7" i="12" s="1"/>
  <c r="AO7" i="12" s="1"/>
  <c r="J47" i="12"/>
  <c r="AN6" i="12"/>
  <c r="AO6" i="12" s="1"/>
  <c r="AN5" i="12"/>
  <c r="AO5" i="12" s="1"/>
  <c r="AN8" i="12"/>
  <c r="AO8" i="12" s="1"/>
  <c r="AN4" i="12"/>
  <c r="AO4" i="12" s="1"/>
  <c r="AO3" i="12"/>
  <c r="J50" i="12"/>
  <c r="J9" i="12"/>
  <c r="AN9" i="12" s="1"/>
  <c r="AO9" i="12" s="1"/>
  <c r="J32" i="12"/>
  <c r="J10" i="12"/>
  <c r="AN10" i="12" s="1"/>
  <c r="AO10" i="12" s="1"/>
  <c r="J49" i="12"/>
  <c r="J48" i="12"/>
  <c r="J11" i="12"/>
  <c r="AN11" i="12" s="1"/>
  <c r="AO11" i="12" s="1"/>
  <c r="J30" i="12"/>
  <c r="J31" i="12"/>
  <c r="I30" i="12"/>
  <c r="I31" i="12"/>
  <c r="I32" i="12"/>
  <c r="I50" i="12"/>
  <c r="I11" i="12"/>
  <c r="I9" i="12"/>
  <c r="I49" i="12"/>
  <c r="I10" i="12"/>
  <c r="I48" i="12"/>
  <c r="I53" i="12"/>
  <c r="I13" i="12"/>
  <c r="I33" i="12"/>
  <c r="I14" i="12"/>
  <c r="I12" i="12"/>
  <c r="I51" i="12"/>
  <c r="I52" i="12"/>
  <c r="I35" i="12"/>
  <c r="I34" i="12"/>
  <c r="J14" i="12"/>
  <c r="AN14" i="12" s="1"/>
  <c r="AO14" i="12" s="1"/>
  <c r="J33" i="12"/>
  <c r="J52" i="12"/>
  <c r="J51" i="12"/>
  <c r="J34" i="12"/>
  <c r="J35" i="12"/>
  <c r="J53" i="12"/>
  <c r="J12" i="12"/>
  <c r="AN12" i="12" s="1"/>
  <c r="AO12" i="12" s="1"/>
  <c r="J13" i="12"/>
  <c r="AN13" i="12" s="1"/>
  <c r="AO13" i="12" s="1"/>
  <c r="I7" i="12"/>
  <c r="I6" i="12"/>
  <c r="I45" i="12"/>
  <c r="AN45" i="12" s="1"/>
  <c r="I27" i="12"/>
  <c r="AN27" i="12" s="1"/>
  <c r="I46" i="12"/>
  <c r="I29" i="12"/>
  <c r="I8" i="12"/>
  <c r="I47" i="12"/>
  <c r="I28" i="12"/>
  <c r="I42" i="12"/>
  <c r="AN42" i="12" s="1"/>
  <c r="I24" i="12"/>
  <c r="I43" i="12"/>
  <c r="I25" i="12"/>
  <c r="I26" i="12"/>
  <c r="I5" i="12"/>
  <c r="I44" i="12"/>
  <c r="I4" i="12"/>
  <c r="I3" i="12"/>
  <c r="AN24" i="12"/>
  <c r="C29" i="20"/>
  <c r="C28" i="20"/>
  <c r="AO45" i="12" l="1"/>
  <c r="AO24" i="12"/>
  <c r="AO27" i="12"/>
  <c r="AN43" i="12"/>
  <c r="AN26" i="12"/>
  <c r="AO46" i="12"/>
  <c r="AN47" i="12"/>
  <c r="AO42" i="12"/>
  <c r="AO28" i="12"/>
  <c r="AN29" i="12"/>
  <c r="AN25" i="12"/>
  <c r="AO25" i="12"/>
  <c r="AN30" i="12"/>
  <c r="AO30" i="12"/>
  <c r="AO29" i="12"/>
  <c r="AO33" i="12"/>
  <c r="AN33" i="12"/>
  <c r="AO48" i="12"/>
  <c r="AN48" i="12"/>
  <c r="AN44" i="12"/>
  <c r="AO44" i="12"/>
  <c r="AN28" i="12"/>
  <c r="AO51" i="12"/>
  <c r="AN51" i="12"/>
  <c r="AO47" i="12"/>
  <c r="AO26" i="12" l="1"/>
  <c r="AO43" i="12"/>
  <c r="AN46" i="12"/>
  <c r="AN32" i="12"/>
  <c r="AO32" i="12"/>
  <c r="AO35" i="12"/>
  <c r="AN35" i="12"/>
  <c r="AN34" i="12"/>
  <c r="AO34" i="12"/>
  <c r="AO52" i="12"/>
  <c r="AN52" i="12"/>
  <c r="AN50" i="12"/>
  <c r="AO50" i="12"/>
  <c r="AN53" i="12"/>
  <c r="AO53" i="12"/>
  <c r="AO31" i="12"/>
  <c r="AN31" i="12"/>
  <c r="AO49" i="12"/>
  <c r="AN49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Bubb</author>
  </authors>
  <commentList>
    <comment ref="A21" authorId="0" shapeId="0" xr:uid="{3CE9D628-BDAB-4A15-ABDB-971DE3E6EE2B}">
      <text>
        <r>
          <rPr>
            <b/>
            <sz val="9"/>
            <color indexed="81"/>
            <rFont val="Tahoma"/>
            <family val="2"/>
          </rPr>
          <t>Tom Bubb:</t>
        </r>
        <r>
          <rPr>
            <sz val="9"/>
            <color indexed="81"/>
            <rFont val="Tahoma"/>
            <family val="2"/>
          </rPr>
          <t xml:space="preserve">
This is the average price for the Price Month.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Bubb</author>
  </authors>
  <commentList>
    <comment ref="Q2" authorId="0" shapeId="0" xr:uid="{02CF436A-36C3-4173-B7B1-CED4583EECBC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[prjc_baf_bsln_fuel_prc_nbr] * [fuel_mixing_pct_nb]</t>
        </r>
      </text>
    </comment>
    <comment ref="R2" authorId="0" shapeId="0" xr:uid="{C278D193-D6F4-4A56-9C8D-7B87B227A34E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[rte_bsln_usd] * (1 + [prjc_low_buffer_lmt])</t>
        </r>
      </text>
    </comment>
    <comment ref="S2" authorId="0" shapeId="0" xr:uid="{2110B18B-802B-4441-BE03-94C2E975A2EB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[rte_bsln_usd] * (1 + [prjc_high_buffer_lmt])</t>
        </r>
      </text>
    </comment>
    <comment ref="B31" authorId="0" shapeId="0" xr:uid="{294483BB-A33C-468E-9B52-EDC0EBEF59D8}">
      <text>
        <r>
          <rPr>
            <b/>
            <sz val="9"/>
            <color indexed="81"/>
            <rFont val="Tahoma"/>
            <family val="2"/>
          </rPr>
          <t>Tom Bubb:</t>
        </r>
        <r>
          <rPr>
            <sz val="9"/>
            <color indexed="81"/>
            <rFont val="Tahoma"/>
            <family val="2"/>
          </rPr>
          <t xml:space="preserve">
from
project as prjc,
project_baf_parameter as parm, 
project_baf_baseline_fuel_price as bsln,
project_baf_route_fuel_mixing_percentage as mix
Where
X prjc.prjc_id = mix.prjc_id and
X parm.prjc_id = mix.prjc_id and
X bsln.prjc_id = mix.prjc_id and
X bsln.baf_loc_id = mix.baf_loc_id and
X bsln.baf_fuel_typ_id = mix.baf_fuel_typ_id and
prjc.uuid = &lt;UI Project UUID&gt;
Group by
prjc.prjc_uuid,
mix.prjc_id,
mix.baf_loc_id,
mix.rte_id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Bubb</author>
  </authors>
  <commentList>
    <comment ref="V3" authorId="0" shapeId="0" xr:uid="{5AE31049-C9F6-4B57-BD81-13A4C720A5BF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date_trunc('month', prc_mth_dt)</t>
        </r>
      </text>
    </comment>
    <comment ref="W3" authorId="0" shapeId="0" xr:uid="{DD2C3A99-BA07-4966-93DD-D406427697F6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date_trunc('month', prc_mth_dt) + (prjc_prc_mth_ofst * INTERVAL '1 month')
The formula above is (probably) correct.  The actual formula in this spreadsheet cell is not correct.</t>
        </r>
      </text>
    </comment>
    <comment ref="X3" authorId="0" shapeId="0" xr:uid="{3F50173A-209A-4032-9193-CF559D9C20F5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date_trunc('month', prc_mth_dt) + ((prjc_prc_mth_ofst +1) * INTERVAL '1 month) - (INTERVAL '1 second')
Conceptually: prc_mth_dt + (1 month) - (1 second)
The formula above is correct.  The actual formula in this spreadsheet cell is not correct.</t>
        </r>
      </text>
    </comment>
    <comment ref="Y3" authorId="0" shapeId="0" xr:uid="{EA3ED239-01B9-47BB-A161-9F77FA8B5CD8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[loc_mthly_avg_fuel_prc] * [fuel_mixing_pct_nb]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Bubb</author>
  </authors>
  <commentList>
    <comment ref="AN3" authorId="0" shapeId="0" xr:uid="{BE58241D-D36F-4A60-AA17-31CE34BE5F11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If ([mth_rte_prc_nb] &gt; [rte_buffer_high_usd]) return ([mth_rte_prc_nb] - [rte_buffer_high_usd]) 
    if ([mth_rte_prc_nb] &lt; [rte_buffer_low_usd]) return ([rte_buffer_low_usd] - [mth_rte_prc_nb])
    else return 0</t>
        </r>
      </text>
    </comment>
    <comment ref="AO3" authorId="0" shapeId="0" xr:uid="{4D93774E-0E53-463D-A24B-9E683C289342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[outsd_buffer_am] * [techl_fctr_nb]</t>
        </r>
      </text>
    </comment>
    <comment ref="AN4" authorId="0" shapeId="0" xr:uid="{BCDF4830-F6EA-4CEC-8C32-8485DDA17D2A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If ([mth_rte_prc_nb] &gt; [rte_buffer_high_usd]) return ([mth_rte_prc_nb] - [rte_buffer_high]) 
    if ([mth_rte_prc_nb] &lt; [rte_buffer_low_usd]) return ([mth_rte_prc_nb] &lt; [rte_buffer_low_usd])
    else return 0</t>
        </r>
      </text>
    </comment>
    <comment ref="AN5" authorId="0" shapeId="0" xr:uid="{DE2EBF33-E73E-4E9F-8597-4869BA31F044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If ([mth_rte_prc_nb] &gt; [rte_buffer_high_usd]) return ([mth_rte_prc_nb] - [rte_buffer_high]) 
    if ([mth_rte_prc_nb] &lt; [rte_buffer_low_usd]) return ([mth_rte_prc_nb] &lt; [rte_buffer_low_usd])
    else return 0</t>
        </r>
      </text>
    </comment>
    <comment ref="AN6" authorId="0" shapeId="0" xr:uid="{4072C7AD-F1B4-44C8-82D5-70B420CBEBB8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If ([mth_rte_prc_nb] &gt; [rte_buffer_high_usd]) return ([mth_rte_prc_nb] - [rte_buffer_high]) 
    if ([mth_rte_prc_nb] &lt; [rte_buffer_low_usd]) return ([mth_rte_prc_nb] &lt; [rte_buffer_low_usd])
    else return 0</t>
        </r>
      </text>
    </comment>
    <comment ref="AN7" authorId="0" shapeId="0" xr:uid="{A313305C-321D-4167-BD5A-BD4FE8223647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If ([mth_rte_prc_nb] &gt; [rte_buffer_high_usd]) return ([mth_rte_prc_nb] - [rte_buffer_high]) 
    if ([mth_rte_prc_nb] &lt; [rte_buffer_low_usd]) return ([mth_rte_prc_nb] &lt; [rte_buffer_low_usd])
    else return 0</t>
        </r>
      </text>
    </comment>
    <comment ref="AN8" authorId="0" shapeId="0" xr:uid="{F835A97C-0FA0-4146-B037-80C033AAD12D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If ([mth_rte_prc_nb] &gt; [rte_buffer_high_usd]) return ([mth_rte_prc_nb] - [rte_buffer_high]) 
    if ([mth_rte_prc_nb] &lt; [rte_buffer_low_usd]) return ([mth_rte_prc_nb] &lt; [rte_buffer_low_usd])
    else return 0</t>
        </r>
      </text>
    </comment>
    <comment ref="AN9" authorId="0" shapeId="0" xr:uid="{8F797BE5-9AB9-4C39-AD55-BED14C7FED71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If ([mth_rte_prc_nb] &gt; [rte_buffer_high_usd]) return ([mth_rte_prc_nb] - [rte_buffer_high]) 
    if ([mth_rte_prc_nb] &lt; [rte_buffer_low_usd]) return ([mth_rte_prc_nb] &lt; [rte_buffer_low_usd])
    else return 0</t>
        </r>
      </text>
    </comment>
    <comment ref="AN10" authorId="0" shapeId="0" xr:uid="{F06C3A11-3140-40F2-B06F-B7AE689AA9B2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If ([mth_rte_prc_nb] &gt; [rte_buffer_high_usd]) return ([mth_rte_prc_nb] - [rte_buffer_high]) 
    if ([mth_rte_prc_nb] &lt; [rte_buffer_low_usd]) return ([mth_rte_prc_nb] &lt; [rte_buffer_low_usd])
    else return 0</t>
        </r>
      </text>
    </comment>
    <comment ref="AN11" authorId="0" shapeId="0" xr:uid="{A76AB1C7-36CA-4957-86FE-A94FB0C385F0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If ([mth_rte_prc_nb] &gt; [rte_buffer_high_usd]) return ([mth_rte_prc_nb] - [rte_buffer_high]) 
    if ([mth_rte_prc_nb] &lt; [rte_buffer_low_usd]) return ([mth_rte_prc_nb] &lt; [rte_buffer_low_usd])
    else return 0</t>
        </r>
      </text>
    </comment>
    <comment ref="AN12" authorId="0" shapeId="0" xr:uid="{E681DA45-BD09-4850-8787-EB6C702D2BB9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If ([mth_rte_prc_nb] &gt; [rte_buffer_high_usd]) return ([mth_rte_prc_nb] - [rte_buffer_high]) 
    if ([mth_rte_prc_nb] &lt; [rte_buffer_low_usd]) return ([mth_rte_prc_nb] &lt; [rte_buffer_low_usd])
    else return 0</t>
        </r>
      </text>
    </comment>
    <comment ref="AN13" authorId="0" shapeId="0" xr:uid="{95EE1486-2DE6-483B-B3AB-8C25636E9947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If ([mth_rte_prc_nb] &gt; [rte_buffer_high_usd]) return ([mth_rte_prc_nb] - [rte_buffer_high]) 
    if ([mth_rte_prc_nb] &lt; [rte_buffer_low_usd]) return ([mth_rte_prc_nb] &lt; [rte_buffer_low_usd])
    else return 0</t>
        </r>
      </text>
    </comment>
    <comment ref="AN14" authorId="0" shapeId="0" xr:uid="{E6810646-6EED-4D8C-B362-668AEBF26C72}">
      <text>
        <r>
          <rPr>
            <b/>
            <sz val="10"/>
            <color indexed="81"/>
            <rFont val="Tahoma"/>
            <family val="2"/>
          </rPr>
          <t>Tom Bubb:</t>
        </r>
        <r>
          <rPr>
            <sz val="10"/>
            <color indexed="81"/>
            <rFont val="Tahoma"/>
            <family val="2"/>
          </rPr>
          <t xml:space="preserve">
If ([mth_rte_prc_nb] &gt; [rte_buffer_high_usd]) return ([mth_rte_prc_nb] - [rte_buffer_high]) 
    if ([mth_rte_prc_nb] &lt; [rte_buffer_low_usd]) return ([mth_rte_prc_nb] &lt; [rte_buffer_low_usd])
    else return 0</t>
        </r>
      </text>
    </comment>
    <comment ref="AN60" authorId="0" shapeId="0" xr:uid="{ACE02970-7178-484C-A74D-5ACFF367D7C9}">
      <text>
        <r>
          <rPr>
            <b/>
            <sz val="9"/>
            <color indexed="81"/>
            <rFont val="Tahoma"/>
            <family val="2"/>
          </rPr>
          <t>Tom Bubb:</t>
        </r>
        <r>
          <rPr>
            <sz val="9"/>
            <color indexed="81"/>
            <rFont val="Tahoma"/>
            <family val="2"/>
          </rPr>
          <t xml:space="preserve">
from
  [Project BAF Rate Gen Buffers] as buff,
  [Project BAF Rate Gen Prices] as prc,
  project_baf_technical_factor as tech,
  project_baf_rate as rate
where
  buff.prjc_id = tech.prjc_id and
  buff.baf_loc_id = tech.baf_loc_id and
  buff.rte_id = tech.rte_id and
  prc.prjc_id = tech.prjc_id and
  prc.baf_loc_id = tech.baf_loc_id and
  prc.rte_id = tech.rte_id and
  rate.eff_dt = prc.eff_dt</t>
        </r>
      </text>
    </comment>
    <comment ref="AO60" authorId="0" shapeId="0" xr:uid="{8717CECE-5AFB-4FEA-AE76-E799724C0FB5}">
      <text>
        <r>
          <rPr>
            <b/>
            <sz val="9"/>
            <color indexed="81"/>
            <rFont val="Tahoma"/>
            <family val="2"/>
          </rPr>
          <t>Tom Bubb:</t>
        </r>
        <r>
          <rPr>
            <sz val="9"/>
            <color indexed="81"/>
            <rFont val="Tahoma"/>
            <family val="2"/>
          </rPr>
          <t xml:space="preserve">
from
  [Project BAF Rate Gen Buffers] as buff,
  [Project BAF Rate Gen Prices] as prc,
  project_baf_technical_factor as tech,
  project_baf_rate as rate
where
  buff.prjc_id = tech.prjc_id and
  buff.baf_loc_id = tech.baf_loc_id and
  buff.rte_id = tech.rte_id and
  prc.prjc_id = tech.prjc_id and
  prc.baf_loc_id = tech.baf_loc_id and
  prc.rte_id = tech.rte_id and
  rate.eff_dt = prc.eff_dt</t>
        </r>
      </text>
    </comment>
    <comment ref="B91" authorId="0" shapeId="0" xr:uid="{F0EE244D-7351-43D2-8B43-9DFED9510723}">
      <text>
        <r>
          <rPr>
            <b/>
            <sz val="9"/>
            <color indexed="81"/>
            <rFont val="Tahoma"/>
            <family val="2"/>
          </rPr>
          <t>Tom Bubb:</t>
        </r>
        <r>
          <rPr>
            <sz val="9"/>
            <color indexed="81"/>
            <rFont val="Tahoma"/>
            <family val="2"/>
          </rPr>
          <t xml:space="preserve">
from
  [Project BAF Rate Gen Buffers] as buff,
  [Project BAF Rate Gen Prices] as prc,
  project_baf_technical_factor as tech,
  project_baf_rate as rate
where
  buff.prjc_id = tech.prjc_id and
  buff.baf_loc_id = tech.baf_loc_id and
  buff.rte_id = tech.rte_id and
  prc.prjc_id = tech.prjc_id and
  prc.baf_loc_id = tech.baf_loc_id and
  prc.rte_id = tech.rte_id and
  rate.eff_dt = prc.eff_dt</t>
        </r>
      </text>
    </comment>
    <comment ref="B98" authorId="0" shapeId="0" xr:uid="{9761191B-6047-44EC-AD74-5EC6B011EEE2}">
      <text>
        <r>
          <rPr>
            <b/>
            <sz val="9"/>
            <color indexed="81"/>
            <rFont val="Tahoma"/>
            <family val="2"/>
          </rPr>
          <t>Tom Bubb:</t>
        </r>
        <r>
          <rPr>
            <sz val="9"/>
            <color indexed="81"/>
            <rFont val="Tahoma"/>
            <family val="2"/>
          </rPr>
          <t xml:space="preserve">
from
  [Project BAF Rate Gen Buffers] as buff,
  [Project BAF Rate Gen Prices] as prc,
  project_baf_technical_factor as tech,
  project_baf_rate as rate
where
  buff.prjc_id = tech.prjc_id and
  buff.baf_loc_id = tech.baf_loc_id and
  buff.rte_id = tech.rte_id and
  prc.prjc_id = tech.prjc_id and
  prc.baf_loc_id = tech.baf_loc_id and
  prc.rte_id = tech.rte_id and
  rate.eff_dt = prc.eff_dt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Bubb</author>
  </authors>
  <commentList>
    <comment ref="A21" authorId="0" shapeId="0" xr:uid="{3E7ADB38-6401-4CAC-AC73-E5548BDC782B}">
      <text>
        <r>
          <rPr>
            <b/>
            <sz val="9"/>
            <color indexed="81"/>
            <rFont val="Tahoma"/>
            <family val="2"/>
          </rPr>
          <t>Tom Bubb:</t>
        </r>
        <r>
          <rPr>
            <sz val="9"/>
            <color indexed="81"/>
            <rFont val="Tahoma"/>
            <family val="2"/>
          </rPr>
          <t xml:space="preserve">
This is the average price for the Price Month.</t>
        </r>
      </text>
    </comment>
  </commentList>
</comments>
</file>

<file path=xl/sharedStrings.xml><?xml version="1.0" encoding="utf-8"?>
<sst xmlns="http://schemas.openxmlformats.org/spreadsheetml/2006/main" count="611" uniqueCount="284">
  <si>
    <t>prjc_id</t>
  </si>
  <si>
    <t>Houston</t>
  </si>
  <si>
    <t>LSFO</t>
  </si>
  <si>
    <t>TEU</t>
  </si>
  <si>
    <t>FEU</t>
  </si>
  <si>
    <t>MTON</t>
  </si>
  <si>
    <t>Container</t>
  </si>
  <si>
    <t>Breakbulk</t>
  </si>
  <si>
    <t>MGO</t>
  </si>
  <si>
    <t>Yes</t>
  </si>
  <si>
    <t>Group by</t>
  </si>
  <si>
    <t>Sum</t>
  </si>
  <si>
    <t>Select</t>
  </si>
  <si>
    <t xml:space="preserve">Select </t>
  </si>
  <si>
    <t>where</t>
  </si>
  <si>
    <t>select</t>
  </si>
  <si>
    <t>group by</t>
  </si>
  <si>
    <t>prjc_uuid</t>
  </si>
  <si>
    <t>228b4088-8661-11eb-8dcd-0242ac130003</t>
  </si>
  <si>
    <t>Group By</t>
  </si>
  <si>
    <t>Los Angeles</t>
  </si>
  <si>
    <t>baf_loc_id</t>
  </si>
  <si>
    <t>baf_fuel_typ_id</t>
  </si>
  <si>
    <t>rte_id</t>
  </si>
  <si>
    <t>(What Route?)</t>
  </si>
  <si>
    <t>prjc_prc_mth_ofst</t>
  </si>
  <si>
    <t>BAF Location ID is really: lookup_val_id</t>
  </si>
  <si>
    <t>BAF Location Code is really: val_cd</t>
  </si>
  <si>
    <t>BAF Locations is implemented as a lookup set</t>
  </si>
  <si>
    <t>BAF Fuel Types is implemented as a lookup set</t>
  </si>
  <si>
    <t>BAF Fuel ID is really: lookup_val_id</t>
  </si>
  <si>
    <t>BAF Fuel Code is really: val_cd</t>
  </si>
  <si>
    <t>Lookup Set - BAF Fuel Types</t>
  </si>
  <si>
    <t>baf_frght_payable_unt_id</t>
  </si>
  <si>
    <t>baf_frght_payable_unt_cd</t>
  </si>
  <si>
    <t>crgo_typ_id</t>
  </si>
  <si>
    <t>crgo_typ_cd</t>
  </si>
  <si>
    <t>(What FPU?)</t>
  </si>
  <si>
    <t>(What Crgo Type?)</t>
  </si>
  <si>
    <t>prc_mth_dt</t>
  </si>
  <si>
    <t>rt_eff_dt</t>
  </si>
  <si>
    <t>rt_exprn_dt</t>
  </si>
  <si>
    <t xml:space="preserve">      on mix.prjc_id = prjc.prjc_id</t>
  </si>
  <si>
    <t xml:space="preserve">      on mix.prjc_id = parm.prjc_id</t>
  </si>
  <si>
    <t xml:space="preserve">      on mix.prjc_id = bsln.prjc_id</t>
  </si>
  <si>
    <t xml:space="preserve">  prjc.prjc_uuid,</t>
  </si>
  <si>
    <t xml:space="preserve">  mix.prjc_id,</t>
  </si>
  <si>
    <t xml:space="preserve">  mix.rte_id</t>
  </si>
  <si>
    <t xml:space="preserve">  mix.rte_id,</t>
  </si>
  <si>
    <t xml:space="preserve">      and mix.baf_fuel_typ_id = bsln.baf_fuel_typ_id</t>
  </si>
  <si>
    <t xml:space="preserve">  parm.prc_mth_ofst,</t>
  </si>
  <si>
    <t>rte_bsln_usd</t>
  </si>
  <si>
    <t xml:space="preserve">  sum(bsln.prjc_baf_bsln_fuel_prc_nbr*mix.fuel_mixing_pct_nb) as rte_bsln_usd,</t>
  </si>
  <si>
    <t>85d3d4fe-8781-11eb-8dcd-0242ac130003</t>
  </si>
  <si>
    <t>85d3d71a-8781-11eb-8dcd-0242ac130003</t>
  </si>
  <si>
    <t>85d3d904-8781-11eb-8dcd-0242ac130003</t>
  </si>
  <si>
    <t>85d3d9e0-8781-11eb-8dcd-0242ac130003</t>
  </si>
  <si>
    <t>85d3dac6-8781-11eb-8dcd-0242ac130003</t>
  </si>
  <si>
    <t>85d3dc74-8781-11eb-8dcd-0242ac130003</t>
  </si>
  <si>
    <t>85d3dd3c-8781-11eb-8dcd-0242ac130003</t>
  </si>
  <si>
    <t>85d3ddfa-8781-11eb-8dcd-0242ac130003</t>
  </si>
  <si>
    <t>85d3df58-8781-11eb-8dcd-0242ac130003</t>
  </si>
  <si>
    <t>85d3e020-8781-11eb-8dcd-0242ac130003</t>
  </si>
  <si>
    <t>85d3e0d4-8781-11eb-8dcd-0242ac130003</t>
  </si>
  <si>
    <t>85d3e214-8781-11eb-8dcd-0242ac130003</t>
  </si>
  <si>
    <t>iu_action</t>
  </si>
  <si>
    <t>inactv_dt</t>
  </si>
  <si>
    <t>techl_fctr_nb</t>
  </si>
  <si>
    <t xml:space="preserve">  tech.prjc_id,</t>
  </si>
  <si>
    <t xml:space="preserve">  case </t>
  </si>
  <si>
    <t xml:space="preserve">    else 0</t>
  </si>
  <si>
    <t xml:space="preserve">    on  tech.prjc_id    = buff.prjc_id</t>
  </si>
  <si>
    <t xml:space="preserve">    on  tech.prjc_id    = prc.prjc_id</t>
  </si>
  <si>
    <t xml:space="preserve">    and tech.rte_id     = prc.rte_id</t>
  </si>
  <si>
    <t xml:space="preserve">    on  tech.prjc_id                  = rate.prjc_id</t>
  </si>
  <si>
    <t xml:space="preserve">    and tech.rte_id                   = rate.rte_id</t>
  </si>
  <si>
    <t xml:space="preserve">    and tech.baf_frght_payable_unt_id = rate.baf_frght_payable_unt_id</t>
  </si>
  <si>
    <t xml:space="preserve">    and tech.rte_id     = buff.rte_id</t>
  </si>
  <si>
    <t>Constant NULL</t>
  </si>
  <si>
    <t>Column in view</t>
  </si>
  <si>
    <t>Insert values</t>
  </si>
  <si>
    <t>Update values</t>
  </si>
  <si>
    <t>eff_dt</t>
  </si>
  <si>
    <t>prjc_baf_rt_uuid</t>
  </si>
  <si>
    <t>project_baf_rate source data</t>
  </si>
  <si>
    <t>rte_cd</t>
  </si>
  <si>
    <t xml:space="preserve">    on  tech.rte_id     = rte.rte_id</t>
  </si>
  <si>
    <t xml:space="preserve">    on  tech.baf_frght_payable_unt_id = fpu.baf_frght_payable_unt_id</t>
  </si>
  <si>
    <t xml:space="preserve">  case</t>
  </si>
  <si>
    <t xml:space="preserve">    when rate.prjc_baf_rt_uuid is null</t>
  </si>
  <si>
    <t xml:space="preserve">  end as iu_action,</t>
  </si>
  <si>
    <t xml:space="preserve">      then 'Insert'</t>
  </si>
  <si>
    <t xml:space="preserve">    else 'Update'</t>
  </si>
  <si>
    <t xml:space="preserve">  date_trunc('month', mthly.prc_mth_dt) as prc_mth_dt,</t>
  </si>
  <si>
    <t xml:space="preserve">  date_trunc('month', mthly.prc_mth_dt) + (parm.prjc_prc_mth_ofst * INTERVAL '1 month') as rt_eff_dt,</t>
  </si>
  <si>
    <t xml:space="preserve">    on mix.prjc_id = prjc.prjc_id</t>
  </si>
  <si>
    <t xml:space="preserve">    on mix.prjc_id = parm.prjc_id</t>
  </si>
  <si>
    <t xml:space="preserve">    and mix.baf_fuel_typ_id = mthly.baf_fuel_typ_id</t>
  </si>
  <si>
    <t xml:space="preserve">  prjc.prjc_uuid = &lt;UI project uuid&gt; and (not in view)</t>
  </si>
  <si>
    <t xml:space="preserve">  &lt;calc rt_eff_dt&gt; = &lt;UI  Rate Month, day=1&gt; (not in view)</t>
  </si>
  <si>
    <t xml:space="preserve">  date_trunc('month', mthly.prc_mth_dt),</t>
  </si>
  <si>
    <t xml:space="preserve">  date_trunc('month', mthly.prc_mth_dt) + (parm.prjc_prc_mth_ofst * INTERVAL '1 month'),</t>
  </si>
  <si>
    <t xml:space="preserve">  date_trunc('month', mthly.prc_mth_dt) + ((parm.prjc_prc_mth_ofst +1) * INTERVAL '1 month) - (INTERVAL '1 second') as rt_exprn_dt,</t>
  </si>
  <si>
    <t xml:space="preserve">  date_trunc('month', mthly.prc_mth_dt) + ((parm.prjc_prc_mth_ofst +1) * INTERVAL '1 month) - (INTERVAL '1 second')</t>
  </si>
  <si>
    <t xml:space="preserve">  prjc.uuid = &lt;UI Project UUID&gt;  (This should not be in the view)</t>
  </si>
  <si>
    <t>mth_rte_prc_nb</t>
  </si>
  <si>
    <t xml:space="preserve">  sum(mthly.loc_mthly_avg_fuel_prc * mix.fuel_mixing_pct_nb) as mth_rte_prc_nb</t>
  </si>
  <si>
    <t xml:space="preserve">    when prc.mth_rte_prc_nb &gt; buff.buffer_high_usd</t>
  </si>
  <si>
    <t xml:space="preserve">    when buff.buffer_low_usd &gt; prc.mth_rte_prc_nb</t>
  </si>
  <si>
    <t>Calculate the 3-month average for the baseline</t>
  </si>
  <si>
    <t>Route Mix</t>
  </si>
  <si>
    <t>baseline rate</t>
  </si>
  <si>
    <t>Baseline for Route =&gt;</t>
  </si>
  <si>
    <t>Upper buffer limit</t>
  </si>
  <si>
    <t>Lower buffer limit</t>
  </si>
  <si>
    <t>Avg Price</t>
  </si>
  <si>
    <t>Fuel Mix</t>
  </si>
  <si>
    <t>Applicable Buffer</t>
  </si>
  <si>
    <t>Amount above tolerance</t>
  </si>
  <si>
    <t>Tech Factors</t>
  </si>
  <si>
    <t>User-entered data</t>
  </si>
  <si>
    <t>Calculated by Project BAF Rate Gen Buffers</t>
  </si>
  <si>
    <t>Calculated by Project BAF Rate Gen Prices</t>
  </si>
  <si>
    <t>Generated by BAF Rates Gen Source</t>
  </si>
  <si>
    <t>USC9 Contract BAF information - Page 213 - 221</t>
  </si>
  <si>
    <t xml:space="preserve">Price Month Offset </t>
  </si>
  <si>
    <t>Price Month = May</t>
  </si>
  <si>
    <t>Monthly BAF for cargo sailing in August (Rate Month)</t>
  </si>
  <si>
    <t>May Prices</t>
  </si>
  <si>
    <t>BAF Amount</t>
  </si>
  <si>
    <t>TEU(20F)</t>
  </si>
  <si>
    <t>&lt;= August price value for that route in August</t>
  </si>
  <si>
    <r>
      <t>from contract.</t>
    </r>
    <r>
      <rPr>
        <sz val="9"/>
        <rFont val="Courier New"/>
        <family val="3"/>
      </rPr>
      <t>project_baf_route_fuel_mixing_percentage</t>
    </r>
    <r>
      <rPr>
        <sz val="9"/>
        <color rgb="FFC00000"/>
        <rFont val="Courier New"/>
        <family val="3"/>
      </rPr>
      <t xml:space="preserve"> as mix </t>
    </r>
  </si>
  <si>
    <r>
      <t xml:space="preserve">  inner join contract.</t>
    </r>
    <r>
      <rPr>
        <sz val="9"/>
        <rFont val="Courier New"/>
        <family val="3"/>
      </rPr>
      <t>project</t>
    </r>
    <r>
      <rPr>
        <sz val="9"/>
        <color rgb="FFC00000"/>
        <rFont val="Courier New"/>
        <family val="3"/>
      </rPr>
      <t xml:space="preserve"> as prjc</t>
    </r>
  </si>
  <si>
    <r>
      <t xml:space="preserve">  inner join contract.</t>
    </r>
    <r>
      <rPr>
        <sz val="9"/>
        <rFont val="Courier New"/>
        <family val="3"/>
      </rPr>
      <t>project_baf_parameter</t>
    </r>
    <r>
      <rPr>
        <sz val="9"/>
        <color rgb="FFC00000"/>
        <rFont val="Courier New"/>
        <family val="3"/>
      </rPr>
      <t xml:space="preserve"> as parm</t>
    </r>
  </si>
  <si>
    <r>
      <t xml:space="preserve">  inner join contract.</t>
    </r>
    <r>
      <rPr>
        <sz val="9"/>
        <rFont val="Courier New"/>
        <family val="3"/>
      </rPr>
      <t>project_baf_baseline_fuel_price</t>
    </r>
    <r>
      <rPr>
        <sz val="9"/>
        <color rgb="FFC00000"/>
        <rFont val="Courier New"/>
        <family val="3"/>
      </rPr>
      <t xml:space="preserve"> as bsln</t>
    </r>
  </si>
  <si>
    <r>
      <t xml:space="preserve">  inner join refn.</t>
    </r>
    <r>
      <rPr>
        <sz val="9"/>
        <rFont val="Courier New"/>
        <family val="3"/>
      </rPr>
      <t>baf_monthly_fuel_price</t>
    </r>
    <r>
      <rPr>
        <sz val="9"/>
        <color rgb="FFC00000"/>
        <rFont val="Courier New"/>
        <family val="3"/>
      </rPr>
      <t xml:space="preserve"> as mthly</t>
    </r>
  </si>
  <si>
    <t>EXAMPLE</t>
  </si>
  <si>
    <t>EXAMPLE 1</t>
  </si>
  <si>
    <t>EXAMPLE 3</t>
  </si>
  <si>
    <t>EXAMPLE 2</t>
  </si>
  <si>
    <t>Fuel Prices Above Buffer Range</t>
  </si>
  <si>
    <t>Fuel Prices Inside of Buffer Range</t>
  </si>
  <si>
    <t>Fuel Prices Below Buffer Range</t>
  </si>
  <si>
    <t>Example 1</t>
  </si>
  <si>
    <t>Example 2</t>
  </si>
  <si>
    <t>Example 3</t>
  </si>
  <si>
    <t>Route 1</t>
  </si>
  <si>
    <t>Route 2</t>
  </si>
  <si>
    <t>Route 3</t>
  </si>
  <si>
    <t>Route 4</t>
  </si>
  <si>
    <t>Location</t>
  </si>
  <si>
    <t>LA</t>
  </si>
  <si>
    <t>MGO$</t>
  </si>
  <si>
    <t>LSFO$</t>
  </si>
  <si>
    <t>MGO%</t>
  </si>
  <si>
    <t>LSFO%</t>
  </si>
  <si>
    <t>baseline</t>
  </si>
  <si>
    <t>upper</t>
  </si>
  <si>
    <t>lower</t>
  </si>
  <si>
    <t>Monthly</t>
  </si>
  <si>
    <t>mgo</t>
  </si>
  <si>
    <t>lsfo</t>
  </si>
  <si>
    <t>rte mgo</t>
  </si>
  <si>
    <t>rte lsfo</t>
  </si>
  <si>
    <t>sum rte</t>
  </si>
  <si>
    <t>Over/Under</t>
  </si>
  <si>
    <t>Tech Fact</t>
  </si>
  <si>
    <t>baf_fg</t>
  </si>
  <si>
    <t>IFO 380</t>
  </si>
  <si>
    <t>Intermediate Fuel Oil 380</t>
  </si>
  <si>
    <t>Low-Sulfur Fuel Oil</t>
  </si>
  <si>
    <t>Marine Gas Oil</t>
  </si>
  <si>
    <t>TRADE AREA A</t>
  </si>
  <si>
    <t>TRADE AREA B</t>
  </si>
  <si>
    <t>Derived Route Name</t>
  </si>
  <si>
    <t>US GULF COAST</t>
  </si>
  <si>
    <t>SCANDINAVIA, BALTIC</t>
  </si>
  <si>
    <t>CONTINENTAL EUROPE, UNITED KINGDOM, IRELAND</t>
  </si>
  <si>
    <t>MEDITERRANEAN</t>
  </si>
  <si>
    <t>MIDDLE EAST, SOUTH ASIA, INDIAN OCEAN</t>
  </si>
  <si>
    <t>crgo_typ_nm</t>
  </si>
  <si>
    <t>C</t>
  </si>
  <si>
    <t>B</t>
  </si>
  <si>
    <t>baf_frght_payable_unt_nm</t>
  </si>
  <si>
    <t>Twenty-Foot Equivalent Unit</t>
  </si>
  <si>
    <t>Forty-Foot Equivalent Unit</t>
  </si>
  <si>
    <t>Measurement Ton</t>
  </si>
  <si>
    <t>New York</t>
  </si>
  <si>
    <t xml:space="preserve">    on mix.prjc_id = rte_loc.prjc_id</t>
  </si>
  <si>
    <t xml:space="preserve">    on mix.rte_id = rte_loc.rte_id</t>
  </si>
  <si>
    <t xml:space="preserve">  rte_loc.baf_loc_id,</t>
  </si>
  <si>
    <t xml:space="preserve">    on rte_loc.baf_loc_id = mthly.baf_loc_id</t>
  </si>
  <si>
    <t xml:space="preserve">    on  prc.baf_loc_id = loc.lookup_val_id</t>
  </si>
  <si>
    <t xml:space="preserve">  loc.baf_location_code,</t>
  </si>
  <si>
    <t>Lookup Set - BAF Location</t>
  </si>
  <si>
    <t>rte_buffer_low_usd</t>
  </si>
  <si>
    <t>rte_buffer_high_usd</t>
  </si>
  <si>
    <t>Project BAF Rate Gen Buffers_VW</t>
  </si>
  <si>
    <r>
      <t>from contract.</t>
    </r>
    <r>
      <rPr>
        <sz val="9"/>
        <rFont val="Courier New"/>
        <family val="3"/>
      </rPr>
      <t>project_baf_route_fuel_mixing_percentage</t>
    </r>
    <r>
      <rPr>
        <sz val="9"/>
        <color rgb="FFC00000"/>
        <rFont val="Courier New"/>
        <family val="3"/>
      </rPr>
      <t xml:space="preserve"> as mix</t>
    </r>
  </si>
  <si>
    <t>prjc_baf_bsln_fuel_prc_am</t>
  </si>
  <si>
    <r>
      <t xml:space="preserve">from </t>
    </r>
    <r>
      <rPr>
        <b/>
        <sz val="9"/>
        <rFont val="Courier New"/>
        <family val="3"/>
      </rPr>
      <t>contract.project_baf_technical_factor as tech</t>
    </r>
  </si>
  <si>
    <r>
      <t xml:space="preserve">  inner join </t>
    </r>
    <r>
      <rPr>
        <b/>
        <sz val="9"/>
        <rFont val="Courier New"/>
        <family val="3"/>
      </rPr>
      <t>contract.[Project BAF Rate Gen Buffers]</t>
    </r>
    <r>
      <rPr>
        <b/>
        <sz val="9"/>
        <color rgb="FFC00000"/>
        <rFont val="Courier New"/>
        <family val="3"/>
      </rPr>
      <t xml:space="preserve"> as buff</t>
    </r>
  </si>
  <si>
    <r>
      <t xml:space="preserve">  inner join </t>
    </r>
    <r>
      <rPr>
        <b/>
        <sz val="9"/>
        <rFont val="Courier New"/>
        <family val="3"/>
      </rPr>
      <t>contract.[Project BAF Rate Gen Prices]</t>
    </r>
    <r>
      <rPr>
        <b/>
        <sz val="9"/>
        <color rgb="FFC00000"/>
        <rFont val="Courier New"/>
        <family val="3"/>
      </rPr>
      <t xml:space="preserve"> as prc</t>
    </r>
  </si>
  <si>
    <r>
      <t xml:space="preserve">  inner join </t>
    </r>
    <r>
      <rPr>
        <b/>
        <sz val="9"/>
        <rFont val="Courier New"/>
        <family val="3"/>
      </rPr>
      <t>ibs_svcs.be_baf_locations</t>
    </r>
    <r>
      <rPr>
        <b/>
        <sz val="9"/>
        <color rgb="FFC00000"/>
        <rFont val="Courier New"/>
        <family val="3"/>
      </rPr>
      <t xml:space="preserve"> as loc</t>
    </r>
  </si>
  <si>
    <r>
      <t xml:space="preserve">  inner join </t>
    </r>
    <r>
      <rPr>
        <b/>
        <sz val="9"/>
        <rFont val="Courier New"/>
        <family val="3"/>
      </rPr>
      <t>refn.baf_freight_payable_unit</t>
    </r>
    <r>
      <rPr>
        <b/>
        <sz val="9"/>
        <color rgb="FFC00000"/>
        <rFont val="Courier New"/>
        <family val="3"/>
      </rPr>
      <t xml:space="preserve"> as fpu</t>
    </r>
  </si>
  <si>
    <r>
      <t xml:space="preserve">  inner join </t>
    </r>
    <r>
      <rPr>
        <b/>
        <sz val="9"/>
        <rFont val="Courier New"/>
        <family val="3"/>
      </rPr>
      <t>refn.cargo_type</t>
    </r>
    <r>
      <rPr>
        <b/>
        <sz val="9"/>
        <color rgb="FFC00000"/>
        <rFont val="Courier New"/>
        <family val="3"/>
      </rPr>
      <t xml:space="preserve"> as crgo</t>
    </r>
  </si>
  <si>
    <t xml:space="preserve">    on  tech.crgo_typ_cd              = crgo.crgo_typ_cd</t>
  </si>
  <si>
    <r>
      <t xml:space="preserve">  right outer join </t>
    </r>
    <r>
      <rPr>
        <b/>
        <sz val="9"/>
        <rFont val="Courier New"/>
        <family val="3"/>
      </rPr>
      <t>contract.project_baf_rate</t>
    </r>
    <r>
      <rPr>
        <b/>
        <sz val="9"/>
        <color rgb="FFC00000"/>
        <rFont val="Courier New"/>
        <family val="3"/>
      </rPr>
      <t xml:space="preserve"> as rate</t>
    </r>
  </si>
  <si>
    <t xml:space="preserve">    and tech.crgo_typ_cd              = rate.crgo_typ_cd</t>
  </si>
  <si>
    <t>loc_mthly_avg_fuel_prc_am</t>
  </si>
  <si>
    <t>baf_fuel_id</t>
  </si>
  <si>
    <t>baf_loc_cd</t>
  </si>
  <si>
    <t>baf_loc_nm</t>
  </si>
  <si>
    <t>baf_fuel_cd</t>
  </si>
  <si>
    <t>baf_fuel_nm</t>
  </si>
  <si>
    <t xml:space="preserve">      then round((prc.mth_rte_prc_nb - buff.buffer_high_usd),2)</t>
  </si>
  <si>
    <t xml:space="preserve">      then round((buff.buffer_low_usd - prc.mth_rte_prc_nb),2)</t>
  </si>
  <si>
    <t xml:space="preserve">      then round((prc.mth_rte_prc_nb &gt; buff.buffer_high_usd) * tech.techl_fctr_nb,2)</t>
  </si>
  <si>
    <t xml:space="preserve">      then round((buff.buffer_low_usd - prc.mth_rte_prc_nb) * tech.techl_fctr_nb)</t>
  </si>
  <si>
    <r>
      <t xml:space="preserve">  inner join </t>
    </r>
    <r>
      <rPr>
        <b/>
        <sz val="9"/>
        <rFont val="Courier New"/>
        <family val="3"/>
      </rPr>
      <t>ibs_svcs.be_route</t>
    </r>
    <r>
      <rPr>
        <b/>
        <sz val="9"/>
        <color rgb="FFC00000"/>
        <rFont val="Courier New"/>
        <family val="3"/>
      </rPr>
      <t xml:space="preserve"> as rte</t>
    </r>
  </si>
  <si>
    <t xml:space="preserve">    and rate.eff_dt                   = prc.eff_dt</t>
  </si>
  <si>
    <t xml:space="preserve">  &lt;calc rt_eff_dt&gt; = &lt;UI  Rate Month, day=1&gt; (not in view);</t>
  </si>
  <si>
    <t xml:space="preserve">  buff.prjc_uuid as project_uuid,</t>
  </si>
  <si>
    <t xml:space="preserve">  tech.prjc_id as project_id,</t>
  </si>
  <si>
    <t xml:space="preserve">  tech.rte_id as route_id,</t>
  </si>
  <si>
    <t xml:space="preserve">  rte.rte_cd ||" - " || rte.route_name as baf_route_name,</t>
  </si>
  <si>
    <t xml:space="preserve">  tech.crgo_typ_cd as cargo_type_code,</t>
  </si>
  <si>
    <t xml:space="preserve">  crgo.crgo_typ_nm as cargo_type_name,</t>
  </si>
  <si>
    <t xml:space="preserve">  buff.rte_bsln_usd as route_baseline_usd,</t>
  </si>
  <si>
    <t xml:space="preserve">  buff.buffer_low_usd as buffer_low_usd,</t>
  </si>
  <si>
    <t xml:space="preserve">  buff.buffer_high_usd as buffer_high_usd,</t>
  </si>
  <si>
    <t xml:space="preserve">  buff.prjc_uuid</t>
  </si>
  <si>
    <t xml:space="preserve">  buff.rte_bsln_usd</t>
  </si>
  <si>
    <t xml:space="preserve">  buff.buffer_low_usd</t>
  </si>
  <si>
    <t xml:space="preserve">  buff.buffer_high_usd</t>
  </si>
  <si>
    <t xml:space="preserve">  prc.baf_loc_id</t>
  </si>
  <si>
    <t xml:space="preserve">  loc.baf_location_code</t>
  </si>
  <si>
    <t xml:space="preserve">  prc.prjc_prc_mth_ofst</t>
  </si>
  <si>
    <t xml:space="preserve">  prc.prc_mth_dt</t>
  </si>
  <si>
    <t xml:space="preserve">  prc.rt_eff_dt</t>
  </si>
  <si>
    <t xml:space="preserve">  prc.rt_exprn_dt</t>
  </si>
  <si>
    <t xml:space="preserve">  prc.mth_rte_prc_nb</t>
  </si>
  <si>
    <t xml:space="preserve">  tech.prjc_id</t>
  </si>
  <si>
    <t xml:space="preserve">  tech.rte_id</t>
  </si>
  <si>
    <t xml:space="preserve">  rte.rte_cd ||" - " || rte.route_name</t>
  </si>
  <si>
    <t xml:space="preserve">  tech.baf_frght_payable_unt_id</t>
  </si>
  <si>
    <t xml:space="preserve">  fpu.baf_frght_payable_unt_cd</t>
  </si>
  <si>
    <t xml:space="preserve">  tech.crgo_typ_cd</t>
  </si>
  <si>
    <t xml:space="preserve">  crgo.crgo_typ_nm</t>
  </si>
  <si>
    <t xml:space="preserve">  tech.techl_fctr_nb</t>
  </si>
  <si>
    <t xml:space="preserve">  rate.prjc_baf_rt_uuid</t>
  </si>
  <si>
    <t xml:space="preserve">  prc.prjc_prc_mth_ofst as project_price_month_offset,</t>
  </si>
  <si>
    <t xml:space="preserve">  prc.baf_loc_id as baf_location_id,</t>
  </si>
  <si>
    <t xml:space="preserve">  prc.prc_mth_dt as price_month_date,</t>
  </si>
  <si>
    <t xml:space="preserve">  prc.rt_eff_dt as rate_effective_date,</t>
  </si>
  <si>
    <t xml:space="preserve">  prc.rt_exprn_dt as rate_expiration_date,</t>
  </si>
  <si>
    <t xml:space="preserve">  prc.mth_rte_prc_nb as month_route_price_number,</t>
  </si>
  <si>
    <t xml:space="preserve">  tech.techl_fctr_nb as technical_factor_number,</t>
  </si>
  <si>
    <t xml:space="preserve">  rate.prjc_baf_rt_uuid as project_baf_rate_uuid,</t>
  </si>
  <si>
    <t xml:space="preserve">  end as outside_buffer_amount,</t>
  </si>
  <si>
    <t>outside_buffer_amount</t>
  </si>
  <si>
    <t xml:space="preserve">  end as baf_rate_usd_amount,</t>
  </si>
  <si>
    <t>baf_rate_usd_amount</t>
  </si>
  <si>
    <t xml:space="preserve">  null::date as inactive_date</t>
  </si>
  <si>
    <t>inactive_date</t>
  </si>
  <si>
    <t>&lt;- Always null. if a rate being updated is inactive, it will be updated to active</t>
  </si>
  <si>
    <t>Project BAF Rate Gen Prices VW</t>
  </si>
  <si>
    <t>Project BAF Rates Gen Source VW</t>
  </si>
  <si>
    <t xml:space="preserve">  tech.baf_frght_payable_unt_id as baf_freight_payable_unit_id,</t>
  </si>
  <si>
    <t xml:space="preserve">  fpu.baf_frght_payable_unt_cd as baf_freight_payable_unit_code,</t>
  </si>
  <si>
    <t>prjc_low_buffer_lmt_nb</t>
  </si>
  <si>
    <t>prjc_high_buffer_lmt_nb</t>
  </si>
  <si>
    <t xml:space="preserve">  parm.prjc_low_buffer_lmt_nb</t>
  </si>
  <si>
    <t xml:space="preserve">  parm.prjc_high_buffer_lmt_nb</t>
  </si>
  <si>
    <t xml:space="preserve">  sum((bsln.prjc_baf_bsln_fuel_prc_nbr*mix.fuel_mixing_pct_nb)*parm.prjc_low_buffer_lmt_nb) as buffer_low_usd,</t>
  </si>
  <si>
    <t xml:space="preserve">  sum((bsln.prjc_baf_bsln_fuel_prc_nbr*mix.fuel_mixing_pct_nb)*parm.prjc_high_buffer_lmt_nb) as buffer_high_usd</t>
  </si>
  <si>
    <t xml:space="preserve">  buff.prjc_low_buffer_lmt_nb</t>
  </si>
  <si>
    <t xml:space="preserve">  buff.prjc_high_buffer_lmt_nb</t>
  </si>
  <si>
    <t xml:space="preserve">  buff.prjc_low_buffer_lmt_nb as project_baf_low_buffer_limit_number,</t>
  </si>
  <si>
    <t xml:space="preserve">  buff.prjc_high_buffer_lmt_nb as project_baf_high_buffer_limit_number,</t>
  </si>
  <si>
    <r>
      <t xml:space="preserve">  inner join contract.</t>
    </r>
    <r>
      <rPr>
        <sz val="9"/>
        <rFont val="Courier New"/>
        <family val="3"/>
      </rPr>
      <t>project_baf_route_locations rte_loc</t>
    </r>
  </si>
  <si>
    <t>fuel_mixing_pct_nb</t>
  </si>
  <si>
    <t>Insert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</si>
</sst>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mmm\-yyyy"/>
    <numFmt numFmtId="166" formatCode="m/d/yy\ h:mm;@"/>
    <numFmt numFmtId="167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rgb="FFC00000"/>
      <name val="Courier New"/>
      <family val="3"/>
    </font>
    <font>
      <sz val="9"/>
      <color rgb="FFFF0000"/>
      <name val="Courier New"/>
      <family val="3"/>
    </font>
    <font>
      <sz val="9"/>
      <name val="Courier New"/>
      <family val="3"/>
    </font>
    <font>
      <sz val="8"/>
      <name val="Calibri"/>
      <family val="2"/>
      <scheme val="minor"/>
    </font>
    <font>
      <sz val="9"/>
      <color rgb="FF0070C0"/>
      <name val="Courier New"/>
      <family val="3"/>
    </font>
    <font>
      <b/>
      <sz val="9"/>
      <color rgb="FFC00000"/>
      <name val="Courier New"/>
      <family val="3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b/>
      <sz val="9"/>
      <name val="Courier New"/>
      <family val="3"/>
    </font>
    <font>
      <sz val="11"/>
      <color theme="4" tint="-0.249977111117893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6633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3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  <xf numFmtId="0" fontId="0" fillId="0" borderId="0" xfId="0" applyAlignment="1">
      <alignment horizontal="right"/>
    </xf>
    <xf numFmtId="0" fontId="2" fillId="0" borderId="0" xfId="0" applyFont="1" applyAlignment="1">
      <alignment horizontal="left" indent="2"/>
    </xf>
    <xf numFmtId="165" fontId="0" fillId="0" borderId="0" xfId="0" applyNumberFormat="1"/>
    <xf numFmtId="166" fontId="0" fillId="0" borderId="0" xfId="0" applyNumberFormat="1"/>
    <xf numFmtId="0" fontId="0" fillId="13" borderId="0" xfId="0" applyFill="1" applyAlignment="1"/>
    <xf numFmtId="0" fontId="4" fillId="0" borderId="0" xfId="0" applyFont="1"/>
    <xf numFmtId="0" fontId="3" fillId="14" borderId="0" xfId="0" applyFont="1" applyFill="1"/>
    <xf numFmtId="14" fontId="0" fillId="0" borderId="0" xfId="0" applyNumberFormat="1"/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2" borderId="1" xfId="0" applyFill="1" applyBorder="1"/>
    <xf numFmtId="0" fontId="4" fillId="0" borderId="1" xfId="0" applyFont="1" applyBorder="1"/>
    <xf numFmtId="0" fontId="0" fillId="0" borderId="1" xfId="0" applyBorder="1"/>
    <xf numFmtId="0" fontId="0" fillId="6" borderId="1" xfId="0" applyFill="1" applyBorder="1"/>
    <xf numFmtId="0" fontId="3" fillId="9" borderId="1" xfId="0" applyFont="1" applyFill="1" applyBorder="1"/>
    <xf numFmtId="0" fontId="0" fillId="3" borderId="1" xfId="0" applyFill="1" applyBorder="1"/>
    <xf numFmtId="0" fontId="0" fillId="16" borderId="1" xfId="0" applyFill="1" applyBorder="1"/>
    <xf numFmtId="0" fontId="4" fillId="16" borderId="1" xfId="0" applyFont="1" applyFill="1" applyBorder="1"/>
    <xf numFmtId="0" fontId="3" fillId="17" borderId="1" xfId="0" applyFont="1" applyFill="1" applyBorder="1"/>
    <xf numFmtId="164" fontId="0" fillId="0" borderId="0" xfId="0" applyNumberFormat="1" applyFont="1"/>
    <xf numFmtId="164" fontId="0" fillId="0" borderId="0" xfId="0" applyNumberFormat="1" applyFont="1" applyFill="1"/>
    <xf numFmtId="0" fontId="0" fillId="4" borderId="1" xfId="0" applyFill="1" applyBorder="1"/>
    <xf numFmtId="164" fontId="0" fillId="4" borderId="1" xfId="0" applyNumberFormat="1" applyFont="1" applyFill="1" applyBorder="1"/>
    <xf numFmtId="164" fontId="4" fillId="0" borderId="1" xfId="0" applyNumberFormat="1" applyFont="1" applyBorder="1"/>
    <xf numFmtId="164" fontId="4" fillId="0" borderId="1" xfId="0" applyNumberFormat="1" applyFont="1" applyFill="1" applyBorder="1"/>
    <xf numFmtId="0" fontId="0" fillId="8" borderId="1" xfId="0" applyFill="1" applyBorder="1"/>
    <xf numFmtId="0" fontId="0" fillId="16" borderId="0" xfId="0" applyFill="1"/>
    <xf numFmtId="2" fontId="0" fillId="0" borderId="0" xfId="0" applyNumberFormat="1"/>
    <xf numFmtId="0" fontId="3" fillId="14" borderId="1" xfId="0" applyFont="1" applyFill="1" applyBorder="1"/>
    <xf numFmtId="0" fontId="4" fillId="5" borderId="1" xfId="0" applyFont="1" applyFill="1" applyBorder="1"/>
    <xf numFmtId="0" fontId="0" fillId="13" borderId="1" xfId="0" applyFill="1" applyBorder="1" applyAlignment="1"/>
    <xf numFmtId="0" fontId="0" fillId="0" borderId="0" xfId="0" applyFill="1" applyAlignment="1">
      <alignment horizontal="center"/>
    </xf>
    <xf numFmtId="0" fontId="5" fillId="0" borderId="0" xfId="0" applyFont="1" applyAlignment="1">
      <alignment horizontal="left" indent="2"/>
    </xf>
    <xf numFmtId="166" fontId="0" fillId="0" borderId="1" xfId="0" applyNumberFormat="1" applyBorder="1"/>
    <xf numFmtId="0" fontId="0" fillId="15" borderId="1" xfId="0" applyFill="1" applyBorder="1"/>
    <xf numFmtId="2" fontId="0" fillId="0" borderId="0" xfId="0" applyNumberFormat="1" applyFill="1"/>
    <xf numFmtId="167" fontId="0" fillId="0" borderId="0" xfId="0" applyNumberFormat="1" applyFill="1"/>
    <xf numFmtId="167" fontId="0" fillId="0" borderId="0" xfId="0" applyNumberFormat="1"/>
    <xf numFmtId="0" fontId="0" fillId="10" borderId="1" xfId="0" applyFill="1" applyBorder="1"/>
    <xf numFmtId="0" fontId="0" fillId="12" borderId="1" xfId="0" applyFill="1" applyBorder="1"/>
    <xf numFmtId="167" fontId="0" fillId="4" borderId="1" xfId="0" applyNumberFormat="1" applyFill="1" applyBorder="1"/>
    <xf numFmtId="0" fontId="0" fillId="0" borderId="1" xfId="0" applyFill="1" applyBorder="1"/>
    <xf numFmtId="0" fontId="0" fillId="5" borderId="1" xfId="0" applyFill="1" applyBorder="1"/>
    <xf numFmtId="0" fontId="0" fillId="7" borderId="1" xfId="0" applyFill="1" applyBorder="1"/>
    <xf numFmtId="2" fontId="0" fillId="0" borderId="1" xfId="0" applyNumberFormat="1" applyBorder="1"/>
    <xf numFmtId="0" fontId="0" fillId="11" borderId="1" xfId="0" applyFill="1" applyBorder="1"/>
    <xf numFmtId="166" fontId="0" fillId="0" borderId="1" xfId="0" applyNumberFormat="1" applyFill="1" applyBorder="1"/>
    <xf numFmtId="2" fontId="0" fillId="0" borderId="1" xfId="0" applyNumberFormat="1" applyFill="1" applyBorder="1"/>
    <xf numFmtId="167" fontId="0" fillId="0" borderId="1" xfId="0" applyNumberFormat="1" applyFill="1" applyBorder="1"/>
    <xf numFmtId="167" fontId="0" fillId="0" borderId="1" xfId="0" applyNumberFormat="1" applyBorder="1"/>
    <xf numFmtId="0" fontId="0" fillId="0" borderId="0" xfId="0" applyNumberFormat="1" applyFill="1"/>
    <xf numFmtId="0" fontId="0" fillId="0" borderId="0" xfId="0" applyNumberFormat="1"/>
    <xf numFmtId="0" fontId="8" fillId="0" borderId="0" xfId="0" applyFont="1"/>
    <xf numFmtId="0" fontId="8" fillId="0" borderId="0" xfId="0" applyFont="1" applyAlignment="1">
      <alignment horizontal="left"/>
    </xf>
    <xf numFmtId="0" fontId="8" fillId="0" borderId="0" xfId="0" applyFont="1" applyFill="1" applyAlignment="1">
      <alignment horizontal="left"/>
    </xf>
    <xf numFmtId="0" fontId="8" fillId="0" borderId="0" xfId="0" applyFont="1" applyFill="1"/>
    <xf numFmtId="0" fontId="3" fillId="0" borderId="0" xfId="0" applyFont="1" applyFill="1" applyAlignment="1"/>
    <xf numFmtId="0" fontId="3" fillId="0" borderId="0" xfId="0" applyFont="1" applyFill="1"/>
    <xf numFmtId="0" fontId="0" fillId="20" borderId="0" xfId="0" applyFill="1"/>
    <xf numFmtId="0" fontId="0" fillId="20" borderId="0" xfId="0" applyFill="1" applyAlignment="1">
      <alignment horizontal="center"/>
    </xf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3" fillId="19" borderId="1" xfId="0" applyNumberFormat="1" applyFont="1" applyFill="1" applyBorder="1"/>
    <xf numFmtId="0" fontId="3" fillId="19" borderId="1" xfId="0" applyFont="1" applyFill="1" applyBorder="1"/>
    <xf numFmtId="0" fontId="0" fillId="16" borderId="0" xfId="0" applyNumberFormat="1" applyFill="1"/>
    <xf numFmtId="0" fontId="4" fillId="16" borderId="1" xfId="0" applyNumberFormat="1" applyFont="1" applyFill="1" applyBorder="1"/>
    <xf numFmtId="0" fontId="9" fillId="0" borderId="0" xfId="0" applyFont="1" applyAlignment="1">
      <alignment horizontal="left"/>
    </xf>
    <xf numFmtId="0" fontId="9" fillId="0" borderId="0" xfId="0" applyFont="1"/>
    <xf numFmtId="0" fontId="0" fillId="0" borderId="1" xfId="0" applyFill="1" applyBorder="1" applyAlignment="1">
      <alignment horizontal="left"/>
    </xf>
    <xf numFmtId="0" fontId="0" fillId="5" borderId="0" xfId="0" applyFill="1" applyAlignment="1">
      <alignment horizontal="right"/>
    </xf>
    <xf numFmtId="0" fontId="0" fillId="22" borderId="0" xfId="0" applyFill="1"/>
    <xf numFmtId="0" fontId="0" fillId="0" borderId="0" xfId="0" quotePrefix="1"/>
    <xf numFmtId="0" fontId="4" fillId="22" borderId="0" xfId="0" applyFont="1" applyFill="1"/>
    <xf numFmtId="0" fontId="0" fillId="23" borderId="0" xfId="0" applyFill="1"/>
    <xf numFmtId="0" fontId="0" fillId="24" borderId="0" xfId="0" applyFill="1"/>
    <xf numFmtId="0" fontId="0" fillId="24" borderId="1" xfId="0" applyFill="1" applyBorder="1"/>
    <xf numFmtId="0" fontId="0" fillId="25" borderId="1" xfId="0" applyFill="1" applyBorder="1"/>
    <xf numFmtId="166" fontId="4" fillId="0" borderId="1" xfId="0" applyNumberFormat="1" applyFont="1" applyBorder="1"/>
    <xf numFmtId="0" fontId="2" fillId="0" borderId="0" xfId="0" applyFont="1" applyAlignment="1">
      <alignment horizontal="center"/>
    </xf>
    <xf numFmtId="14" fontId="4" fillId="0" borderId="1" xfId="0" applyNumberFormat="1" applyFont="1" applyBorder="1"/>
    <xf numFmtId="14" fontId="0" fillId="0" borderId="1" xfId="0" applyNumberFormat="1" applyBorder="1"/>
    <xf numFmtId="0" fontId="4" fillId="16" borderId="2" xfId="0" applyFont="1" applyFill="1" applyBorder="1"/>
    <xf numFmtId="0" fontId="4" fillId="0" borderId="3" xfId="0" applyFont="1" applyBorder="1"/>
    <xf numFmtId="0" fontId="4" fillId="16" borderId="4" xfId="0" applyFont="1" applyFill="1" applyBorder="1"/>
    <xf numFmtId="0" fontId="4" fillId="0" borderId="4" xfId="0" applyFont="1" applyBorder="1"/>
    <xf numFmtId="14" fontId="0" fillId="0" borderId="4" xfId="0" applyNumberFormat="1" applyBorder="1"/>
    <xf numFmtId="0" fontId="0" fillId="0" borderId="4" xfId="0" applyBorder="1"/>
    <xf numFmtId="0" fontId="0" fillId="0" borderId="5" xfId="0" applyBorder="1"/>
    <xf numFmtId="0" fontId="3" fillId="26" borderId="6" xfId="0" applyFont="1" applyFill="1" applyBorder="1" applyAlignment="1">
      <alignment horizontal="center"/>
    </xf>
    <xf numFmtId="0" fontId="4" fillId="0" borderId="7" xfId="0" applyFont="1" applyBorder="1"/>
    <xf numFmtId="0" fontId="0" fillId="0" borderId="0" xfId="0" applyBorder="1"/>
    <xf numFmtId="0" fontId="3" fillId="26" borderId="8" xfId="0" applyFont="1" applyFill="1" applyBorder="1" applyAlignment="1">
      <alignment horizontal="center"/>
    </xf>
    <xf numFmtId="0" fontId="4" fillId="0" borderId="9" xfId="0" applyFont="1" applyBorder="1"/>
    <xf numFmtId="0" fontId="4" fillId="16" borderId="10" xfId="0" applyFont="1" applyFill="1" applyBorder="1"/>
    <xf numFmtId="0" fontId="4" fillId="0" borderId="10" xfId="0" applyFont="1" applyBorder="1"/>
    <xf numFmtId="14" fontId="0" fillId="0" borderId="10" xfId="0" applyNumberFormat="1" applyBorder="1"/>
    <xf numFmtId="0" fontId="0" fillId="0" borderId="10" xfId="0" applyBorder="1"/>
    <xf numFmtId="0" fontId="0" fillId="0" borderId="11" xfId="0" applyBorder="1"/>
    <xf numFmtId="0" fontId="3" fillId="26" borderId="12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16" borderId="2" xfId="0" applyFill="1" applyBorder="1"/>
    <xf numFmtId="14" fontId="4" fillId="0" borderId="4" xfId="0" applyNumberFormat="1" applyFont="1" applyBorder="1"/>
    <xf numFmtId="14" fontId="4" fillId="0" borderId="10" xfId="0" applyNumberFormat="1" applyFont="1" applyBorder="1"/>
    <xf numFmtId="0" fontId="0" fillId="0" borderId="0" xfId="0" applyFill="1" applyBorder="1"/>
    <xf numFmtId="0" fontId="3" fillId="26" borderId="0" xfId="0" applyFont="1" applyFill="1"/>
    <xf numFmtId="0" fontId="3" fillId="0" borderId="1" xfId="0" applyFont="1" applyFill="1" applyBorder="1"/>
    <xf numFmtId="0" fontId="1" fillId="0" borderId="1" xfId="0" applyFont="1" applyFill="1" applyBorder="1"/>
    <xf numFmtId="0" fontId="4" fillId="0" borderId="1" xfId="0" applyFont="1" applyFill="1" applyBorder="1"/>
    <xf numFmtId="0" fontId="3" fillId="26" borderId="1" xfId="0" applyFont="1" applyFill="1" applyBorder="1"/>
    <xf numFmtId="2" fontId="4" fillId="0" borderId="1" xfId="0" applyNumberFormat="1" applyFont="1" applyBorder="1"/>
    <xf numFmtId="0" fontId="3" fillId="0" borderId="0" xfId="0" applyNumberFormat="1" applyFont="1" applyFill="1" applyBorder="1"/>
    <xf numFmtId="0" fontId="0" fillId="0" borderId="14" xfId="0" applyFill="1" applyBorder="1"/>
    <xf numFmtId="167" fontId="0" fillId="0" borderId="14" xfId="0" applyNumberFormat="1" applyFill="1" applyBorder="1"/>
    <xf numFmtId="0" fontId="3" fillId="0" borderId="14" xfId="0" applyNumberFormat="1" applyFont="1" applyFill="1" applyBorder="1"/>
    <xf numFmtId="0" fontId="4" fillId="0" borderId="14" xfId="0" applyNumberFormat="1" applyFont="1" applyFill="1" applyBorder="1"/>
    <xf numFmtId="0" fontId="3" fillId="0" borderId="14" xfId="0" applyFont="1" applyFill="1" applyBorder="1"/>
    <xf numFmtId="0" fontId="0" fillId="0" borderId="13" xfId="0" applyFill="1" applyBorder="1"/>
    <xf numFmtId="2" fontId="0" fillId="0" borderId="2" xfId="0" applyNumberFormat="1" applyFill="1" applyBorder="1"/>
    <xf numFmtId="0" fontId="0" fillId="0" borderId="2" xfId="0" applyFill="1" applyBorder="1"/>
    <xf numFmtId="2" fontId="0" fillId="0" borderId="3" xfId="0" applyNumberFormat="1" applyFill="1" applyBorder="1"/>
    <xf numFmtId="0" fontId="0" fillId="0" borderId="15" xfId="0" applyFill="1" applyBorder="1"/>
    <xf numFmtId="2" fontId="0" fillId="0" borderId="7" xfId="0" applyNumberFormat="1" applyFill="1" applyBorder="1"/>
    <xf numFmtId="0" fontId="0" fillId="0" borderId="16" xfId="0" applyFill="1" applyBorder="1"/>
    <xf numFmtId="2" fontId="0" fillId="0" borderId="9" xfId="0" applyNumberFormat="1" applyFill="1" applyBorder="1"/>
    <xf numFmtId="0" fontId="0" fillId="0" borderId="17" xfId="0" applyFill="1" applyBorder="1"/>
    <xf numFmtId="0" fontId="0" fillId="0" borderId="13" xfId="0" applyBorder="1"/>
    <xf numFmtId="0" fontId="0" fillId="0" borderId="14" xfId="0" applyBorder="1"/>
    <xf numFmtId="0" fontId="0" fillId="0" borderId="18" xfId="0" applyBorder="1"/>
    <xf numFmtId="0" fontId="0" fillId="18" borderId="1" xfId="0" applyFill="1" applyBorder="1"/>
    <xf numFmtId="166" fontId="0" fillId="0" borderId="0" xfId="0" applyNumberFormat="1" applyFill="1"/>
    <xf numFmtId="2" fontId="0" fillId="5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ill="1" applyAlignment="1">
      <alignment horizontal="center"/>
    </xf>
    <xf numFmtId="2" fontId="1" fillId="0" borderId="1" xfId="0" applyNumberFormat="1" applyFont="1" applyFill="1" applyBorder="1" applyAlignment="1">
      <alignment horizontal="left"/>
    </xf>
    <xf numFmtId="0" fontId="9" fillId="0" borderId="0" xfId="0" applyFont="1" applyFill="1" applyAlignment="1">
      <alignment horizontal="left"/>
    </xf>
    <xf numFmtId="0" fontId="9" fillId="0" borderId="0" xfId="0" applyFont="1" applyFill="1"/>
    <xf numFmtId="0" fontId="0" fillId="0" borderId="1" xfId="0" applyBorder="1" applyAlignment="1">
      <alignment horizontal="left" vertical="center"/>
    </xf>
    <xf numFmtId="0" fontId="3" fillId="27" borderId="1" xfId="0" applyFont="1" applyFill="1" applyBorder="1"/>
    <xf numFmtId="0" fontId="1" fillId="28" borderId="2" xfId="0" applyFont="1" applyFill="1" applyBorder="1"/>
    <xf numFmtId="0" fontId="1" fillId="28" borderId="2" xfId="0" applyFont="1" applyFill="1" applyBorder="1" applyAlignment="1">
      <alignment horizontal="left"/>
    </xf>
    <xf numFmtId="0" fontId="1" fillId="28" borderId="1" xfId="0" applyFont="1" applyFill="1" applyBorder="1"/>
    <xf numFmtId="0" fontId="3" fillId="29" borderId="1" xfId="0" applyFont="1" applyFill="1" applyBorder="1"/>
    <xf numFmtId="0" fontId="3" fillId="29" borderId="2" xfId="0" applyFont="1" applyFill="1" applyBorder="1"/>
    <xf numFmtId="0" fontId="3" fillId="29" borderId="19" xfId="0" applyFont="1" applyFill="1" applyBorder="1"/>
    <xf numFmtId="0" fontId="12" fillId="0" borderId="0" xfId="0" applyFont="1" applyAlignment="1">
      <alignment horizontal="left"/>
    </xf>
    <xf numFmtId="0" fontId="0" fillId="13" borderId="1" xfId="0" applyFill="1" applyBorder="1"/>
    <xf numFmtId="0" fontId="13" fillId="0" borderId="0" xfId="0" applyFont="1"/>
    <xf numFmtId="0" fontId="13" fillId="0" borderId="0" xfId="0" applyFont="1" applyFill="1"/>
    <xf numFmtId="0" fontId="4" fillId="25" borderId="1" xfId="0" applyFont="1" applyFill="1" applyBorder="1"/>
    <xf numFmtId="0" fontId="0" fillId="16" borderId="1" xfId="0" applyFill="1" applyBorder="1" applyAlignment="1">
      <alignment horizontal="left"/>
    </xf>
    <xf numFmtId="0" fontId="3" fillId="19" borderId="13" xfId="0" applyNumberFormat="1" applyFont="1" applyFill="1" applyBorder="1"/>
    <xf numFmtId="0" fontId="3" fillId="0" borderId="1" xfId="0" applyNumberFormat="1" applyFont="1" applyFill="1" applyBorder="1"/>
    <xf numFmtId="0" fontId="5" fillId="0" borderId="0" xfId="0" applyFont="1"/>
    <xf numFmtId="0" fontId="5" fillId="0" borderId="0" xfId="0" applyFont="1" applyFill="1"/>
    <xf numFmtId="0" fontId="5" fillId="0" borderId="0" xfId="0" applyNumberFormat="1" applyFont="1"/>
    <xf numFmtId="0" fontId="1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00"/>
      <color rgb="FF663300"/>
      <color rgb="FF006600"/>
      <color rgb="FF0066FF"/>
      <color rgb="FF9F5FCF"/>
      <color rgb="FFFF66CC"/>
      <color rgb="FFFFFF99"/>
      <color rgb="FFCC99FF"/>
      <color rgb="FFFF99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838200</xdr:colOff>
          <xdr:row>10</xdr:row>
          <xdr:rowOff>57150</xdr:rowOff>
        </xdr:from>
        <xdr:to>
          <xdr:col>5</xdr:col>
          <xdr:colOff>1752600</xdr:colOff>
          <xdr:row>14</xdr:row>
          <xdr:rowOff>66675</xdr:rowOff>
        </xdr:to>
        <xdr:sp macro="" textlink="">
          <xdr:nvSpPr>
            <xdr:cNvPr id="14339" name="Object 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00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466725</xdr:colOff>
      <xdr:row>38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001125" cy="727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C1A4E-25CF-454F-A4AF-D7790D1F8A0A}">
  <dimension ref="A1:F29"/>
  <sheetViews>
    <sheetView zoomScale="115" zoomScaleNormal="115" workbookViewId="0">
      <selection activeCell="K12" sqref="K12"/>
    </sheetView>
  </sheetViews>
  <sheetFormatPr defaultRowHeight="15" x14ac:dyDescent="0.25"/>
  <cols>
    <col min="1" max="1" width="9.85546875" customWidth="1"/>
    <col min="6" max="6" width="42.85546875" bestFit="1" customWidth="1"/>
  </cols>
  <sheetData>
    <row r="1" spans="1:6" x14ac:dyDescent="0.25">
      <c r="A1" s="76" t="s">
        <v>8</v>
      </c>
      <c r="B1" s="76" t="s">
        <v>2</v>
      </c>
      <c r="C1" t="s">
        <v>109</v>
      </c>
    </row>
    <row r="2" spans="1:6" x14ac:dyDescent="0.25">
      <c r="A2">
        <v>670</v>
      </c>
      <c r="B2">
        <v>570</v>
      </c>
    </row>
    <row r="3" spans="1:6" x14ac:dyDescent="0.25">
      <c r="A3">
        <v>610</v>
      </c>
      <c r="B3">
        <v>600</v>
      </c>
      <c r="F3" s="76" t="s">
        <v>120</v>
      </c>
    </row>
    <row r="4" spans="1:6" x14ac:dyDescent="0.25">
      <c r="A4">
        <v>660</v>
      </c>
      <c r="B4">
        <v>650</v>
      </c>
      <c r="F4" s="1" t="s">
        <v>121</v>
      </c>
    </row>
    <row r="5" spans="1:6" x14ac:dyDescent="0.25">
      <c r="A5">
        <f>SUM(A2:A4)</f>
        <v>1940</v>
      </c>
      <c r="B5">
        <f>SUM(B2:B4)</f>
        <v>1820</v>
      </c>
      <c r="F5" s="79" t="s">
        <v>122</v>
      </c>
    </row>
    <row r="6" spans="1:6" x14ac:dyDescent="0.25">
      <c r="A6" s="76">
        <f>ROUND(AVERAGE(A2:A4),2)</f>
        <v>646.66999999999996</v>
      </c>
      <c r="B6" s="76">
        <f>ROUND(AVERAGE(B2:B4),2)</f>
        <v>606.66999999999996</v>
      </c>
      <c r="F6" s="3" t="s">
        <v>123</v>
      </c>
    </row>
    <row r="8" spans="1:6" x14ac:dyDescent="0.25">
      <c r="A8" t="s">
        <v>110</v>
      </c>
      <c r="C8" t="s">
        <v>111</v>
      </c>
    </row>
    <row r="9" spans="1:6" x14ac:dyDescent="0.25">
      <c r="A9" t="s">
        <v>8</v>
      </c>
      <c r="B9" s="76">
        <v>0.28999999999999998</v>
      </c>
      <c r="C9" s="4">
        <f>A6</f>
        <v>646.66999999999996</v>
      </c>
      <c r="D9">
        <f>B9*C9</f>
        <v>187.53429999999997</v>
      </c>
    </row>
    <row r="10" spans="1:6" x14ac:dyDescent="0.25">
      <c r="A10" t="s">
        <v>2</v>
      </c>
      <c r="B10" s="76">
        <v>0.71</v>
      </c>
      <c r="C10" s="4">
        <f>B6</f>
        <v>606.66999999999996</v>
      </c>
      <c r="D10">
        <f>B10*C10</f>
        <v>430.73569999999995</v>
      </c>
      <c r="F10" t="s">
        <v>124</v>
      </c>
    </row>
    <row r="12" spans="1:6" x14ac:dyDescent="0.25">
      <c r="A12" t="s">
        <v>112</v>
      </c>
      <c r="D12" s="1">
        <f>ROUND(SUM(D9:D10),2)</f>
        <v>618.27</v>
      </c>
    </row>
    <row r="13" spans="1:6" x14ac:dyDescent="0.25">
      <c r="B13" t="s">
        <v>113</v>
      </c>
      <c r="D13" s="1">
        <f>ROUND(E13*$D$12,2)</f>
        <v>711.01</v>
      </c>
      <c r="E13" s="76">
        <v>1.1499999999999999</v>
      </c>
    </row>
    <row r="14" spans="1:6" x14ac:dyDescent="0.25">
      <c r="B14" t="s">
        <v>114</v>
      </c>
      <c r="D14" s="1">
        <f>ROUND(E14*$D$12,2)</f>
        <v>525.53</v>
      </c>
      <c r="E14" s="76">
        <v>0.85</v>
      </c>
    </row>
    <row r="16" spans="1:6" x14ac:dyDescent="0.25">
      <c r="A16" t="s">
        <v>127</v>
      </c>
    </row>
    <row r="17" spans="1:5" x14ac:dyDescent="0.25">
      <c r="A17" t="s">
        <v>126</v>
      </c>
    </row>
    <row r="18" spans="1:5" x14ac:dyDescent="0.25">
      <c r="A18" t="s">
        <v>125</v>
      </c>
      <c r="C18" s="76">
        <v>3</v>
      </c>
    </row>
    <row r="20" spans="1:5" x14ac:dyDescent="0.25">
      <c r="A20" t="s">
        <v>128</v>
      </c>
      <c r="B20" s="13" t="s">
        <v>8</v>
      </c>
      <c r="C20" s="13" t="s">
        <v>2</v>
      </c>
    </row>
    <row r="21" spans="1:5" x14ac:dyDescent="0.25">
      <c r="A21" t="s">
        <v>115</v>
      </c>
      <c r="B21" s="78">
        <v>800</v>
      </c>
      <c r="C21" s="78">
        <v>750</v>
      </c>
    </row>
    <row r="22" spans="1:5" x14ac:dyDescent="0.25">
      <c r="A22" t="s">
        <v>116</v>
      </c>
      <c r="B22" s="4">
        <v>0.28999999999999998</v>
      </c>
      <c r="C22" s="4">
        <v>0.71</v>
      </c>
    </row>
    <row r="23" spans="1:5" x14ac:dyDescent="0.25">
      <c r="B23">
        <f>B22*B21</f>
        <v>231.99999999999997</v>
      </c>
      <c r="C23">
        <f>C22*C21</f>
        <v>532.5</v>
      </c>
      <c r="D23" s="79">
        <f>B23+C23</f>
        <v>764.5</v>
      </c>
      <c r="E23" s="77" t="s">
        <v>131</v>
      </c>
    </row>
    <row r="24" spans="1:5" x14ac:dyDescent="0.25">
      <c r="D24">
        <f>IF(D23&gt;D13,D13,IF(D23&lt;D14,D14,0))</f>
        <v>711.01</v>
      </c>
      <c r="E24" t="s">
        <v>117</v>
      </c>
    </row>
    <row r="25" spans="1:5" x14ac:dyDescent="0.25">
      <c r="D25">
        <f>IF(D23&gt;D13,D23-D13,IF(D23&lt;D14,D23-D14,0))</f>
        <v>53.490000000000009</v>
      </c>
      <c r="E25" t="s">
        <v>118</v>
      </c>
    </row>
    <row r="26" spans="1:5" x14ac:dyDescent="0.25">
      <c r="A26" t="s">
        <v>119</v>
      </c>
      <c r="C26" s="3" t="s">
        <v>129</v>
      </c>
    </row>
    <row r="27" spans="1:5" x14ac:dyDescent="0.25">
      <c r="A27" t="s">
        <v>130</v>
      </c>
      <c r="B27" s="76">
        <v>0.24199999999999999</v>
      </c>
      <c r="C27" s="3">
        <f>ROUND($D$25*B27,2)</f>
        <v>12.94</v>
      </c>
    </row>
    <row r="28" spans="1:5" x14ac:dyDescent="0.25">
      <c r="A28" t="s">
        <v>4</v>
      </c>
      <c r="B28" s="76">
        <v>0.47199999999999998</v>
      </c>
      <c r="C28" s="3">
        <f>ROUND($D$25*B28,2)</f>
        <v>25.25</v>
      </c>
    </row>
    <row r="29" spans="1:5" x14ac:dyDescent="0.25">
      <c r="A29" t="s">
        <v>5</v>
      </c>
      <c r="B29" s="76">
        <v>1.4999999999999999E-2</v>
      </c>
      <c r="C29" s="3">
        <f>ROUND($D$25*B29,2)</f>
        <v>0.8</v>
      </c>
    </row>
  </sheetData>
  <pageMargins left="0.7" right="0.7" top="0.75" bottom="0.75" header="0.3" footer="0.3"/>
  <pageSetup orientation="portrait" horizontalDpi="4294967293" verticalDpi="4294967293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4339" r:id="rId4">
          <objectPr defaultSize="0" r:id="rId5">
            <anchor moveWithCells="1">
              <from>
                <xdr:col>5</xdr:col>
                <xdr:colOff>838200</xdr:colOff>
                <xdr:row>10</xdr:row>
                <xdr:rowOff>57150</xdr:rowOff>
              </from>
              <to>
                <xdr:col>5</xdr:col>
                <xdr:colOff>1752600</xdr:colOff>
                <xdr:row>14</xdr:row>
                <xdr:rowOff>66675</xdr:rowOff>
              </to>
            </anchor>
          </objectPr>
        </oleObject>
      </mc:Choice>
      <mc:Fallback>
        <oleObject progId="Acrobat Document" dvAspect="DVASPECT_ICON" shapeId="14339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EF81E-64DA-4971-8145-08E8B9819E94}">
  <dimension ref="A1"/>
  <sheetViews>
    <sheetView tabSelected="1" zoomScale="115" zoomScaleNormal="11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FBCBE-741D-4131-A64D-25371D6F8274}">
  <sheetPr>
    <tabColor rgb="FFFF0000"/>
  </sheetPr>
  <dimension ref="A1:C2"/>
  <sheetViews>
    <sheetView workbookViewId="0"/>
  </sheetViews>
  <sheetFormatPr defaultRowHeight="15" x14ac:dyDescent="0.25"/>
  <cols>
    <col min="2" max="2" width="37.140625" bestFit="1" customWidth="1"/>
  </cols>
  <sheetData>
    <row r="1" spans="1:3" x14ac:dyDescent="0.25">
      <c r="A1" s="11" t="s">
        <v>0</v>
      </c>
      <c r="B1" s="11" t="s">
        <v>17</v>
      </c>
      <c r="C1" s="11" t="s">
        <v>168</v>
      </c>
    </row>
    <row r="2" spans="1:3" x14ac:dyDescent="0.25">
      <c r="A2" s="10">
        <v>12345</v>
      </c>
      <c r="B2" s="9" t="s">
        <v>18</v>
      </c>
      <c r="C2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DA242-6851-4D95-9498-40597976F00D}">
  <sheetPr>
    <tabColor rgb="FFFFFF00"/>
  </sheetPr>
  <dimension ref="A1:C9"/>
  <sheetViews>
    <sheetView workbookViewId="0"/>
  </sheetViews>
  <sheetFormatPr defaultRowHeight="15" x14ac:dyDescent="0.25"/>
  <cols>
    <col min="1" max="1" width="14.7109375" bestFit="1" customWidth="1"/>
    <col min="2" max="2" width="17.5703125" bestFit="1" customWidth="1"/>
    <col min="3" max="3" width="18.28515625" bestFit="1" customWidth="1"/>
  </cols>
  <sheetData>
    <row r="1" spans="1:3" x14ac:dyDescent="0.25">
      <c r="A1" s="18" t="s">
        <v>21</v>
      </c>
      <c r="B1" s="18" t="s">
        <v>212</v>
      </c>
      <c r="C1" s="18" t="s">
        <v>213</v>
      </c>
    </row>
    <row r="2" spans="1:3" x14ac:dyDescent="0.25">
      <c r="A2" s="16">
        <v>71</v>
      </c>
      <c r="B2" s="17" t="s">
        <v>1</v>
      </c>
      <c r="C2" s="17" t="s">
        <v>1</v>
      </c>
    </row>
    <row r="3" spans="1:3" x14ac:dyDescent="0.25">
      <c r="A3" s="17">
        <v>72</v>
      </c>
      <c r="B3" s="17" t="s">
        <v>20</v>
      </c>
      <c r="C3" s="17" t="s">
        <v>20</v>
      </c>
    </row>
    <row r="4" spans="1:3" x14ac:dyDescent="0.25">
      <c r="A4" s="17">
        <v>73</v>
      </c>
      <c r="B4" s="17" t="s">
        <v>188</v>
      </c>
      <c r="C4" s="17" t="s">
        <v>188</v>
      </c>
    </row>
    <row r="5" spans="1:3" x14ac:dyDescent="0.25">
      <c r="A5" s="96"/>
      <c r="B5" s="96"/>
      <c r="C5" s="96"/>
    </row>
    <row r="6" spans="1:3" x14ac:dyDescent="0.25">
      <c r="A6" t="s">
        <v>28</v>
      </c>
    </row>
    <row r="7" spans="1:3" x14ac:dyDescent="0.25">
      <c r="A7" t="s">
        <v>26</v>
      </c>
    </row>
    <row r="8" spans="1:3" x14ac:dyDescent="0.25">
      <c r="A8" t="s">
        <v>27</v>
      </c>
    </row>
    <row r="9" spans="1:3" x14ac:dyDescent="0.25">
      <c r="A9" t="s">
        <v>195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C0097-D43F-4B8E-BC21-C7832BF09086}">
  <sheetPr>
    <tabColor rgb="FF663300"/>
  </sheetPr>
  <dimension ref="A1:D9"/>
  <sheetViews>
    <sheetView workbookViewId="0"/>
  </sheetViews>
  <sheetFormatPr defaultRowHeight="15" x14ac:dyDescent="0.25"/>
  <cols>
    <col min="1" max="1" width="11" bestFit="1" customWidth="1"/>
    <col min="2" max="2" width="13.85546875" bestFit="1" customWidth="1"/>
    <col min="3" max="3" width="23.85546875" bestFit="1" customWidth="1"/>
    <col min="4" max="4" width="12.5703125" bestFit="1" customWidth="1"/>
  </cols>
  <sheetData>
    <row r="1" spans="1:4" x14ac:dyDescent="0.25">
      <c r="A1" s="149" t="s">
        <v>211</v>
      </c>
      <c r="B1" s="150" t="s">
        <v>214</v>
      </c>
      <c r="C1" s="150" t="s">
        <v>215</v>
      </c>
      <c r="D1" s="151" t="s">
        <v>66</v>
      </c>
    </row>
    <row r="2" spans="1:4" x14ac:dyDescent="0.25">
      <c r="A2" s="17">
        <v>121</v>
      </c>
      <c r="B2" s="17" t="s">
        <v>8</v>
      </c>
      <c r="C2" s="17" t="s">
        <v>172</v>
      </c>
      <c r="D2" s="17"/>
    </row>
    <row r="3" spans="1:4" x14ac:dyDescent="0.25">
      <c r="A3" s="17">
        <v>122</v>
      </c>
      <c r="B3" s="17" t="s">
        <v>2</v>
      </c>
      <c r="C3" s="17" t="s">
        <v>171</v>
      </c>
      <c r="D3" s="17"/>
    </row>
    <row r="4" spans="1:4" x14ac:dyDescent="0.25">
      <c r="A4" s="17">
        <v>123</v>
      </c>
      <c r="B4" s="17" t="s">
        <v>169</v>
      </c>
      <c r="C4" s="17" t="s">
        <v>170</v>
      </c>
      <c r="D4" s="86">
        <f ca="1">NOW()</f>
        <v>44607.579440046298</v>
      </c>
    </row>
    <row r="6" spans="1:4" x14ac:dyDescent="0.25">
      <c r="A6" t="s">
        <v>29</v>
      </c>
    </row>
    <row r="7" spans="1:4" x14ac:dyDescent="0.25">
      <c r="A7" t="s">
        <v>30</v>
      </c>
    </row>
    <row r="8" spans="1:4" x14ac:dyDescent="0.25">
      <c r="A8" t="s">
        <v>31</v>
      </c>
    </row>
    <row r="9" spans="1:4" x14ac:dyDescent="0.25">
      <c r="A9" t="s">
        <v>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C5676-82C6-42FD-90FF-CC9EC052C333}">
  <sheetPr>
    <tabColor theme="0"/>
  </sheetPr>
  <dimension ref="A1:E5"/>
  <sheetViews>
    <sheetView workbookViewId="0">
      <selection activeCell="A2" sqref="A2:E5"/>
    </sheetView>
  </sheetViews>
  <sheetFormatPr defaultRowHeight="15" x14ac:dyDescent="0.25"/>
  <cols>
    <col min="1" max="1" width="6.7109375" customWidth="1"/>
    <col min="2" max="2" width="6.5703125" bestFit="1" customWidth="1"/>
    <col min="3" max="3" width="14.5703125" bestFit="1" customWidth="1"/>
    <col min="4" max="4" width="47.7109375" bestFit="1" customWidth="1"/>
    <col min="5" max="5" width="63.28515625" bestFit="1" customWidth="1"/>
  </cols>
  <sheetData>
    <row r="1" spans="1:5" x14ac:dyDescent="0.25">
      <c r="A1" s="17" t="s">
        <v>23</v>
      </c>
      <c r="B1" s="17" t="s">
        <v>85</v>
      </c>
      <c r="C1" s="17" t="s">
        <v>173</v>
      </c>
      <c r="D1" s="17" t="s">
        <v>174</v>
      </c>
      <c r="E1" s="18" t="s">
        <v>175</v>
      </c>
    </row>
    <row r="2" spans="1:5" x14ac:dyDescent="0.25">
      <c r="A2" s="17">
        <v>250</v>
      </c>
      <c r="B2" s="17">
        <v>10</v>
      </c>
      <c r="C2" s="144" t="s">
        <v>176</v>
      </c>
      <c r="D2" s="144" t="s">
        <v>177</v>
      </c>
      <c r="E2" s="144" t="str">
        <f>B2&amp;" - US GULF COAST - SCANDINAVIA, BALTIC"</f>
        <v>10 - US GULF COAST - SCANDINAVIA, BALTIC</v>
      </c>
    </row>
    <row r="3" spans="1:5" x14ac:dyDescent="0.25">
      <c r="A3" s="17">
        <v>251</v>
      </c>
      <c r="B3" s="17">
        <v>11</v>
      </c>
      <c r="C3" s="144" t="s">
        <v>176</v>
      </c>
      <c r="D3" s="144" t="s">
        <v>178</v>
      </c>
      <c r="E3" s="144" t="str">
        <f>B3&amp;" - US GULF COAST - CONTINENTAL EUROPE, UNITED KINGDOM, IRELAND"</f>
        <v>11 - US GULF COAST - CONTINENTAL EUROPE, UNITED KINGDOM, IRELAND</v>
      </c>
    </row>
    <row r="4" spans="1:5" x14ac:dyDescent="0.25">
      <c r="A4" s="17">
        <v>252</v>
      </c>
      <c r="B4" s="17">
        <v>12</v>
      </c>
      <c r="C4" s="144" t="s">
        <v>176</v>
      </c>
      <c r="D4" s="144" t="s">
        <v>179</v>
      </c>
      <c r="E4" s="144" t="str">
        <f>B4&amp;" - US GULF COAST - MEDITERRANEAN"</f>
        <v>12 - US GULF COAST - MEDITERRANEAN</v>
      </c>
    </row>
    <row r="5" spans="1:5" x14ac:dyDescent="0.25">
      <c r="A5" s="17">
        <v>253</v>
      </c>
      <c r="B5" s="17">
        <v>13</v>
      </c>
      <c r="C5" s="144" t="s">
        <v>176</v>
      </c>
      <c r="D5" s="144" t="s">
        <v>180</v>
      </c>
      <c r="E5" s="144" t="str">
        <f>B5&amp;" - US GULF COAST - MIDDLE EAST, SOUTH ASIA, INDIAN OCEAN"</f>
        <v>13 - US GULF COAST - MIDDLE EAST, SOUTH ASIA, INDIAN OCEAN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B28FA-9D50-4867-A031-DE0EA90456F2}">
  <sheetPr>
    <tabColor theme="1"/>
  </sheetPr>
  <dimension ref="A1:C3"/>
  <sheetViews>
    <sheetView workbookViewId="0"/>
  </sheetViews>
  <sheetFormatPr defaultRowHeight="15" x14ac:dyDescent="0.25"/>
  <cols>
    <col min="1" max="1" width="11.28515625" bestFit="1" customWidth="1"/>
    <col min="2" max="2" width="11.5703125" bestFit="1" customWidth="1"/>
    <col min="3" max="3" width="12.42578125" bestFit="1" customWidth="1"/>
  </cols>
  <sheetData>
    <row r="1" spans="1:3" x14ac:dyDescent="0.25">
      <c r="A1" s="23" t="s">
        <v>35</v>
      </c>
      <c r="B1" s="23" t="s">
        <v>36</v>
      </c>
      <c r="C1" s="23" t="s">
        <v>181</v>
      </c>
    </row>
    <row r="2" spans="1:3" x14ac:dyDescent="0.25">
      <c r="A2" s="17">
        <v>4000</v>
      </c>
      <c r="B2" s="17" t="s">
        <v>182</v>
      </c>
      <c r="C2" s="17" t="s">
        <v>6</v>
      </c>
    </row>
    <row r="3" spans="1:3" x14ac:dyDescent="0.25">
      <c r="A3" s="17">
        <v>4001</v>
      </c>
      <c r="B3" s="17" t="s">
        <v>183</v>
      </c>
      <c r="C3" s="17" t="s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2CEDA-D150-4AB4-9937-8CDD8346B758}">
  <sheetPr>
    <tabColor rgb="FF0066FF"/>
  </sheetPr>
  <dimension ref="A1:F4"/>
  <sheetViews>
    <sheetView workbookViewId="0">
      <selection activeCell="C4" sqref="C4"/>
    </sheetView>
  </sheetViews>
  <sheetFormatPr defaultRowHeight="15" outlineLevelCol="1" x14ac:dyDescent="0.25"/>
  <cols>
    <col min="1" max="1" width="24.28515625" bestFit="1" customWidth="1"/>
    <col min="2" max="2" width="24.5703125" bestFit="1" customWidth="1"/>
    <col min="3" max="3" width="26.85546875" bestFit="1" customWidth="1"/>
    <col min="4" max="4" width="11.28515625" bestFit="1" customWidth="1"/>
    <col min="5" max="5" width="12.42578125" hidden="1" customWidth="1" outlineLevel="1"/>
    <col min="6" max="6" width="9.140625" collapsed="1"/>
  </cols>
  <sheetData>
    <row r="1" spans="1:5" x14ac:dyDescent="0.25">
      <c r="A1" s="145" t="s">
        <v>33</v>
      </c>
      <c r="B1" s="145" t="s">
        <v>34</v>
      </c>
      <c r="C1" s="145" t="s">
        <v>184</v>
      </c>
      <c r="D1" s="145" t="str">
        <f>cargo_type!B1</f>
        <v>crgo_typ_cd</v>
      </c>
      <c r="E1" s="21" t="str">
        <f>cargo_type!C1</f>
        <v>crgo_typ_nm</v>
      </c>
    </row>
    <row r="2" spans="1:5" x14ac:dyDescent="0.25">
      <c r="A2" s="17">
        <v>21</v>
      </c>
      <c r="B2" s="17" t="s">
        <v>3</v>
      </c>
      <c r="C2" s="17" t="s">
        <v>185</v>
      </c>
      <c r="D2" s="17" t="str">
        <f>cargo_type!B2</f>
        <v>C</v>
      </c>
      <c r="E2" s="21" t="str">
        <f>cargo_type!C2</f>
        <v>Container</v>
      </c>
    </row>
    <row r="3" spans="1:5" x14ac:dyDescent="0.25">
      <c r="A3" s="17">
        <v>22</v>
      </c>
      <c r="B3" s="17" t="s">
        <v>4</v>
      </c>
      <c r="C3" s="17" t="s">
        <v>186</v>
      </c>
      <c r="D3" s="17" t="str">
        <f>cargo_type!B2</f>
        <v>C</v>
      </c>
      <c r="E3" s="21" t="str">
        <f>cargo_type!C2</f>
        <v>Container</v>
      </c>
    </row>
    <row r="4" spans="1:5" x14ac:dyDescent="0.25">
      <c r="A4" s="17">
        <v>23</v>
      </c>
      <c r="B4" s="17" t="s">
        <v>5</v>
      </c>
      <c r="C4" s="17" t="s">
        <v>187</v>
      </c>
      <c r="D4" s="17" t="str">
        <f>cargo_type!B3</f>
        <v>B</v>
      </c>
      <c r="E4" s="21" t="str">
        <f>cargo_type!C3</f>
        <v>Breakbulk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D5913-A26A-4E83-AFD4-55E471A6ADF6}">
  <sheetPr>
    <tabColor theme="2" tint="-9.9978637043366805E-2"/>
  </sheetPr>
  <dimension ref="A1:D2"/>
  <sheetViews>
    <sheetView workbookViewId="0"/>
  </sheetViews>
  <sheetFormatPr defaultRowHeight="15" x14ac:dyDescent="0.25"/>
  <cols>
    <col min="1" max="1" width="7" bestFit="1" customWidth="1"/>
    <col min="2" max="2" width="22.85546875" bestFit="1" customWidth="1"/>
    <col min="3" max="3" width="23.42578125" bestFit="1" customWidth="1"/>
    <col min="4" max="4" width="17.28515625" bestFit="1" customWidth="1"/>
  </cols>
  <sheetData>
    <row r="1" spans="1:4" x14ac:dyDescent="0.25">
      <c r="A1" s="15" t="s">
        <v>0</v>
      </c>
      <c r="B1" s="15" t="s">
        <v>271</v>
      </c>
      <c r="C1" s="15" t="s">
        <v>272</v>
      </c>
      <c r="D1" s="15" t="s">
        <v>25</v>
      </c>
    </row>
    <row r="2" spans="1:4" x14ac:dyDescent="0.25">
      <c r="A2" s="16">
        <f>project!A2</f>
        <v>12345</v>
      </c>
      <c r="B2" s="46">
        <v>-0.15</v>
      </c>
      <c r="C2" s="46">
        <v>0.15</v>
      </c>
      <c r="D2" s="17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6C45-6BDB-483B-9304-396003151FEB}">
  <dimension ref="A1:D3"/>
  <sheetViews>
    <sheetView workbookViewId="0"/>
  </sheetViews>
  <sheetFormatPr defaultRowHeight="15" outlineLevelCol="1" x14ac:dyDescent="0.25"/>
  <cols>
    <col min="1" max="1" width="7" bestFit="1" customWidth="1"/>
    <col min="2" max="2" width="10.140625" bestFit="1" customWidth="1"/>
    <col min="3" max="3" width="19" hidden="1" customWidth="1" outlineLevel="1"/>
    <col min="4" max="4" width="9.140625" collapsed="1"/>
  </cols>
  <sheetData>
    <row r="1" spans="1:3" x14ac:dyDescent="0.25">
      <c r="A1" s="80" t="s">
        <v>0</v>
      </c>
      <c r="B1" s="81" t="s">
        <v>21</v>
      </c>
      <c r="C1" s="21" t="str">
        <f>"("&amp;'BAF Location'!B1&amp;")"</f>
        <v>(baf_loc_cd)</v>
      </c>
    </row>
    <row r="2" spans="1:3" x14ac:dyDescent="0.25">
      <c r="A2">
        <f>project!$A$2</f>
        <v>12345</v>
      </c>
      <c r="B2" s="16">
        <f>'BAF Location'!A2</f>
        <v>71</v>
      </c>
      <c r="C2" s="21" t="str">
        <f>"("&amp;'BAF Location'!B2&amp;")"</f>
        <v>(Houston)</v>
      </c>
    </row>
    <row r="3" spans="1:3" x14ac:dyDescent="0.25">
      <c r="A3">
        <f>project!$A$2</f>
        <v>12345</v>
      </c>
      <c r="B3" s="16">
        <f>'BAF Location'!A3</f>
        <v>72</v>
      </c>
      <c r="C3" s="21" t="str">
        <f>"("&amp;'BAF Location'!B3&amp;")"</f>
        <v>(Los Angeles)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518F8-CE9F-4F9A-8834-9CD5B7575A2B}">
  <sheetPr>
    <tabColor rgb="FF7030A0"/>
  </sheetPr>
  <dimension ref="A1:E3"/>
  <sheetViews>
    <sheetView workbookViewId="0"/>
  </sheetViews>
  <sheetFormatPr defaultRowHeight="15" outlineLevelCol="1" x14ac:dyDescent="0.25"/>
  <cols>
    <col min="2" max="2" width="15.140625" bestFit="1" customWidth="1"/>
    <col min="3" max="3" width="18.7109375" hidden="1" customWidth="1" outlineLevel="1"/>
    <col min="4" max="4" width="23.85546875" hidden="1" customWidth="1" outlineLevel="1"/>
    <col min="5" max="5" width="9.140625" collapsed="1"/>
  </cols>
  <sheetData>
    <row r="1" spans="1:4" x14ac:dyDescent="0.25">
      <c r="A1" s="19" t="s">
        <v>0</v>
      </c>
      <c r="B1" s="19" t="s">
        <v>22</v>
      </c>
      <c r="C1" s="87" t="str">
        <f>'BAF Fuel Type'!B1</f>
        <v>baf_fuel_cd</v>
      </c>
      <c r="D1" s="87" t="str">
        <f>'BAF Fuel Type'!C1</f>
        <v>baf_fuel_nm</v>
      </c>
    </row>
    <row r="2" spans="1:4" x14ac:dyDescent="0.25">
      <c r="A2" s="16">
        <f>project!$A$2</f>
        <v>12345</v>
      </c>
      <c r="B2" s="17">
        <f>'BAF Fuel Type'!A2</f>
        <v>121</v>
      </c>
      <c r="C2" s="17" t="str">
        <f>'BAF Fuel Type'!B2</f>
        <v>MGO</v>
      </c>
      <c r="D2" s="17" t="str">
        <f>'BAF Fuel Type'!C2</f>
        <v>Marine Gas Oil</v>
      </c>
    </row>
    <row r="3" spans="1:4" x14ac:dyDescent="0.25">
      <c r="A3" s="16">
        <f>project!$A$2</f>
        <v>12345</v>
      </c>
      <c r="B3" s="17">
        <f>'BAF Fuel Type'!A3</f>
        <v>122</v>
      </c>
      <c r="C3" s="17" t="str">
        <f>'BAF Fuel Type'!B3</f>
        <v>LSFO</v>
      </c>
      <c r="D3" s="17" t="str">
        <f>'BAF Fuel Type'!C3</f>
        <v>Low-Sulfur Fuel Oil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3209-0725-454D-B2D0-745E17763320}">
  <sheetPr>
    <tabColor theme="4" tint="0.79998168889431442"/>
  </sheetPr>
  <dimension ref="A1:F5"/>
  <sheetViews>
    <sheetView workbookViewId="0">
      <selection activeCell="F5" sqref="F5"/>
    </sheetView>
  </sheetViews>
  <sheetFormatPr defaultRowHeight="15" outlineLevelCol="1" x14ac:dyDescent="0.25"/>
  <cols>
    <col min="1" max="1" width="7" bestFit="1" customWidth="1"/>
    <col min="2" max="2" width="10.140625" bestFit="1" customWidth="1"/>
    <col min="3" max="3" width="12.85546875" customWidth="1" outlineLevel="1"/>
    <col min="4" max="4" width="15.140625" bestFit="1" customWidth="1"/>
    <col min="5" max="5" width="15.28515625" customWidth="1" outlineLevel="1"/>
    <col min="6" max="6" width="25.7109375" bestFit="1" customWidth="1"/>
  </cols>
  <sheetData>
    <row r="1" spans="1:6" x14ac:dyDescent="0.25">
      <c r="A1" s="20" t="s">
        <v>0</v>
      </c>
      <c r="B1" s="20" t="s">
        <v>21</v>
      </c>
      <c r="C1" s="22" t="str">
        <f>project_baf_location!C1</f>
        <v>(baf_loc_cd)</v>
      </c>
      <c r="D1" s="20" t="s">
        <v>22</v>
      </c>
      <c r="E1" s="22" t="str">
        <f>"("&amp;project_baf_fuel_type!C1&amp;")"</f>
        <v>(baf_fuel_cd)</v>
      </c>
      <c r="F1" s="20" t="s">
        <v>200</v>
      </c>
    </row>
    <row r="2" spans="1:6" x14ac:dyDescent="0.25">
      <c r="A2" s="16">
        <v>12345</v>
      </c>
      <c r="B2" s="16">
        <f>project_baf_location!B2</f>
        <v>71</v>
      </c>
      <c r="C2" s="22" t="str">
        <f>project_baf_location!C2</f>
        <v>(Houston)</v>
      </c>
      <c r="D2" s="16">
        <f>project_baf_fuel_type!B2</f>
        <v>121</v>
      </c>
      <c r="E2" s="22" t="str">
        <f>"("&amp;project_baf_fuel_type!C2&amp;")"</f>
        <v>(MGO)</v>
      </c>
      <c r="F2" s="117">
        <v>800</v>
      </c>
    </row>
    <row r="3" spans="1:6" x14ac:dyDescent="0.25">
      <c r="A3" s="16">
        <v>12345</v>
      </c>
      <c r="B3" s="16">
        <f>project_baf_location!B2</f>
        <v>71</v>
      </c>
      <c r="C3" s="22" t="str">
        <f>project_baf_location!C2</f>
        <v>(Houston)</v>
      </c>
      <c r="D3" s="16">
        <f>project_baf_fuel_type!B3</f>
        <v>122</v>
      </c>
      <c r="E3" s="22" t="str">
        <f>"("&amp;project_baf_fuel_type!C3&amp;")"</f>
        <v>(LSFO)</v>
      </c>
      <c r="F3" s="117">
        <v>700</v>
      </c>
    </row>
    <row r="4" spans="1:6" x14ac:dyDescent="0.25">
      <c r="A4" s="16">
        <v>12345</v>
      </c>
      <c r="B4" s="16">
        <f>project_baf_location!B3</f>
        <v>72</v>
      </c>
      <c r="C4" s="22" t="str">
        <f>project_baf_location!C3</f>
        <v>(Los Angeles)</v>
      </c>
      <c r="D4" s="16">
        <f>project_baf_fuel_type!B2</f>
        <v>121</v>
      </c>
      <c r="E4" s="22" t="str">
        <f>"("&amp;project_baf_fuel_type!C2&amp;")"</f>
        <v>(MGO)</v>
      </c>
      <c r="F4" s="117">
        <f>AVERAGE(670,610,660)</f>
        <v>646.66666666666663</v>
      </c>
    </row>
    <row r="5" spans="1:6" x14ac:dyDescent="0.25">
      <c r="A5" s="16">
        <v>12345</v>
      </c>
      <c r="B5" s="16">
        <f>project_baf_location!B3</f>
        <v>72</v>
      </c>
      <c r="C5" s="22" t="str">
        <f>project_baf_location!C3</f>
        <v>(Los Angeles)</v>
      </c>
      <c r="D5" s="16">
        <f>project_baf_fuel_type!B3</f>
        <v>122</v>
      </c>
      <c r="E5" s="22" t="str">
        <f>"("&amp;project_baf_fuel_type!C3&amp;")"</f>
        <v>(LSFO)</v>
      </c>
      <c r="F5" s="117">
        <f>AVERAGE(570,600,650)</f>
        <v>606.66666666666663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5CA24-E7FE-4029-9B2B-ED0DE6ADAD2B}">
  <sheetPr>
    <tabColor theme="7" tint="0.79998168889431442"/>
  </sheetPr>
  <dimension ref="A1:E5"/>
  <sheetViews>
    <sheetView workbookViewId="0">
      <selection activeCell="E2" sqref="E2"/>
    </sheetView>
  </sheetViews>
  <sheetFormatPr defaultRowHeight="15" outlineLevelCol="1" x14ac:dyDescent="0.25"/>
  <cols>
    <col min="3" max="3" width="64.7109375" customWidth="1" outlineLevel="1"/>
    <col min="4" max="4" width="14.7109375" bestFit="1" customWidth="1"/>
    <col min="5" max="5" width="12.85546875" customWidth="1" outlineLevel="1"/>
  </cols>
  <sheetData>
    <row r="1" spans="1:5" x14ac:dyDescent="0.25">
      <c r="A1" s="82" t="str">
        <f>project_baf_location!A1</f>
        <v>prjc_id</v>
      </c>
      <c r="B1" s="82" t="str">
        <f>route!A1</f>
        <v>rte_id</v>
      </c>
      <c r="C1" s="21" t="str">
        <f>"("&amp;route!E1&amp;")"</f>
        <v>(Derived Route Name)</v>
      </c>
      <c r="D1" s="82" t="str">
        <f>project_baf_location!B1</f>
        <v>baf_loc_id</v>
      </c>
      <c r="E1" s="21" t="str">
        <f>project_baf_location!C1</f>
        <v>(baf_loc_cd)</v>
      </c>
    </row>
    <row r="2" spans="1:5" x14ac:dyDescent="0.25">
      <c r="A2" s="17">
        <f>project_baf_location!A2</f>
        <v>12345</v>
      </c>
      <c r="B2" s="17">
        <f>route!A2</f>
        <v>250</v>
      </c>
      <c r="C2" s="157" t="str">
        <f>"("&amp;route!E2&amp;")"</f>
        <v>(10 - US GULF COAST - SCANDINAVIA, BALTIC)</v>
      </c>
      <c r="D2" s="17">
        <f>project_baf_location!B2</f>
        <v>71</v>
      </c>
      <c r="E2" s="21" t="str">
        <f>project_baf_location!C2</f>
        <v>(Houston)</v>
      </c>
    </row>
    <row r="3" spans="1:5" x14ac:dyDescent="0.25">
      <c r="A3" s="17">
        <f>project_baf_location!A2</f>
        <v>12345</v>
      </c>
      <c r="B3" s="17">
        <f>route!A3</f>
        <v>251</v>
      </c>
      <c r="C3" s="157" t="str">
        <f>"("&amp;route!E3&amp;")"</f>
        <v>(11 - US GULF COAST - CONTINENTAL EUROPE, UNITED KINGDOM, IRELAND)</v>
      </c>
      <c r="D3" s="17">
        <f>project_baf_location!B2</f>
        <v>71</v>
      </c>
      <c r="E3" s="21" t="str">
        <f>project_baf_location!C2</f>
        <v>(Houston)</v>
      </c>
    </row>
    <row r="4" spans="1:5" x14ac:dyDescent="0.25">
      <c r="A4" s="17">
        <f>project_baf_location!A3</f>
        <v>12345</v>
      </c>
      <c r="B4" s="17">
        <f>route!A4</f>
        <v>252</v>
      </c>
      <c r="C4" s="157" t="str">
        <f>"("&amp;route!E4&amp;")"</f>
        <v>(12 - US GULF COAST - MEDITERRANEAN)</v>
      </c>
      <c r="D4" s="17">
        <f>project_baf_location!B3</f>
        <v>72</v>
      </c>
      <c r="E4" s="21" t="str">
        <f>project_baf_location!C3</f>
        <v>(Los Angeles)</v>
      </c>
    </row>
    <row r="5" spans="1:5" x14ac:dyDescent="0.25">
      <c r="A5" s="17">
        <f>project_baf_location!A3</f>
        <v>12345</v>
      </c>
      <c r="B5" s="17">
        <f>route!A5</f>
        <v>253</v>
      </c>
      <c r="C5" s="157" t="str">
        <f>"("&amp;route!E5&amp;")"</f>
        <v>(13 - US GULF COAST - MIDDLE EAST, SOUTH ASIA, INDIAN OCEAN)</v>
      </c>
      <c r="D5" s="17">
        <f>project_baf_location!B3</f>
        <v>72</v>
      </c>
      <c r="E5" s="21" t="str">
        <f>project_baf_location!C3</f>
        <v>(Los Angeles)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22DC6-697D-4C5E-9E8F-9FB82D702E92}">
  <sheetPr>
    <tabColor theme="9" tint="0.39997558519241921"/>
  </sheetPr>
  <dimension ref="A1:F9"/>
  <sheetViews>
    <sheetView workbookViewId="0">
      <selection activeCell="F2" sqref="F2"/>
    </sheetView>
  </sheetViews>
  <sheetFormatPr defaultRowHeight="15" outlineLevelCol="1" x14ac:dyDescent="0.25"/>
  <cols>
    <col min="1" max="1" width="7" bestFit="1" customWidth="1"/>
    <col min="2" max="2" width="6.28515625" bestFit="1" customWidth="1"/>
    <col min="3" max="3" width="68.42578125" customWidth="1" outlineLevel="1"/>
    <col min="4" max="4" width="15.140625" bestFit="1" customWidth="1"/>
    <col min="5" max="5" width="20.140625" customWidth="1" outlineLevel="1"/>
    <col min="6" max="6" width="18.85546875" bestFit="1" customWidth="1"/>
  </cols>
  <sheetData>
    <row r="1" spans="1:6" x14ac:dyDescent="0.25">
      <c r="A1" s="30" t="s">
        <v>0</v>
      </c>
      <c r="B1" s="30" t="s">
        <v>23</v>
      </c>
      <c r="C1" s="22" t="str">
        <f>project_baf_route_location!C$1</f>
        <v>(Derived Route Name)</v>
      </c>
      <c r="D1" s="30" t="s">
        <v>22</v>
      </c>
      <c r="E1" s="21" t="str">
        <f>"("&amp;project_baf_fuel_type!C1&amp;")"</f>
        <v>(baf_fuel_cd)</v>
      </c>
      <c r="F1" s="30" t="s">
        <v>282</v>
      </c>
    </row>
    <row r="2" spans="1:6" x14ac:dyDescent="0.25">
      <c r="A2" s="16">
        <f>project_baf_route_location!A$2</f>
        <v>12345</v>
      </c>
      <c r="B2" s="16">
        <f>project_baf_route_location!B$2</f>
        <v>250</v>
      </c>
      <c r="C2" s="22" t="str">
        <f>project_baf_route_location!C$2</f>
        <v>(10 - US GULF COAST - SCANDINAVIA, BALTIC)</v>
      </c>
      <c r="D2" s="16">
        <f>project_baf_fuel_type!B2</f>
        <v>121</v>
      </c>
      <c r="E2" s="22" t="str">
        <f>"("&amp;project_baf_fuel_type!C2&amp;")"</f>
        <v>(MGO)</v>
      </c>
      <c r="F2" s="17">
        <v>0.4</v>
      </c>
    </row>
    <row r="3" spans="1:6" x14ac:dyDescent="0.25">
      <c r="A3" s="16">
        <f>project_baf_route_location!A$2</f>
        <v>12345</v>
      </c>
      <c r="B3" s="16">
        <f>project_baf_route_location!B$2</f>
        <v>250</v>
      </c>
      <c r="C3" s="22" t="str">
        <f>project_baf_route_location!C$2</f>
        <v>(10 - US GULF COAST - SCANDINAVIA, BALTIC)</v>
      </c>
      <c r="D3" s="16">
        <f>project_baf_fuel_type!B3</f>
        <v>122</v>
      </c>
      <c r="E3" s="22" t="str">
        <f>"("&amp;project_baf_fuel_type!C3&amp;")"</f>
        <v>(LSFO)</v>
      </c>
      <c r="F3" s="17">
        <v>0.6</v>
      </c>
    </row>
    <row r="4" spans="1:6" x14ac:dyDescent="0.25">
      <c r="A4" s="16">
        <f>project_baf_route_location!A$3</f>
        <v>12345</v>
      </c>
      <c r="B4" s="16">
        <f>project_baf_route_location!B$3</f>
        <v>251</v>
      </c>
      <c r="C4" s="22" t="str">
        <f>project_baf_route_location!C$3</f>
        <v>(11 - US GULF COAST - CONTINENTAL EUROPE, UNITED KINGDOM, IRELAND)</v>
      </c>
      <c r="D4" s="16">
        <f>project_baf_fuel_type!B2</f>
        <v>121</v>
      </c>
      <c r="E4" s="22" t="str">
        <f>"("&amp;project_baf_fuel_type!C2&amp;")"</f>
        <v>(MGO)</v>
      </c>
      <c r="F4" s="17">
        <v>0.2</v>
      </c>
    </row>
    <row r="5" spans="1:6" x14ac:dyDescent="0.25">
      <c r="A5" s="16">
        <f>project_baf_route_location!A$3</f>
        <v>12345</v>
      </c>
      <c r="B5" s="16">
        <f>project_baf_route_location!B$3</f>
        <v>251</v>
      </c>
      <c r="C5" s="22" t="str">
        <f>project_baf_route_location!C$3</f>
        <v>(11 - US GULF COAST - CONTINENTAL EUROPE, UNITED KINGDOM, IRELAND)</v>
      </c>
      <c r="D5" s="16">
        <f>project_baf_fuel_type!B3</f>
        <v>122</v>
      </c>
      <c r="E5" s="22" t="str">
        <f>"("&amp;project_baf_fuel_type!C3&amp;")"</f>
        <v>(LSFO)</v>
      </c>
      <c r="F5" s="17">
        <v>0.8</v>
      </c>
    </row>
    <row r="6" spans="1:6" x14ac:dyDescent="0.25">
      <c r="A6" s="16">
        <f>project_baf_route_location!A$4</f>
        <v>12345</v>
      </c>
      <c r="B6" s="16">
        <f>project_baf_route_location!B$4</f>
        <v>252</v>
      </c>
      <c r="C6" s="22" t="str">
        <f>project_baf_route_location!C$4</f>
        <v>(12 - US GULF COAST - MEDITERRANEAN)</v>
      </c>
      <c r="D6" s="16">
        <f>project_baf_fuel_type!B2</f>
        <v>121</v>
      </c>
      <c r="E6" s="22" t="str">
        <f>"("&amp;project_baf_fuel_type!C2&amp;")"</f>
        <v>(MGO)</v>
      </c>
      <c r="F6" s="17">
        <v>0.35</v>
      </c>
    </row>
    <row r="7" spans="1:6" x14ac:dyDescent="0.25">
      <c r="A7" s="16">
        <f>project_baf_route_location!A$4</f>
        <v>12345</v>
      </c>
      <c r="B7" s="16">
        <f>project_baf_route_location!B$4</f>
        <v>252</v>
      </c>
      <c r="C7" s="22" t="str">
        <f>project_baf_route_location!C$4</f>
        <v>(12 - US GULF COAST - MEDITERRANEAN)</v>
      </c>
      <c r="D7" s="16">
        <f>project_baf_fuel_type!B3</f>
        <v>122</v>
      </c>
      <c r="E7" s="22" t="str">
        <f>"("&amp;project_baf_fuel_type!C3&amp;")"</f>
        <v>(LSFO)</v>
      </c>
      <c r="F7" s="17">
        <v>0.65</v>
      </c>
    </row>
    <row r="8" spans="1:6" x14ac:dyDescent="0.25">
      <c r="A8" s="16">
        <f>project_baf_route_location!A$5</f>
        <v>12345</v>
      </c>
      <c r="B8" s="16">
        <f>project_baf_route_location!B$5</f>
        <v>253</v>
      </c>
      <c r="C8" s="22" t="str">
        <f>project_baf_route_location!C$5</f>
        <v>(13 - US GULF COAST - MIDDLE EAST, SOUTH ASIA, INDIAN OCEAN)</v>
      </c>
      <c r="D8" s="16">
        <f>project_baf_fuel_type!B2</f>
        <v>121</v>
      </c>
      <c r="E8" s="22" t="str">
        <f>"("&amp;project_baf_fuel_type!C2&amp;")"</f>
        <v>(MGO)</v>
      </c>
      <c r="F8" s="17">
        <v>0.28999999999999998</v>
      </c>
    </row>
    <row r="9" spans="1:6" x14ac:dyDescent="0.25">
      <c r="A9" s="16">
        <f>project_baf_route_location!A$5</f>
        <v>12345</v>
      </c>
      <c r="B9" s="16">
        <f>project_baf_route_location!B$5</f>
        <v>253</v>
      </c>
      <c r="C9" s="22" t="str">
        <f>project_baf_route_location!C$5</f>
        <v>(13 - US GULF COAST - MIDDLE EAST, SOUTH ASIA, INDIAN OCEAN)</v>
      </c>
      <c r="D9" s="16">
        <f>project_baf_fuel_type!B3</f>
        <v>122</v>
      </c>
      <c r="E9" s="22" t="str">
        <f>"("&amp;project_baf_fuel_type!C3&amp;")"</f>
        <v>(LSFO)</v>
      </c>
      <c r="F9" s="17">
        <v>0.71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E71A2-6560-41D2-AB72-DEDB429E1D1D}">
  <sheetPr>
    <tabColor theme="5" tint="0.59999389629810485"/>
  </sheetPr>
  <dimension ref="A1:H14"/>
  <sheetViews>
    <sheetView workbookViewId="0">
      <selection activeCell="H2" sqref="H2"/>
    </sheetView>
  </sheetViews>
  <sheetFormatPr defaultRowHeight="15" outlineLevelCol="1" x14ac:dyDescent="0.25"/>
  <cols>
    <col min="2" max="2" width="6.28515625" bestFit="1" customWidth="1"/>
    <col min="3" max="3" width="68.42578125" customWidth="1" outlineLevel="1"/>
    <col min="4" max="4" width="24.28515625" bestFit="1" customWidth="1"/>
    <col min="5" max="5" width="26.140625" customWidth="1" outlineLevel="1"/>
    <col min="6" max="6" width="11.28515625" bestFit="1" customWidth="1"/>
    <col min="7" max="7" width="17.5703125" customWidth="1" outlineLevel="1"/>
    <col min="8" max="8" width="12.7109375" style="24" bestFit="1" customWidth="1"/>
  </cols>
  <sheetData>
    <row r="1" spans="1:8" x14ac:dyDescent="0.25">
      <c r="A1" s="26" t="str">
        <f>project_baf_route_location!A$1</f>
        <v>prjc_id</v>
      </c>
      <c r="B1" s="26" t="str">
        <f>project_baf_route_location!B$1</f>
        <v>rte_id</v>
      </c>
      <c r="C1" s="22" t="str">
        <f>project_baf_route_location!C$1</f>
        <v>(Derived Route Name)</v>
      </c>
      <c r="D1" s="26" t="str">
        <f>baf_freight_payable_unit!A$1</f>
        <v>baf_frght_payable_unt_id</v>
      </c>
      <c r="E1" s="22" t="str">
        <f>"("&amp;baf_freight_payable_unit!B$1&amp;")"</f>
        <v>(baf_frght_payable_unt_cd)</v>
      </c>
      <c r="F1" s="26" t="str">
        <f>baf_freight_payable_unit!D$1</f>
        <v>crgo_typ_cd</v>
      </c>
      <c r="G1" s="21" t="str">
        <f>baf_freight_payable_unit!E$1</f>
        <v>crgo_typ_nm</v>
      </c>
      <c r="H1" s="27" t="s">
        <v>67</v>
      </c>
    </row>
    <row r="2" spans="1:8" x14ac:dyDescent="0.25">
      <c r="A2" s="16">
        <f>project_baf_route_location!A$2</f>
        <v>12345</v>
      </c>
      <c r="B2" s="16">
        <f>project_baf_route_location!B$2</f>
        <v>250</v>
      </c>
      <c r="C2" s="22" t="str">
        <f>project_baf_route_location!C$2</f>
        <v>(10 - US GULF COAST - SCANDINAVIA, BALTIC)</v>
      </c>
      <c r="D2" s="16">
        <f>baf_freight_payable_unit!A$2</f>
        <v>21</v>
      </c>
      <c r="E2" s="22" t="str">
        <f>"("&amp;baf_freight_payable_unit!B$2&amp;")"</f>
        <v>(TEU)</v>
      </c>
      <c r="F2" s="16" t="str">
        <f>baf_freight_payable_unit!D$2</f>
        <v>C</v>
      </c>
      <c r="G2" s="22" t="str">
        <f>"("&amp;baf_freight_payable_unit!E$2&amp;")"</f>
        <v>(Container)</v>
      </c>
      <c r="H2" s="28">
        <v>0.24</v>
      </c>
    </row>
    <row r="3" spans="1:8" x14ac:dyDescent="0.25">
      <c r="A3" s="16">
        <f>project_baf_route_location!A$2</f>
        <v>12345</v>
      </c>
      <c r="B3" s="16">
        <f>project_baf_route_location!B$2</f>
        <v>250</v>
      </c>
      <c r="C3" s="22" t="str">
        <f>project_baf_route_location!C$2</f>
        <v>(10 - US GULF COAST - SCANDINAVIA, BALTIC)</v>
      </c>
      <c r="D3" s="16">
        <f>baf_freight_payable_unit!A$3</f>
        <v>22</v>
      </c>
      <c r="E3" s="22" t="str">
        <f>"("&amp;baf_freight_payable_unit!B$3&amp;")"</f>
        <v>(FEU)</v>
      </c>
      <c r="F3" s="16" t="str">
        <f>baf_freight_payable_unit!D$3</f>
        <v>C</v>
      </c>
      <c r="G3" s="22" t="str">
        <f>"("&amp;baf_freight_payable_unit!E$2&amp;")"</f>
        <v>(Container)</v>
      </c>
      <c r="H3" s="28">
        <v>0.47</v>
      </c>
    </row>
    <row r="4" spans="1:8" x14ac:dyDescent="0.25">
      <c r="A4" s="16">
        <f>project_baf_route_location!A$2</f>
        <v>12345</v>
      </c>
      <c r="B4" s="16">
        <f>project_baf_route_location!B$2</f>
        <v>250</v>
      </c>
      <c r="C4" s="22" t="str">
        <f>project_baf_route_location!C$2</f>
        <v>(10 - US GULF COAST - SCANDINAVIA, BALTIC)</v>
      </c>
      <c r="D4" s="16">
        <f>baf_freight_payable_unit!A$4</f>
        <v>23</v>
      </c>
      <c r="E4" s="22" t="str">
        <f>"("&amp;baf_freight_payable_unit!B$4&amp;")"</f>
        <v>(MTON)</v>
      </c>
      <c r="F4" s="16" t="str">
        <f>baf_freight_payable_unit!D$4</f>
        <v>B</v>
      </c>
      <c r="G4" s="22" t="str">
        <f>"("&amp;baf_freight_payable_unit!E$4&amp;")"</f>
        <v>(Breakbulk)</v>
      </c>
      <c r="H4" s="28">
        <v>1.3000000000000001E-2</v>
      </c>
    </row>
    <row r="5" spans="1:8" x14ac:dyDescent="0.25">
      <c r="A5" s="16">
        <f>project_baf_route_location!A$3</f>
        <v>12345</v>
      </c>
      <c r="B5" s="16">
        <f>project_baf_route_location!B$3</f>
        <v>251</v>
      </c>
      <c r="C5" s="22" t="str">
        <f>project_baf_route_location!C$3</f>
        <v>(11 - US GULF COAST - CONTINENTAL EUROPE, UNITED KINGDOM, IRELAND)</v>
      </c>
      <c r="D5" s="16">
        <f>baf_freight_payable_unit!A$2</f>
        <v>21</v>
      </c>
      <c r="E5" s="22" t="str">
        <f>"("&amp;baf_freight_payable_unit!B$2&amp;")"</f>
        <v>(TEU)</v>
      </c>
      <c r="F5" s="16" t="str">
        <f>baf_freight_payable_unit!D$2</f>
        <v>C</v>
      </c>
      <c r="G5" s="22" t="str">
        <f>"("&amp;baf_freight_payable_unit!E$2&amp;")"</f>
        <v>(Container)</v>
      </c>
      <c r="H5" s="29">
        <f>H2+0.024</f>
        <v>0.26400000000000001</v>
      </c>
    </row>
    <row r="6" spans="1:8" x14ac:dyDescent="0.25">
      <c r="A6" s="16">
        <f>project_baf_route_location!A$3</f>
        <v>12345</v>
      </c>
      <c r="B6" s="16">
        <f>project_baf_route_location!B$3</f>
        <v>251</v>
      </c>
      <c r="C6" s="22" t="str">
        <f>project_baf_route_location!C$3</f>
        <v>(11 - US GULF COAST - CONTINENTAL EUROPE, UNITED KINGDOM, IRELAND)</v>
      </c>
      <c r="D6" s="16">
        <f>baf_freight_payable_unit!A$3</f>
        <v>22</v>
      </c>
      <c r="E6" s="22" t="str">
        <f>"("&amp;baf_freight_payable_unit!B$3&amp;")"</f>
        <v>(FEU)</v>
      </c>
      <c r="F6" s="16" t="str">
        <f>baf_freight_payable_unit!D$3</f>
        <v>C</v>
      </c>
      <c r="G6" s="22" t="str">
        <f>"("&amp;baf_freight_payable_unit!E$2&amp;")"</f>
        <v>(Container)</v>
      </c>
      <c r="H6" s="29">
        <f>H3+0.024</f>
        <v>0.49399999999999999</v>
      </c>
    </row>
    <row r="7" spans="1:8" x14ac:dyDescent="0.25">
      <c r="A7" s="16">
        <f>project_baf_route_location!A$3</f>
        <v>12345</v>
      </c>
      <c r="B7" s="16">
        <f>project_baf_route_location!B$3</f>
        <v>251</v>
      </c>
      <c r="C7" s="22" t="str">
        <f>project_baf_route_location!C$3</f>
        <v>(11 - US GULF COAST - CONTINENTAL EUROPE, UNITED KINGDOM, IRELAND)</v>
      </c>
      <c r="D7" s="16">
        <f>baf_freight_payable_unit!A$4</f>
        <v>23</v>
      </c>
      <c r="E7" s="22" t="str">
        <f>"("&amp;baf_freight_payable_unit!B$4&amp;")"</f>
        <v>(MTON)</v>
      </c>
      <c r="F7" s="16" t="str">
        <f>baf_freight_payable_unit!D$4</f>
        <v>B</v>
      </c>
      <c r="G7" s="22" t="str">
        <f>"("&amp;baf_freight_payable_unit!E$4&amp;")"</f>
        <v>(Breakbulk)</v>
      </c>
      <c r="H7" s="29">
        <f>H4+0.024</f>
        <v>3.7000000000000005E-2</v>
      </c>
    </row>
    <row r="8" spans="1:8" x14ac:dyDescent="0.25">
      <c r="A8" s="16">
        <f>project_baf_route_location!A$4</f>
        <v>12345</v>
      </c>
      <c r="B8" s="16">
        <f>project_baf_route_location!B$4</f>
        <v>252</v>
      </c>
      <c r="C8" s="22" t="str">
        <f>project_baf_route_location!C$4</f>
        <v>(12 - US GULF COAST - MEDITERRANEAN)</v>
      </c>
      <c r="D8" s="16">
        <f>baf_freight_payable_unit!A$2</f>
        <v>21</v>
      </c>
      <c r="E8" s="22" t="str">
        <f>"("&amp;baf_freight_payable_unit!B$2&amp;")"</f>
        <v>(TEU)</v>
      </c>
      <c r="F8" s="16" t="str">
        <f>baf_freight_payable_unit!D$2</f>
        <v>C</v>
      </c>
      <c r="G8" s="22" t="str">
        <f>"("&amp;baf_freight_payable_unit!E$2&amp;")"</f>
        <v>(Container)</v>
      </c>
      <c r="H8" s="29">
        <f>H5-0.011</f>
        <v>0.253</v>
      </c>
    </row>
    <row r="9" spans="1:8" x14ac:dyDescent="0.25">
      <c r="A9" s="16">
        <f>project_baf_route_location!A$4</f>
        <v>12345</v>
      </c>
      <c r="B9" s="16">
        <f>project_baf_route_location!B$4</f>
        <v>252</v>
      </c>
      <c r="C9" s="22" t="str">
        <f>project_baf_route_location!C$4</f>
        <v>(12 - US GULF COAST - MEDITERRANEAN)</v>
      </c>
      <c r="D9" s="16">
        <f>baf_freight_payable_unit!A$3</f>
        <v>22</v>
      </c>
      <c r="E9" s="22" t="str">
        <f>"("&amp;baf_freight_payable_unit!B$3&amp;")"</f>
        <v>(FEU)</v>
      </c>
      <c r="F9" s="16" t="str">
        <f>baf_freight_payable_unit!D$3</f>
        <v>C</v>
      </c>
      <c r="G9" s="22" t="str">
        <f>"("&amp;baf_freight_payable_unit!E$2&amp;")"</f>
        <v>(Container)</v>
      </c>
      <c r="H9" s="29">
        <f>H6-0.011</f>
        <v>0.48299999999999998</v>
      </c>
    </row>
    <row r="10" spans="1:8" x14ac:dyDescent="0.25">
      <c r="A10" s="16">
        <f>project_baf_route_location!A$4</f>
        <v>12345</v>
      </c>
      <c r="B10" s="16">
        <f>project_baf_route_location!B$4</f>
        <v>252</v>
      </c>
      <c r="C10" s="22" t="str">
        <f>project_baf_route_location!C$4</f>
        <v>(12 - US GULF COAST - MEDITERRANEAN)</v>
      </c>
      <c r="D10" s="16">
        <f>baf_freight_payable_unit!A$4</f>
        <v>23</v>
      </c>
      <c r="E10" s="22" t="str">
        <f>"("&amp;baf_freight_payable_unit!B$4&amp;")"</f>
        <v>(MTON)</v>
      </c>
      <c r="F10" s="16" t="str">
        <f>baf_freight_payable_unit!D$4</f>
        <v>B</v>
      </c>
      <c r="G10" s="22" t="str">
        <f>"("&amp;baf_freight_payable_unit!E$4&amp;")"</f>
        <v>(Breakbulk)</v>
      </c>
      <c r="H10" s="29">
        <f>H7-0.011</f>
        <v>2.6000000000000006E-2</v>
      </c>
    </row>
    <row r="11" spans="1:8" x14ac:dyDescent="0.25">
      <c r="A11" s="16">
        <f>project_baf_route_location!A$5</f>
        <v>12345</v>
      </c>
      <c r="B11" s="16">
        <f>project_baf_route_location!B$5</f>
        <v>253</v>
      </c>
      <c r="C11" s="22" t="str">
        <f>project_baf_route_location!C$5</f>
        <v>(13 - US GULF COAST - MIDDLE EAST, SOUTH ASIA, INDIAN OCEAN)</v>
      </c>
      <c r="D11" s="16">
        <f>baf_freight_payable_unit!A$2</f>
        <v>21</v>
      </c>
      <c r="E11" s="22" t="str">
        <f>"("&amp;baf_freight_payable_unit!B$2&amp;")"</f>
        <v>(TEU)</v>
      </c>
      <c r="F11" s="16" t="str">
        <f>baf_freight_payable_unit!D$2</f>
        <v>C</v>
      </c>
      <c r="G11" s="22" t="str">
        <f>"("&amp;baf_freight_payable_unit!E$2&amp;")"</f>
        <v>(Container)</v>
      </c>
      <c r="H11" s="28">
        <v>0.24199999999999999</v>
      </c>
    </row>
    <row r="12" spans="1:8" x14ac:dyDescent="0.25">
      <c r="A12" s="16">
        <f>project_baf_route_location!A$5</f>
        <v>12345</v>
      </c>
      <c r="B12" s="16">
        <f>project_baf_route_location!B$5</f>
        <v>253</v>
      </c>
      <c r="C12" s="22" t="str">
        <f>project_baf_route_location!C$5</f>
        <v>(13 - US GULF COAST - MIDDLE EAST, SOUTH ASIA, INDIAN OCEAN)</v>
      </c>
      <c r="D12" s="16">
        <f>baf_freight_payable_unit!A$3</f>
        <v>22</v>
      </c>
      <c r="E12" s="22" t="str">
        <f>"("&amp;baf_freight_payable_unit!B$3&amp;")"</f>
        <v>(FEU)</v>
      </c>
      <c r="F12" s="16" t="str">
        <f>baf_freight_payable_unit!D$3</f>
        <v>C</v>
      </c>
      <c r="G12" s="22" t="str">
        <f>"("&amp;baf_freight_payable_unit!E$2&amp;")"</f>
        <v>(Container)</v>
      </c>
      <c r="H12" s="28">
        <v>0.47199999999999998</v>
      </c>
    </row>
    <row r="13" spans="1:8" x14ac:dyDescent="0.25">
      <c r="A13" s="16">
        <f>project_baf_route_location!A$5</f>
        <v>12345</v>
      </c>
      <c r="B13" s="16">
        <f>project_baf_route_location!B$5</f>
        <v>253</v>
      </c>
      <c r="C13" s="22" t="str">
        <f>project_baf_route_location!C$5</f>
        <v>(13 - US GULF COAST - MIDDLE EAST, SOUTH ASIA, INDIAN OCEAN)</v>
      </c>
      <c r="D13" s="16">
        <f>baf_freight_payable_unit!A$4</f>
        <v>23</v>
      </c>
      <c r="E13" s="22" t="str">
        <f>"("&amp;baf_freight_payable_unit!B$4&amp;")"</f>
        <v>(MTON)</v>
      </c>
      <c r="F13" s="16" t="str">
        <f>baf_freight_payable_unit!D$4</f>
        <v>B</v>
      </c>
      <c r="G13" s="22" t="str">
        <f>"("&amp;baf_freight_payable_unit!E$4&amp;")"</f>
        <v>(Breakbulk)</v>
      </c>
      <c r="H13" s="28">
        <v>1.4999999999999999E-2</v>
      </c>
    </row>
    <row r="14" spans="1:8" x14ac:dyDescent="0.25">
      <c r="H14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F2A1A-ED19-4930-B601-C88545FB7B02}">
  <sheetPr>
    <tabColor rgb="FF006600"/>
  </sheetPr>
  <dimension ref="A1:H13"/>
  <sheetViews>
    <sheetView workbookViewId="0">
      <selection activeCell="E1" sqref="E1:E1048576"/>
    </sheetView>
  </sheetViews>
  <sheetFormatPr defaultRowHeight="15" outlineLevelCol="1" x14ac:dyDescent="0.25"/>
  <cols>
    <col min="1" max="1" width="10.140625" bestFit="1" customWidth="1"/>
    <col min="2" max="2" width="12.85546875" customWidth="1" outlineLevel="1"/>
    <col min="3" max="3" width="15.140625" bestFit="1" customWidth="1"/>
    <col min="4" max="4" width="15.28515625" customWidth="1" outlineLevel="1"/>
    <col min="5" max="5" width="11.140625" bestFit="1" customWidth="1"/>
    <col min="6" max="6" width="26.28515625" bestFit="1" customWidth="1"/>
    <col min="8" max="8" width="31.28515625" bestFit="1" customWidth="1"/>
  </cols>
  <sheetData>
    <row r="1" spans="1:8" ht="15.75" thickBot="1" x14ac:dyDescent="0.3">
      <c r="A1" s="146" t="str">
        <f>'BAF Location'!A$1</f>
        <v>baf_loc_id</v>
      </c>
      <c r="B1" s="87" t="str">
        <f>"("&amp;'BAF Location'!B$1&amp;")"</f>
        <v>(baf_loc_cd)</v>
      </c>
      <c r="C1" s="146" t="str">
        <f>'BAF Fuel Type'!A$1</f>
        <v>baf_fuel_id</v>
      </c>
      <c r="D1" s="108" t="str">
        <f>"("&amp;'BAF Fuel Type'!B$1&amp;")"</f>
        <v>(baf_fuel_cd)</v>
      </c>
      <c r="E1" s="146" t="s">
        <v>39</v>
      </c>
      <c r="F1" s="147" t="s">
        <v>210</v>
      </c>
      <c r="H1" s="84" t="s">
        <v>137</v>
      </c>
    </row>
    <row r="2" spans="1:8" x14ac:dyDescent="0.25">
      <c r="A2" s="88">
        <f>'BAF Location'!A$2</f>
        <v>71</v>
      </c>
      <c r="B2" s="89" t="str">
        <f>"("&amp;'BAF Location'!B$2&amp;")"</f>
        <v>(Houston)</v>
      </c>
      <c r="C2" s="90">
        <f>'BAF Fuel Type'!A$2</f>
        <v>121</v>
      </c>
      <c r="D2" s="89" t="str">
        <f>"("&amp;'BAF Fuel Type'!B$2&amp;")"</f>
        <v>(MGO)</v>
      </c>
      <c r="E2" s="109">
        <v>44197</v>
      </c>
      <c r="F2" s="92">
        <v>976</v>
      </c>
      <c r="G2" s="93"/>
      <c r="H2" s="94"/>
    </row>
    <row r="3" spans="1:8" x14ac:dyDescent="0.25">
      <c r="A3" s="95">
        <f>'BAF Location'!A$2</f>
        <v>71</v>
      </c>
      <c r="B3" s="22" t="str">
        <f>"("&amp;'BAF Location'!B$2&amp;")"</f>
        <v>(Houston)</v>
      </c>
      <c r="C3" s="16">
        <f>'BAF Fuel Type'!A$3</f>
        <v>122</v>
      </c>
      <c r="D3" s="22" t="str">
        <f>"("&amp;'BAF Fuel Type'!B$3&amp;")"</f>
        <v>(LSFO)</v>
      </c>
      <c r="E3" s="85">
        <v>44197</v>
      </c>
      <c r="F3" s="17">
        <v>854</v>
      </c>
      <c r="G3" s="96"/>
      <c r="H3" s="97" t="s">
        <v>138</v>
      </c>
    </row>
    <row r="4" spans="1:8" x14ac:dyDescent="0.25">
      <c r="A4" s="95">
        <f>'BAF Location'!A$3</f>
        <v>72</v>
      </c>
      <c r="B4" s="22" t="str">
        <f>"("&amp;'BAF Location'!B$3&amp;")"</f>
        <v>(Los Angeles)</v>
      </c>
      <c r="C4" s="16">
        <f>'BAF Fuel Type'!A$2</f>
        <v>121</v>
      </c>
      <c r="D4" s="22" t="str">
        <f>"("&amp;'BAF Fuel Type'!B$2&amp;")"</f>
        <v>(MGO)</v>
      </c>
      <c r="E4" s="85">
        <v>44197</v>
      </c>
      <c r="F4" s="17">
        <v>800</v>
      </c>
      <c r="G4" s="96"/>
      <c r="H4" s="97" t="s">
        <v>141</v>
      </c>
    </row>
    <row r="5" spans="1:8" ht="15.75" thickBot="1" x14ac:dyDescent="0.3">
      <c r="A5" s="98">
        <f>'BAF Location'!A$3</f>
        <v>72</v>
      </c>
      <c r="B5" s="99" t="str">
        <f>"("&amp;'BAF Location'!B$3&amp;")"</f>
        <v>(Los Angeles)</v>
      </c>
      <c r="C5" s="100">
        <f>'BAF Fuel Type'!A$3</f>
        <v>122</v>
      </c>
      <c r="D5" s="99" t="str">
        <f>"("&amp;'BAF Fuel Type'!B$3&amp;")"</f>
        <v>(LSFO)</v>
      </c>
      <c r="E5" s="110">
        <v>44197</v>
      </c>
      <c r="F5" s="102">
        <v>750</v>
      </c>
      <c r="G5" s="103"/>
      <c r="H5" s="104"/>
    </row>
    <row r="6" spans="1:8" x14ac:dyDescent="0.25">
      <c r="A6" s="88">
        <f>'BAF Location'!A$2</f>
        <v>71</v>
      </c>
      <c r="B6" s="89" t="str">
        <f>"("&amp;'BAF Location'!B$2&amp;")"</f>
        <v>(Houston)</v>
      </c>
      <c r="C6" s="90">
        <f>'BAF Fuel Type'!A$2</f>
        <v>121</v>
      </c>
      <c r="D6" s="89" t="str">
        <f>"("&amp;'BAF Fuel Type'!B$2&amp;")"</f>
        <v>(MGO)</v>
      </c>
      <c r="E6" s="91">
        <v>44228</v>
      </c>
      <c r="F6" s="92">
        <v>880.00000000000011</v>
      </c>
      <c r="G6" s="93"/>
      <c r="H6" s="105"/>
    </row>
    <row r="7" spans="1:8" x14ac:dyDescent="0.25">
      <c r="A7" s="95">
        <f>'BAF Location'!A$2</f>
        <v>71</v>
      </c>
      <c r="B7" s="22" t="str">
        <f>"("&amp;'BAF Location'!B$2&amp;")"</f>
        <v>(Houston)</v>
      </c>
      <c r="C7" s="16">
        <f>'BAF Fuel Type'!A$3</f>
        <v>122</v>
      </c>
      <c r="D7" s="22" t="str">
        <f>"("&amp;'BAF Fuel Type'!B$3&amp;")"</f>
        <v>(LSFO)</v>
      </c>
      <c r="E7" s="86">
        <v>44228</v>
      </c>
      <c r="F7" s="17">
        <v>770.00000000000011</v>
      </c>
      <c r="G7" s="96"/>
      <c r="H7" s="106" t="s">
        <v>140</v>
      </c>
    </row>
    <row r="8" spans="1:8" x14ac:dyDescent="0.25">
      <c r="A8" s="95">
        <f>'BAF Location'!A$3</f>
        <v>72</v>
      </c>
      <c r="B8" s="22" t="str">
        <f>"("&amp;'BAF Location'!B$3&amp;")"</f>
        <v>(Los Angeles)</v>
      </c>
      <c r="C8" s="16">
        <f>'BAF Fuel Type'!A$2</f>
        <v>121</v>
      </c>
      <c r="D8" s="22" t="str">
        <f>"("&amp;'BAF Fuel Type'!B$2&amp;")"</f>
        <v>(MGO)</v>
      </c>
      <c r="E8" s="86">
        <v>44228</v>
      </c>
      <c r="F8" s="17">
        <v>582</v>
      </c>
      <c r="G8" s="96"/>
      <c r="H8" s="106" t="s">
        <v>142</v>
      </c>
    </row>
    <row r="9" spans="1:8" ht="15.75" thickBot="1" x14ac:dyDescent="0.3">
      <c r="A9" s="98">
        <f>'BAF Location'!A$3</f>
        <v>72</v>
      </c>
      <c r="B9" s="99" t="str">
        <f>"("&amp;'BAF Location'!B$3&amp;")"</f>
        <v>(Los Angeles)</v>
      </c>
      <c r="C9" s="100">
        <f>'BAF Fuel Type'!A$3</f>
        <v>122</v>
      </c>
      <c r="D9" s="99" t="str">
        <f>"("&amp;'BAF Fuel Type'!B$3&amp;")"</f>
        <v>(LSFO)</v>
      </c>
      <c r="E9" s="101">
        <v>44228</v>
      </c>
      <c r="F9" s="102">
        <v>546</v>
      </c>
      <c r="G9" s="103"/>
      <c r="H9" s="107"/>
    </row>
    <row r="10" spans="1:8" x14ac:dyDescent="0.25">
      <c r="A10" s="88">
        <f>'BAF Location'!A$2</f>
        <v>71</v>
      </c>
      <c r="B10" s="89" t="str">
        <f>"("&amp;'BAF Location'!B$2&amp;")"</f>
        <v>(Houston)</v>
      </c>
      <c r="C10" s="90">
        <f>'BAF Fuel Type'!A$2</f>
        <v>121</v>
      </c>
      <c r="D10" s="89" t="str">
        <f>"("&amp;'BAF Fuel Type'!B$2&amp;")"</f>
        <v>(MGO)</v>
      </c>
      <c r="E10" s="91">
        <v>44256</v>
      </c>
      <c r="F10" s="92">
        <v>616</v>
      </c>
      <c r="G10" s="93"/>
      <c r="H10" s="94"/>
    </row>
    <row r="11" spans="1:8" x14ac:dyDescent="0.25">
      <c r="A11" s="95">
        <f>'BAF Location'!A$2</f>
        <v>71</v>
      </c>
      <c r="B11" s="22" t="str">
        <f>"("&amp;'BAF Location'!B$2&amp;")"</f>
        <v>(Houston)</v>
      </c>
      <c r="C11" s="16">
        <f>'BAF Fuel Type'!A$3</f>
        <v>122</v>
      </c>
      <c r="D11" s="22" t="str">
        <f>"("&amp;'BAF Fuel Type'!B$3&amp;")"</f>
        <v>(LSFO)</v>
      </c>
      <c r="E11" s="86">
        <v>44256</v>
      </c>
      <c r="F11" s="17">
        <v>539</v>
      </c>
      <c r="G11" s="96"/>
      <c r="H11" s="97" t="s">
        <v>139</v>
      </c>
    </row>
    <row r="12" spans="1:8" x14ac:dyDescent="0.25">
      <c r="A12" s="95">
        <f>'BAF Location'!A$3</f>
        <v>72</v>
      </c>
      <c r="B12" s="22" t="str">
        <f>"("&amp;'BAF Location'!B$3&amp;")"</f>
        <v>(Los Angeles)</v>
      </c>
      <c r="C12" s="16">
        <f>'BAF Fuel Type'!A$2</f>
        <v>121</v>
      </c>
      <c r="D12" s="22" t="str">
        <f>"("&amp;'BAF Fuel Type'!B$2&amp;")"</f>
        <v>(MGO)</v>
      </c>
      <c r="E12" s="86">
        <v>44256</v>
      </c>
      <c r="F12" s="17">
        <v>550</v>
      </c>
      <c r="G12" s="96"/>
      <c r="H12" s="97" t="s">
        <v>143</v>
      </c>
    </row>
    <row r="13" spans="1:8" ht="15.75" thickBot="1" x14ac:dyDescent="0.3">
      <c r="A13" s="98">
        <f>'BAF Location'!A$3</f>
        <v>72</v>
      </c>
      <c r="B13" s="99" t="str">
        <f>"("&amp;'BAF Location'!B$3&amp;")"</f>
        <v>(Los Angeles)</v>
      </c>
      <c r="C13" s="100">
        <f>'BAF Fuel Type'!A$3</f>
        <v>122</v>
      </c>
      <c r="D13" s="99" t="str">
        <f>"("&amp;'BAF Fuel Type'!B$3&amp;")"</f>
        <v>(LSFO)</v>
      </c>
      <c r="E13" s="101">
        <v>44256</v>
      </c>
      <c r="F13" s="102">
        <v>500</v>
      </c>
      <c r="G13" s="103"/>
      <c r="H13" s="104"/>
    </row>
  </sheetData>
  <pageMargins left="0.7" right="0.7" top="0.75" bottom="0.75" header="0.3" footer="0.3"/>
  <ignoredErrors>
    <ignoredError sqref="D3" formula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E26A4-AD66-4A05-808B-4CCE872EE186}">
  <sheetPr>
    <tabColor theme="4" tint="0.59999389629810485"/>
  </sheetPr>
  <dimension ref="A1:S46"/>
  <sheetViews>
    <sheetView zoomScale="115" zoomScaleNormal="115" workbookViewId="0">
      <pane ySplit="1" topLeftCell="A2" activePane="bottomLeft" state="frozen"/>
      <selection pane="bottomLeft" activeCell="B21" sqref="B21:B44"/>
    </sheetView>
  </sheetViews>
  <sheetFormatPr defaultRowHeight="15" outlineLevelCol="1" x14ac:dyDescent="0.25"/>
  <cols>
    <col min="1" max="1" width="9.140625" customWidth="1" outlineLevel="1"/>
    <col min="2" max="2" width="39.42578125" bestFit="1" customWidth="1"/>
    <col min="3" max="3" width="9.140625" customWidth="1" outlineLevel="1"/>
    <col min="4" max="4" width="22.85546875" bestFit="1" customWidth="1"/>
    <col min="5" max="5" width="23.42578125" bestFit="1" customWidth="1"/>
    <col min="6" max="6" width="17.28515625" customWidth="1" outlineLevel="1"/>
    <col min="7" max="7" width="9.140625" customWidth="1" outlineLevel="1"/>
    <col min="8" max="8" width="10.140625" customWidth="1" outlineLevel="1"/>
    <col min="9" max="9" width="15.140625" customWidth="1" outlineLevel="1"/>
    <col min="10" max="10" width="25.7109375" customWidth="1" outlineLevel="1"/>
    <col min="13" max="13" width="67" customWidth="1" outlineLevel="1"/>
    <col min="14" max="14" width="15.140625" customWidth="1" outlineLevel="1"/>
    <col min="15" max="15" width="12.140625" customWidth="1" outlineLevel="1"/>
    <col min="16" max="16" width="18.85546875" bestFit="1" customWidth="1" outlineLevel="1"/>
    <col min="17" max="17" width="14" bestFit="1" customWidth="1"/>
    <col min="18" max="18" width="18.85546875" bestFit="1" customWidth="1"/>
    <col min="19" max="19" width="19.42578125" bestFit="1" customWidth="1"/>
    <col min="20" max="20" width="14" bestFit="1" customWidth="1"/>
    <col min="21" max="22" width="12.28515625" bestFit="1" customWidth="1"/>
  </cols>
  <sheetData>
    <row r="1" spans="1:19" x14ac:dyDescent="0.25">
      <c r="A1" s="33" t="str">
        <f>project!$A$1</f>
        <v>prjc_id</v>
      </c>
      <c r="B1" s="33" t="str">
        <f>project!$B$1</f>
        <v>prjc_uuid</v>
      </c>
      <c r="C1" s="15" t="str">
        <f>project_baf_parameter!A1</f>
        <v>prjc_id</v>
      </c>
      <c r="D1" s="15" t="str">
        <f>project_baf_parameter!B1</f>
        <v>prjc_low_buffer_lmt_nb</v>
      </c>
      <c r="E1" s="15" t="str">
        <f>project_baf_parameter!C1</f>
        <v>prjc_high_buffer_lmt_nb</v>
      </c>
      <c r="F1" s="15" t="str">
        <f>project_baf_parameter!D1</f>
        <v>prjc_prc_mth_ofst</v>
      </c>
      <c r="G1" s="20" t="str">
        <f>project_baf_baseline_fuel_price!A1</f>
        <v>prjc_id</v>
      </c>
      <c r="H1" s="20" t="str">
        <f>project_baf_baseline_fuel_price!B1</f>
        <v>baf_loc_id</v>
      </c>
      <c r="I1" s="20" t="str">
        <f>project_baf_baseline_fuel_price!D1</f>
        <v>baf_fuel_typ_id</v>
      </c>
      <c r="J1" s="20" t="str">
        <f>project_baf_baseline_fuel_price!F1</f>
        <v>prjc_baf_bsln_fuel_prc_am</v>
      </c>
      <c r="K1" s="30" t="str">
        <f>'project_baf_route_fuel_mixing_%'!A1</f>
        <v>prjc_id</v>
      </c>
      <c r="L1" s="30" t="str">
        <f>'project_baf_route_fuel_mixing_%'!B1</f>
        <v>rte_id</v>
      </c>
      <c r="M1" s="21" t="str">
        <f>route!$E$1</f>
        <v>Derived Route Name</v>
      </c>
      <c r="N1" s="30" t="str">
        <f>'project_baf_route_fuel_mixing_%'!D1</f>
        <v>baf_fuel_typ_id</v>
      </c>
      <c r="O1" s="21" t="str">
        <f>'project_baf_route_fuel_mixing_%'!E$1</f>
        <v>(baf_fuel_cd)</v>
      </c>
      <c r="P1" s="30" t="str">
        <f>'project_baf_route_fuel_mixing_%'!F$1</f>
        <v>fuel_mixing_pct_nb</v>
      </c>
      <c r="Q1" s="48" t="s">
        <v>51</v>
      </c>
      <c r="R1" s="48" t="s">
        <v>196</v>
      </c>
      <c r="S1" s="48" t="s">
        <v>197</v>
      </c>
    </row>
    <row r="2" spans="1:19" x14ac:dyDescent="0.25">
      <c r="A2" s="34">
        <f>project!$A$2</f>
        <v>12345</v>
      </c>
      <c r="B2" s="115" t="str">
        <f>project!$B$2</f>
        <v>228b4088-8661-11eb-8dcd-0242ac130003</v>
      </c>
      <c r="C2" s="47">
        <f>project_baf_parameter!A$2</f>
        <v>12345</v>
      </c>
      <c r="D2" s="52">
        <f>project_baf_parameter!B$2</f>
        <v>-0.15</v>
      </c>
      <c r="E2" s="52">
        <f>project_baf_parameter!C$2</f>
        <v>0.15</v>
      </c>
      <c r="F2" s="46">
        <f>project_baf_parameter!D$2</f>
        <v>3</v>
      </c>
      <c r="G2" s="47">
        <f>project_baf_baseline_fuel_price!A$2</f>
        <v>12345</v>
      </c>
      <c r="H2" s="48">
        <f>project_baf_baseline_fuel_price!B$2</f>
        <v>71</v>
      </c>
      <c r="I2" s="136">
        <f>project_baf_baseline_fuel_price!D$2</f>
        <v>121</v>
      </c>
      <c r="J2" s="52">
        <f>project_baf_baseline_fuel_price!F$2</f>
        <v>800</v>
      </c>
      <c r="K2" s="47">
        <f>'project_baf_route_fuel_mixing_%'!A$2</f>
        <v>12345</v>
      </c>
      <c r="L2" s="17">
        <f>'project_baf_route_fuel_mixing_%'!B$2</f>
        <v>250</v>
      </c>
      <c r="M2" s="21" t="str">
        <f>route!$E$2</f>
        <v>10 - US GULF COAST - SCANDINAVIA, BALTIC</v>
      </c>
      <c r="N2" s="136">
        <f>'project_baf_route_fuel_mixing_%'!D$2</f>
        <v>121</v>
      </c>
      <c r="O2" s="21" t="str">
        <f>'project_baf_route_fuel_mixing_%'!E$2</f>
        <v>(MGO)</v>
      </c>
      <c r="P2" s="17">
        <f>'project_baf_route_fuel_mixing_%'!F$2</f>
        <v>0.4</v>
      </c>
      <c r="Q2" s="49">
        <f>J2*P2</f>
        <v>320</v>
      </c>
      <c r="R2" s="49">
        <f>Q2*(1+D2)</f>
        <v>272</v>
      </c>
      <c r="S2" s="49">
        <f>Q2*(1+E2)</f>
        <v>368</v>
      </c>
    </row>
    <row r="3" spans="1:19" x14ac:dyDescent="0.25">
      <c r="A3" s="34">
        <f>project!$A$2</f>
        <v>12345</v>
      </c>
      <c r="B3" s="115" t="str">
        <f>project!$B$2</f>
        <v>228b4088-8661-11eb-8dcd-0242ac130003</v>
      </c>
      <c r="C3" s="47">
        <f>project_baf_parameter!A$2</f>
        <v>12345</v>
      </c>
      <c r="D3" s="52">
        <f>project_baf_parameter!B$2</f>
        <v>-0.15</v>
      </c>
      <c r="E3" s="52">
        <f>project_baf_parameter!C$2</f>
        <v>0.15</v>
      </c>
      <c r="F3" s="46">
        <f>project_baf_parameter!D$2</f>
        <v>3</v>
      </c>
      <c r="G3" s="47">
        <f>project_baf_baseline_fuel_price!A$2</f>
        <v>12345</v>
      </c>
      <c r="H3" s="48">
        <f>project_baf_baseline_fuel_price!B$2</f>
        <v>71</v>
      </c>
      <c r="I3" s="136">
        <f>project_baf_baseline_fuel_price!D$2</f>
        <v>121</v>
      </c>
      <c r="J3" s="52">
        <f>project_baf_baseline_fuel_price!F$2</f>
        <v>800</v>
      </c>
      <c r="K3" s="47">
        <f>'project_baf_route_fuel_mixing_%'!A$4</f>
        <v>12345</v>
      </c>
      <c r="L3" s="17">
        <f>'project_baf_route_fuel_mixing_%'!B$4</f>
        <v>251</v>
      </c>
      <c r="M3" s="21" t="str">
        <f>route!$E$3</f>
        <v>11 - US GULF COAST - CONTINENTAL EUROPE, UNITED KINGDOM, IRELAND</v>
      </c>
      <c r="N3" s="136">
        <f>'project_baf_route_fuel_mixing_%'!D$4</f>
        <v>121</v>
      </c>
      <c r="O3" s="21" t="str">
        <f>'project_baf_route_fuel_mixing_%'!E$4</f>
        <v>(MGO)</v>
      </c>
      <c r="P3" s="17">
        <f>'project_baf_route_fuel_mixing_%'!F$4</f>
        <v>0.2</v>
      </c>
      <c r="Q3" s="49">
        <f t="shared" ref="Q2:Q9" si="0">J3*P3</f>
        <v>160</v>
      </c>
      <c r="R3" s="49">
        <f t="shared" ref="R3:R9" si="1">Q3*(1+D3)</f>
        <v>136</v>
      </c>
      <c r="S3" s="49">
        <f t="shared" ref="S3:S9" si="2">Q3*(1+E3)</f>
        <v>184</v>
      </c>
    </row>
    <row r="4" spans="1:19" x14ac:dyDescent="0.25">
      <c r="A4" s="34">
        <f>project!$A$2</f>
        <v>12345</v>
      </c>
      <c r="B4" s="115" t="str">
        <f>project!$B$2</f>
        <v>228b4088-8661-11eb-8dcd-0242ac130003</v>
      </c>
      <c r="C4" s="47">
        <f>project_baf_parameter!A$2</f>
        <v>12345</v>
      </c>
      <c r="D4" s="52">
        <f>project_baf_parameter!B$2</f>
        <v>-0.15</v>
      </c>
      <c r="E4" s="52">
        <f>project_baf_parameter!C$2</f>
        <v>0.15</v>
      </c>
      <c r="F4" s="46">
        <f>project_baf_parameter!D$2</f>
        <v>3</v>
      </c>
      <c r="G4" s="47">
        <f>project_baf_baseline_fuel_price!A$3</f>
        <v>12345</v>
      </c>
      <c r="H4" s="48">
        <f>project_baf_baseline_fuel_price!B$3</f>
        <v>71</v>
      </c>
      <c r="I4" s="136">
        <f>project_baf_baseline_fuel_price!D$3</f>
        <v>122</v>
      </c>
      <c r="J4" s="52">
        <f>project_baf_baseline_fuel_price!F$3</f>
        <v>700</v>
      </c>
      <c r="K4" s="47">
        <f>'project_baf_route_fuel_mixing_%'!A$3</f>
        <v>12345</v>
      </c>
      <c r="L4" s="17">
        <f>'project_baf_route_fuel_mixing_%'!B$3</f>
        <v>250</v>
      </c>
      <c r="M4" s="21" t="str">
        <f>route!$E$2</f>
        <v>10 - US GULF COAST - SCANDINAVIA, BALTIC</v>
      </c>
      <c r="N4" s="136">
        <f>'project_baf_route_fuel_mixing_%'!D$3</f>
        <v>122</v>
      </c>
      <c r="O4" s="21" t="str">
        <f>'project_baf_route_fuel_mixing_%'!E$3</f>
        <v>(LSFO)</v>
      </c>
      <c r="P4" s="17">
        <f>'project_baf_route_fuel_mixing_%'!F$3</f>
        <v>0.6</v>
      </c>
      <c r="Q4" s="49">
        <f t="shared" si="0"/>
        <v>420</v>
      </c>
      <c r="R4" s="49">
        <f t="shared" si="1"/>
        <v>357</v>
      </c>
      <c r="S4" s="49">
        <f t="shared" si="2"/>
        <v>482.99999999999994</v>
      </c>
    </row>
    <row r="5" spans="1:19" x14ac:dyDescent="0.25">
      <c r="A5" s="34">
        <f>project!$A$2</f>
        <v>12345</v>
      </c>
      <c r="B5" s="115" t="str">
        <f>project!$B$2</f>
        <v>228b4088-8661-11eb-8dcd-0242ac130003</v>
      </c>
      <c r="C5" s="47">
        <f>project_baf_parameter!A$2</f>
        <v>12345</v>
      </c>
      <c r="D5" s="52">
        <f>project_baf_parameter!B$2</f>
        <v>-0.15</v>
      </c>
      <c r="E5" s="52">
        <f>project_baf_parameter!C$2</f>
        <v>0.15</v>
      </c>
      <c r="F5" s="46">
        <f>project_baf_parameter!D$2</f>
        <v>3</v>
      </c>
      <c r="G5" s="47">
        <f>project_baf_baseline_fuel_price!A$3</f>
        <v>12345</v>
      </c>
      <c r="H5" s="48">
        <f>project_baf_baseline_fuel_price!B$3</f>
        <v>71</v>
      </c>
      <c r="I5" s="136">
        <f>project_baf_baseline_fuel_price!D$3</f>
        <v>122</v>
      </c>
      <c r="J5" s="52">
        <f>project_baf_baseline_fuel_price!F$3</f>
        <v>700</v>
      </c>
      <c r="K5" s="47">
        <f>'project_baf_route_fuel_mixing_%'!A$5</f>
        <v>12345</v>
      </c>
      <c r="L5" s="17">
        <f>'project_baf_route_fuel_mixing_%'!B$5</f>
        <v>251</v>
      </c>
      <c r="M5" s="21" t="str">
        <f>route!$E$3</f>
        <v>11 - US GULF COAST - CONTINENTAL EUROPE, UNITED KINGDOM, IRELAND</v>
      </c>
      <c r="N5" s="136">
        <f>'project_baf_route_fuel_mixing_%'!D$5</f>
        <v>122</v>
      </c>
      <c r="O5" s="21" t="str">
        <f>'project_baf_route_fuel_mixing_%'!E$5</f>
        <v>(LSFO)</v>
      </c>
      <c r="P5" s="17">
        <f>'project_baf_route_fuel_mixing_%'!F$5</f>
        <v>0.8</v>
      </c>
      <c r="Q5" s="49">
        <f t="shared" si="0"/>
        <v>560</v>
      </c>
      <c r="R5" s="49">
        <f t="shared" si="1"/>
        <v>476</v>
      </c>
      <c r="S5" s="49">
        <f t="shared" si="2"/>
        <v>644</v>
      </c>
    </row>
    <row r="6" spans="1:19" x14ac:dyDescent="0.25">
      <c r="A6" s="34">
        <f>project!$A$2</f>
        <v>12345</v>
      </c>
      <c r="B6" s="115" t="str">
        <f>project!$B$2</f>
        <v>228b4088-8661-11eb-8dcd-0242ac130003</v>
      </c>
      <c r="C6" s="47">
        <f>project_baf_parameter!A$2</f>
        <v>12345</v>
      </c>
      <c r="D6" s="52">
        <f>project_baf_parameter!B$2</f>
        <v>-0.15</v>
      </c>
      <c r="E6" s="52">
        <f>project_baf_parameter!C$2</f>
        <v>0.15</v>
      </c>
      <c r="F6" s="46">
        <f>project_baf_parameter!D$2</f>
        <v>3</v>
      </c>
      <c r="G6" s="47">
        <f>project_baf_baseline_fuel_price!A$4</f>
        <v>12345</v>
      </c>
      <c r="H6" s="48">
        <f>project_baf_baseline_fuel_price!B$4</f>
        <v>72</v>
      </c>
      <c r="I6" s="136">
        <f>project_baf_baseline_fuel_price!D$4</f>
        <v>121</v>
      </c>
      <c r="J6" s="52">
        <f>project_baf_baseline_fuel_price!F$4</f>
        <v>646.66666666666663</v>
      </c>
      <c r="K6" s="47">
        <f>'project_baf_route_fuel_mixing_%'!A$6</f>
        <v>12345</v>
      </c>
      <c r="L6" s="17">
        <f>'project_baf_route_fuel_mixing_%'!B$6</f>
        <v>252</v>
      </c>
      <c r="M6" s="21" t="str">
        <f>route!$E$4</f>
        <v>12 - US GULF COAST - MEDITERRANEAN</v>
      </c>
      <c r="N6" s="136">
        <f>'project_baf_route_fuel_mixing_%'!D$6</f>
        <v>121</v>
      </c>
      <c r="O6" s="21" t="str">
        <f>'project_baf_route_fuel_mixing_%'!E$6</f>
        <v>(MGO)</v>
      </c>
      <c r="P6" s="17">
        <f>'project_baf_route_fuel_mixing_%'!F$6</f>
        <v>0.35</v>
      </c>
      <c r="Q6" s="49">
        <f t="shared" si="0"/>
        <v>226.33333333333331</v>
      </c>
      <c r="R6" s="49">
        <f t="shared" si="1"/>
        <v>192.38333333333333</v>
      </c>
      <c r="S6" s="49">
        <f t="shared" si="2"/>
        <v>260.2833333333333</v>
      </c>
    </row>
    <row r="7" spans="1:19" x14ac:dyDescent="0.25">
      <c r="A7" s="34">
        <f>project!$A$2</f>
        <v>12345</v>
      </c>
      <c r="B7" s="115" t="str">
        <f>project!$B$2</f>
        <v>228b4088-8661-11eb-8dcd-0242ac130003</v>
      </c>
      <c r="C7" s="47">
        <f>project_baf_parameter!A$2</f>
        <v>12345</v>
      </c>
      <c r="D7" s="52">
        <f>project_baf_parameter!B$2</f>
        <v>-0.15</v>
      </c>
      <c r="E7" s="52">
        <f>project_baf_parameter!C$2</f>
        <v>0.15</v>
      </c>
      <c r="F7" s="46">
        <f>project_baf_parameter!D$2</f>
        <v>3</v>
      </c>
      <c r="G7" s="47">
        <f>project_baf_baseline_fuel_price!A$4</f>
        <v>12345</v>
      </c>
      <c r="H7" s="48">
        <f>project_baf_baseline_fuel_price!B$4</f>
        <v>72</v>
      </c>
      <c r="I7" s="136">
        <f>project_baf_baseline_fuel_price!D$4</f>
        <v>121</v>
      </c>
      <c r="J7" s="52">
        <f>project_baf_baseline_fuel_price!F$4</f>
        <v>646.66666666666663</v>
      </c>
      <c r="K7" s="47">
        <f>'project_baf_route_fuel_mixing_%'!A$8</f>
        <v>12345</v>
      </c>
      <c r="L7" s="17">
        <f>'project_baf_route_fuel_mixing_%'!B$8</f>
        <v>253</v>
      </c>
      <c r="M7" s="21" t="str">
        <f>route!$E$5</f>
        <v>13 - US GULF COAST - MIDDLE EAST, SOUTH ASIA, INDIAN OCEAN</v>
      </c>
      <c r="N7" s="136">
        <f>'project_baf_route_fuel_mixing_%'!D$8</f>
        <v>121</v>
      </c>
      <c r="O7" s="21" t="str">
        <f>'project_baf_route_fuel_mixing_%'!E$8</f>
        <v>(MGO)</v>
      </c>
      <c r="P7" s="17">
        <f>'project_baf_route_fuel_mixing_%'!F$8</f>
        <v>0.28999999999999998</v>
      </c>
      <c r="Q7" s="49">
        <f t="shared" si="0"/>
        <v>187.5333333333333</v>
      </c>
      <c r="R7" s="49">
        <f t="shared" si="1"/>
        <v>159.40333333333331</v>
      </c>
      <c r="S7" s="49">
        <f t="shared" si="2"/>
        <v>215.66333333333327</v>
      </c>
    </row>
    <row r="8" spans="1:19" x14ac:dyDescent="0.25">
      <c r="A8" s="34">
        <f>project!$A$2</f>
        <v>12345</v>
      </c>
      <c r="B8" s="115" t="str">
        <f>project!$B$2</f>
        <v>228b4088-8661-11eb-8dcd-0242ac130003</v>
      </c>
      <c r="C8" s="47">
        <f>project_baf_parameter!A$2</f>
        <v>12345</v>
      </c>
      <c r="D8" s="52">
        <f>project_baf_parameter!B$2</f>
        <v>-0.15</v>
      </c>
      <c r="E8" s="52">
        <f>project_baf_parameter!C$2</f>
        <v>0.15</v>
      </c>
      <c r="F8" s="46">
        <f>project_baf_parameter!D$2</f>
        <v>3</v>
      </c>
      <c r="G8" s="47">
        <f>project_baf_baseline_fuel_price!A$5</f>
        <v>12345</v>
      </c>
      <c r="H8" s="48">
        <f>project_baf_baseline_fuel_price!B$5</f>
        <v>72</v>
      </c>
      <c r="I8" s="136">
        <f>project_baf_baseline_fuel_price!D$5</f>
        <v>122</v>
      </c>
      <c r="J8" s="52">
        <f>project_baf_baseline_fuel_price!F$5</f>
        <v>606.66666666666663</v>
      </c>
      <c r="K8" s="47">
        <f>'project_baf_route_fuel_mixing_%'!A$7</f>
        <v>12345</v>
      </c>
      <c r="L8" s="17">
        <f>'project_baf_route_fuel_mixing_%'!B$7</f>
        <v>252</v>
      </c>
      <c r="M8" s="21" t="str">
        <f>route!$E$4</f>
        <v>12 - US GULF COAST - MEDITERRANEAN</v>
      </c>
      <c r="N8" s="136">
        <f>'project_baf_route_fuel_mixing_%'!D$7</f>
        <v>122</v>
      </c>
      <c r="O8" s="21" t="str">
        <f>'project_baf_route_fuel_mixing_%'!E$7</f>
        <v>(LSFO)</v>
      </c>
      <c r="P8" s="17">
        <f>'project_baf_route_fuel_mixing_%'!F$7</f>
        <v>0.65</v>
      </c>
      <c r="Q8" s="49">
        <f t="shared" si="0"/>
        <v>394.33333333333331</v>
      </c>
      <c r="R8" s="49">
        <f t="shared" si="1"/>
        <v>335.18333333333328</v>
      </c>
      <c r="S8" s="49">
        <f t="shared" si="2"/>
        <v>453.48333333333329</v>
      </c>
    </row>
    <row r="9" spans="1:19" x14ac:dyDescent="0.25">
      <c r="A9" s="34">
        <f>project!$A$2</f>
        <v>12345</v>
      </c>
      <c r="B9" s="115" t="str">
        <f>project!$B$2</f>
        <v>228b4088-8661-11eb-8dcd-0242ac130003</v>
      </c>
      <c r="C9" s="47">
        <f>project_baf_parameter!A$2</f>
        <v>12345</v>
      </c>
      <c r="D9" s="52">
        <f>project_baf_parameter!B$2</f>
        <v>-0.15</v>
      </c>
      <c r="E9" s="52">
        <f>project_baf_parameter!C$2</f>
        <v>0.15</v>
      </c>
      <c r="F9" s="46">
        <f>project_baf_parameter!D$2</f>
        <v>3</v>
      </c>
      <c r="G9" s="47">
        <f>project_baf_baseline_fuel_price!A$5</f>
        <v>12345</v>
      </c>
      <c r="H9" s="48">
        <f>project_baf_baseline_fuel_price!B$5</f>
        <v>72</v>
      </c>
      <c r="I9" s="136">
        <f>project_baf_baseline_fuel_price!D$5</f>
        <v>122</v>
      </c>
      <c r="J9" s="52">
        <f>project_baf_baseline_fuel_price!F$5</f>
        <v>606.66666666666663</v>
      </c>
      <c r="K9" s="47">
        <f>'project_baf_route_fuel_mixing_%'!A$9</f>
        <v>12345</v>
      </c>
      <c r="L9" s="17">
        <f>'project_baf_route_fuel_mixing_%'!B$9</f>
        <v>253</v>
      </c>
      <c r="M9" s="21" t="str">
        <f>route!$E$5</f>
        <v>13 - US GULF COAST - MIDDLE EAST, SOUTH ASIA, INDIAN OCEAN</v>
      </c>
      <c r="N9" s="136">
        <f>'project_baf_route_fuel_mixing_%'!D$9</f>
        <v>122</v>
      </c>
      <c r="O9" s="21" t="str">
        <f>'project_baf_route_fuel_mixing_%'!E$9</f>
        <v>(LSFO)</v>
      </c>
      <c r="P9" s="17">
        <f>'project_baf_route_fuel_mixing_%'!F$9</f>
        <v>0.71</v>
      </c>
      <c r="Q9" s="49">
        <f t="shared" si="0"/>
        <v>430.73333333333329</v>
      </c>
      <c r="R9" s="49">
        <f t="shared" si="1"/>
        <v>366.12333333333328</v>
      </c>
      <c r="S9" s="49">
        <f t="shared" si="2"/>
        <v>495.34333333333325</v>
      </c>
    </row>
    <row r="10" spans="1:19" x14ac:dyDescent="0.2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</row>
    <row r="11" spans="1:19" x14ac:dyDescent="0.25">
      <c r="B11" s="2" t="s">
        <v>9</v>
      </c>
      <c r="D11" s="2" t="s">
        <v>9</v>
      </c>
      <c r="E11" s="2" t="s">
        <v>9</v>
      </c>
      <c r="K11" s="2" t="s">
        <v>9</v>
      </c>
      <c r="L11" s="2" t="s">
        <v>9</v>
      </c>
      <c r="Q11" s="75" t="s">
        <v>9</v>
      </c>
      <c r="R11" s="75" t="s">
        <v>9</v>
      </c>
      <c r="S11" s="75" t="s">
        <v>9</v>
      </c>
    </row>
    <row r="12" spans="1:19" x14ac:dyDescent="0.25">
      <c r="B12" t="s">
        <v>10</v>
      </c>
      <c r="D12" t="s">
        <v>10</v>
      </c>
      <c r="E12" t="s">
        <v>10</v>
      </c>
      <c r="K12" t="s">
        <v>10</v>
      </c>
      <c r="L12" t="s">
        <v>10</v>
      </c>
      <c r="Q12" s="5" t="s">
        <v>11</v>
      </c>
      <c r="R12" s="5" t="s">
        <v>11</v>
      </c>
      <c r="S12" s="5" t="s">
        <v>11</v>
      </c>
    </row>
    <row r="14" spans="1:19" x14ac:dyDescent="0.25">
      <c r="B14" s="46" t="str">
        <f>B2</f>
        <v>228b4088-8661-11eb-8dcd-0242ac130003</v>
      </c>
      <c r="C14" s="17"/>
      <c r="D14" s="52">
        <f>project_baf_parameter!B$2</f>
        <v>-0.15</v>
      </c>
      <c r="E14" s="52">
        <f>project_baf_parameter!C$2</f>
        <v>0.15</v>
      </c>
      <c r="F14" s="133"/>
      <c r="G14" s="134"/>
      <c r="H14" s="134"/>
      <c r="I14" s="134"/>
      <c r="J14" s="135"/>
      <c r="K14" s="17">
        <f t="shared" ref="K14:M15" si="3">K2</f>
        <v>12345</v>
      </c>
      <c r="L14" s="17">
        <f t="shared" si="3"/>
        <v>250</v>
      </c>
      <c r="M14" s="21" t="str">
        <f t="shared" si="3"/>
        <v>10 - US GULF COAST - SCANDINAVIA, BALTIC</v>
      </c>
      <c r="N14" s="133"/>
      <c r="O14" s="134"/>
      <c r="P14" s="135"/>
      <c r="Q14" s="52">
        <f t="shared" ref="Q14:S15" si="4">Q2+Q4</f>
        <v>740</v>
      </c>
      <c r="R14" s="49">
        <f t="shared" si="4"/>
        <v>629</v>
      </c>
      <c r="S14" s="49">
        <f t="shared" si="4"/>
        <v>851</v>
      </c>
    </row>
    <row r="15" spans="1:19" x14ac:dyDescent="0.25">
      <c r="B15" s="46" t="str">
        <f>B3</f>
        <v>228b4088-8661-11eb-8dcd-0242ac130003</v>
      </c>
      <c r="C15" s="17"/>
      <c r="D15" s="52">
        <f>project_baf_parameter!B$2</f>
        <v>-0.15</v>
      </c>
      <c r="E15" s="52">
        <f>project_baf_parameter!C$2</f>
        <v>0.15</v>
      </c>
      <c r="F15" s="133"/>
      <c r="G15" s="134"/>
      <c r="H15" s="134"/>
      <c r="I15" s="134"/>
      <c r="J15" s="135"/>
      <c r="K15" s="17">
        <f t="shared" si="3"/>
        <v>12345</v>
      </c>
      <c r="L15" s="17">
        <f t="shared" si="3"/>
        <v>251</v>
      </c>
      <c r="M15" s="21" t="str">
        <f t="shared" si="3"/>
        <v>11 - US GULF COAST - CONTINENTAL EUROPE, UNITED KINGDOM, IRELAND</v>
      </c>
      <c r="N15" s="133"/>
      <c r="O15" s="134"/>
      <c r="P15" s="135"/>
      <c r="Q15" s="49">
        <f t="shared" si="4"/>
        <v>720</v>
      </c>
      <c r="R15" s="49">
        <f t="shared" si="4"/>
        <v>612</v>
      </c>
      <c r="S15" s="49">
        <f t="shared" si="4"/>
        <v>828</v>
      </c>
    </row>
    <row r="16" spans="1:19" x14ac:dyDescent="0.25">
      <c r="B16" s="46" t="str">
        <f>B6</f>
        <v>228b4088-8661-11eb-8dcd-0242ac130003</v>
      </c>
      <c r="C16" s="17"/>
      <c r="D16" s="52">
        <f>project_baf_parameter!B$2</f>
        <v>-0.15</v>
      </c>
      <c r="E16" s="52">
        <f>project_baf_parameter!C$2</f>
        <v>0.15</v>
      </c>
      <c r="F16" s="133"/>
      <c r="G16" s="134"/>
      <c r="H16" s="134"/>
      <c r="I16" s="134"/>
      <c r="J16" s="135"/>
      <c r="K16" s="17">
        <f t="shared" ref="K16:M17" si="5">K6</f>
        <v>12345</v>
      </c>
      <c r="L16" s="17">
        <f t="shared" si="5"/>
        <v>252</v>
      </c>
      <c r="M16" s="21" t="str">
        <f t="shared" si="5"/>
        <v>12 - US GULF COAST - MEDITERRANEAN</v>
      </c>
      <c r="N16" s="133"/>
      <c r="O16" s="134"/>
      <c r="P16" s="135"/>
      <c r="Q16" s="49">
        <f t="shared" ref="Q16:S17" si="6">Q6+Q8</f>
        <v>620.66666666666663</v>
      </c>
      <c r="R16" s="49">
        <f t="shared" si="6"/>
        <v>527.56666666666661</v>
      </c>
      <c r="S16" s="49">
        <f t="shared" si="6"/>
        <v>713.76666666666665</v>
      </c>
    </row>
    <row r="17" spans="2:19" x14ac:dyDescent="0.25">
      <c r="B17" s="46" t="str">
        <f>B7</f>
        <v>228b4088-8661-11eb-8dcd-0242ac130003</v>
      </c>
      <c r="C17" s="17"/>
      <c r="D17" s="52">
        <f>project_baf_parameter!B$2</f>
        <v>-0.15</v>
      </c>
      <c r="E17" s="52">
        <f>project_baf_parameter!C$2</f>
        <v>0.15</v>
      </c>
      <c r="F17" s="133"/>
      <c r="G17" s="134"/>
      <c r="H17" s="134"/>
      <c r="I17" s="134"/>
      <c r="J17" s="135"/>
      <c r="K17" s="17">
        <f t="shared" si="5"/>
        <v>12345</v>
      </c>
      <c r="L17" s="17">
        <f t="shared" si="5"/>
        <v>253</v>
      </c>
      <c r="M17" s="21" t="str">
        <f t="shared" si="5"/>
        <v>13 - US GULF COAST - MIDDLE EAST, SOUTH ASIA, INDIAN OCEAN</v>
      </c>
      <c r="N17" s="133"/>
      <c r="O17" s="134"/>
      <c r="P17" s="135"/>
      <c r="Q17" s="49">
        <f t="shared" si="6"/>
        <v>618.26666666666665</v>
      </c>
      <c r="R17" s="49">
        <f t="shared" si="6"/>
        <v>525.52666666666664</v>
      </c>
      <c r="S17" s="49">
        <f t="shared" si="6"/>
        <v>711.00666666666655</v>
      </c>
    </row>
    <row r="18" spans="2:19" x14ac:dyDescent="0.25">
      <c r="K18" s="4"/>
      <c r="L18" s="4"/>
      <c r="M18" s="4"/>
      <c r="N18" s="4"/>
      <c r="O18" s="4"/>
      <c r="P18" s="4"/>
      <c r="Q18" s="4"/>
      <c r="R18" s="4"/>
      <c r="S18" s="4"/>
    </row>
    <row r="21" spans="2:19" x14ac:dyDescent="0.25">
      <c r="B21" t="s">
        <v>198</v>
      </c>
    </row>
    <row r="22" spans="2:19" x14ac:dyDescent="0.25">
      <c r="B22" s="57" t="s">
        <v>12</v>
      </c>
    </row>
    <row r="23" spans="2:19" x14ac:dyDescent="0.25">
      <c r="B23" s="58" t="s">
        <v>45</v>
      </c>
    </row>
    <row r="24" spans="2:19" x14ac:dyDescent="0.25">
      <c r="B24" s="58" t="s">
        <v>46</v>
      </c>
    </row>
    <row r="25" spans="2:19" x14ac:dyDescent="0.25">
      <c r="B25" s="58" t="s">
        <v>48</v>
      </c>
    </row>
    <row r="26" spans="2:19" x14ac:dyDescent="0.25">
      <c r="B26" s="58" t="s">
        <v>273</v>
      </c>
    </row>
    <row r="27" spans="2:19" x14ac:dyDescent="0.25">
      <c r="B27" s="58" t="s">
        <v>274</v>
      </c>
    </row>
    <row r="28" spans="2:19" x14ac:dyDescent="0.25">
      <c r="B28" s="58" t="s">
        <v>52</v>
      </c>
    </row>
    <row r="29" spans="2:19" x14ac:dyDescent="0.25">
      <c r="B29" s="58" t="s">
        <v>275</v>
      </c>
    </row>
    <row r="30" spans="2:19" x14ac:dyDescent="0.25">
      <c r="B30" s="58" t="s">
        <v>276</v>
      </c>
    </row>
    <row r="31" spans="2:19" x14ac:dyDescent="0.25">
      <c r="B31" s="57" t="s">
        <v>132</v>
      </c>
    </row>
    <row r="32" spans="2:19" x14ac:dyDescent="0.25">
      <c r="B32" s="58" t="s">
        <v>133</v>
      </c>
    </row>
    <row r="33" spans="1:2" x14ac:dyDescent="0.25">
      <c r="B33" s="58" t="s">
        <v>42</v>
      </c>
    </row>
    <row r="34" spans="1:2" x14ac:dyDescent="0.25">
      <c r="B34" s="58" t="s">
        <v>134</v>
      </c>
    </row>
    <row r="35" spans="1:2" x14ac:dyDescent="0.25">
      <c r="B35" s="58" t="s">
        <v>43</v>
      </c>
    </row>
    <row r="36" spans="1:2" x14ac:dyDescent="0.25">
      <c r="B36" s="57" t="s">
        <v>135</v>
      </c>
    </row>
    <row r="37" spans="1:2" x14ac:dyDescent="0.25">
      <c r="B37" s="58" t="s">
        <v>44</v>
      </c>
    </row>
    <row r="38" spans="1:2" x14ac:dyDescent="0.25">
      <c r="B38" s="58" t="s">
        <v>49</v>
      </c>
    </row>
    <row r="39" spans="1:2" x14ac:dyDescent="0.25">
      <c r="B39" s="58" t="s">
        <v>14</v>
      </c>
    </row>
    <row r="40" spans="1:2" x14ac:dyDescent="0.25">
      <c r="B40" s="152" t="s">
        <v>104</v>
      </c>
    </row>
    <row r="41" spans="1:2" x14ac:dyDescent="0.25">
      <c r="B41" s="58" t="s">
        <v>16</v>
      </c>
    </row>
    <row r="42" spans="1:2" x14ac:dyDescent="0.25">
      <c r="B42" s="58" t="s">
        <v>45</v>
      </c>
    </row>
    <row r="43" spans="1:2" x14ac:dyDescent="0.25">
      <c r="B43" s="58" t="s">
        <v>46</v>
      </c>
    </row>
    <row r="44" spans="1:2" x14ac:dyDescent="0.25">
      <c r="B44" s="58" t="s">
        <v>47</v>
      </c>
    </row>
    <row r="45" spans="1:2" x14ac:dyDescent="0.25">
      <c r="A45" s="6"/>
    </row>
    <row r="46" spans="1:2" x14ac:dyDescent="0.25">
      <c r="A46" s="6"/>
    </row>
  </sheetData>
  <pageMargins left="0.7" right="0.7" top="0.75" bottom="0.75" header="0.3" footer="0.3"/>
  <pageSetup orientation="portrait" horizontalDpi="4294967293" verticalDpi="4294967293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674DA-0355-4E6F-BFA8-BD36AA2C2002}">
  <sheetPr>
    <tabColor rgb="FFFF66CC"/>
  </sheetPr>
  <dimension ref="A1:Y89"/>
  <sheetViews>
    <sheetView workbookViewId="0">
      <pane xSplit="1" ySplit="1" topLeftCell="B14" activePane="bottomRight" state="frozen"/>
      <selection pane="topRight" activeCell="B1" sqref="B1"/>
      <selection pane="bottomLeft" activeCell="A2" sqref="A2"/>
      <selection pane="bottomRight" activeCell="J1" sqref="J1"/>
    </sheetView>
  </sheetViews>
  <sheetFormatPr defaultRowHeight="15" outlineLevelCol="1" x14ac:dyDescent="0.25"/>
  <cols>
    <col min="1" max="1" width="10.5703125" customWidth="1" outlineLevel="1"/>
    <col min="2" max="2" width="9.28515625" customWidth="1" outlineLevel="1"/>
    <col min="3" max="3" width="37.140625" customWidth="1"/>
    <col min="4" max="4" width="7" customWidth="1" outlineLevel="1"/>
    <col min="5" max="5" width="19.42578125" customWidth="1" outlineLevel="1"/>
    <col min="6" max="6" width="20" customWidth="1" outlineLevel="1"/>
    <col min="7" max="7" width="19.5703125" bestFit="1" customWidth="1"/>
    <col min="8" max="8" width="12.42578125" customWidth="1" outlineLevel="1"/>
    <col min="9" max="9" width="14.140625" customWidth="1" outlineLevel="1"/>
    <col min="10" max="10" width="17.42578125" customWidth="1" outlineLevel="1"/>
    <col min="11" max="11" width="17.5703125" customWidth="1" outlineLevel="1"/>
    <col min="12" max="12" width="13.42578125" customWidth="1" outlineLevel="1"/>
    <col min="13" max="13" width="28.5703125" customWidth="1" outlineLevel="1"/>
    <col min="14" max="14" width="9" bestFit="1" customWidth="1"/>
    <col min="15" max="15" width="12.42578125" bestFit="1" customWidth="1"/>
    <col min="16" max="16" width="14.140625" customWidth="1" outlineLevel="1"/>
    <col min="17" max="17" width="9" bestFit="1" customWidth="1"/>
    <col min="18" max="18" width="68.42578125" customWidth="1" outlineLevel="1"/>
    <col min="19" max="19" width="17.42578125" customWidth="1" outlineLevel="1"/>
    <col min="20" max="20" width="15.140625" customWidth="1" outlineLevel="1"/>
    <col min="21" max="21" width="36.140625" customWidth="1" outlineLevel="1"/>
    <col min="22" max="22" width="13.140625" bestFit="1" customWidth="1"/>
    <col min="23" max="23" width="14.28515625" bestFit="1" customWidth="1"/>
    <col min="24" max="24" width="14.28515625" customWidth="1"/>
    <col min="25" max="25" width="16.7109375" bestFit="1" customWidth="1"/>
  </cols>
  <sheetData>
    <row r="1" spans="1:25" x14ac:dyDescent="0.25">
      <c r="A1" s="112" t="s">
        <v>137</v>
      </c>
      <c r="B1" s="33" t="str">
        <f>project!A$1</f>
        <v>prjc_id</v>
      </c>
      <c r="C1" s="33" t="str">
        <f>project!B$1</f>
        <v>prjc_uuid</v>
      </c>
      <c r="D1" s="15" t="str">
        <f>project_baf_parameter!A1</f>
        <v>prjc_id</v>
      </c>
      <c r="E1" s="15" t="str">
        <f>project_baf_parameter!B1</f>
        <v>prjc_low_buffer_lmt_nb</v>
      </c>
      <c r="F1" s="15" t="str">
        <f>project_baf_parameter!C1</f>
        <v>prjc_high_buffer_lmt_nb</v>
      </c>
      <c r="G1" s="15" t="str">
        <f>project_baf_parameter!D1</f>
        <v>prjc_prc_mth_ofst</v>
      </c>
      <c r="H1" s="148" t="str">
        <f>baf_monthly_fuel_price!A$1</f>
        <v>baf_loc_id</v>
      </c>
      <c r="I1" s="22" t="str">
        <f>baf_monthly_fuel_price!B$1</f>
        <v>(baf_loc_cd)</v>
      </c>
      <c r="J1" s="148" t="str">
        <f>baf_monthly_fuel_price!C$1</f>
        <v>baf_fuel_id</v>
      </c>
      <c r="K1" s="21" t="str">
        <f>baf_monthly_fuel_price!D$1</f>
        <v>(baf_fuel_cd)</v>
      </c>
      <c r="L1" s="148" t="str">
        <f>baf_monthly_fuel_price!E$1</f>
        <v>prc_mth_dt</v>
      </c>
      <c r="M1" s="148" t="str">
        <f>baf_monthly_fuel_price!F$1</f>
        <v>loc_mthly_avg_fuel_prc_am</v>
      </c>
      <c r="N1" s="30" t="str">
        <f>'project_baf_route_fuel_mixing_%'!A$1</f>
        <v>prjc_id</v>
      </c>
      <c r="O1" s="156" t="str">
        <f>project_baf_route_location!D$1</f>
        <v>baf_loc_id</v>
      </c>
      <c r="P1" s="22" t="str">
        <f>project_baf_route_location!E$1</f>
        <v>(baf_loc_cd)</v>
      </c>
      <c r="Q1" s="30" t="str">
        <f>'project_baf_route_fuel_mixing_%'!B$1</f>
        <v>rte_id</v>
      </c>
      <c r="R1" s="22" t="str">
        <f>'project_baf_route_fuel_mixing_%'!C1</f>
        <v>(Derived Route Name)</v>
      </c>
      <c r="S1" s="30" t="str">
        <f>'project_baf_route_fuel_mixing_%'!D$1</f>
        <v>baf_fuel_typ_id</v>
      </c>
      <c r="T1" s="21" t="str">
        <f>'project_baf_route_fuel_mixing_%'!E$1</f>
        <v>(baf_fuel_cd)</v>
      </c>
      <c r="U1" s="30" t="str">
        <f>'project_baf_route_fuel_mixing_%'!F$1</f>
        <v>fuel_mixing_pct_nb</v>
      </c>
      <c r="V1" s="39" t="s">
        <v>39</v>
      </c>
      <c r="W1" s="39" t="s">
        <v>40</v>
      </c>
      <c r="X1" s="39" t="s">
        <v>41</v>
      </c>
      <c r="Y1" s="39" t="s">
        <v>105</v>
      </c>
    </row>
    <row r="2" spans="1:25" s="4" customFormat="1" x14ac:dyDescent="0.25">
      <c r="B2" s="113"/>
      <c r="C2" s="113"/>
      <c r="D2" s="46"/>
      <c r="E2" s="46"/>
      <c r="F2" s="46"/>
      <c r="G2" s="46"/>
      <c r="H2" s="114"/>
      <c r="I2" s="115"/>
      <c r="J2" s="114"/>
      <c r="K2" s="46"/>
      <c r="L2" s="114"/>
      <c r="M2" s="141"/>
      <c r="N2" s="46"/>
      <c r="O2" s="46"/>
      <c r="P2" s="46"/>
      <c r="Q2" s="46"/>
      <c r="R2" s="46"/>
      <c r="S2" s="46"/>
      <c r="T2" s="46"/>
      <c r="U2" s="52"/>
      <c r="V2" s="46"/>
      <c r="W2" s="46"/>
      <c r="X2" s="46"/>
      <c r="Y2" s="52"/>
    </row>
    <row r="3" spans="1:25" x14ac:dyDescent="0.25">
      <c r="A3" s="116" t="s">
        <v>138</v>
      </c>
      <c r="B3" s="34">
        <f>project!A$2</f>
        <v>12345</v>
      </c>
      <c r="C3" s="35" t="str">
        <f>project!B$2</f>
        <v>228b4088-8661-11eb-8dcd-0242ac130003</v>
      </c>
      <c r="D3" s="34">
        <f>project_baf_parameter!A$2</f>
        <v>12345</v>
      </c>
      <c r="E3" s="17">
        <f>project_baf_parameter!B$2</f>
        <v>-0.15</v>
      </c>
      <c r="F3" s="17">
        <f>project_baf_parameter!C$2</f>
        <v>0.15</v>
      </c>
      <c r="G3" s="17">
        <f>project_baf_parameter!D$2</f>
        <v>3</v>
      </c>
      <c r="H3" s="16">
        <f>baf_monthly_fuel_price!A$2</f>
        <v>71</v>
      </c>
      <c r="I3" s="22" t="str">
        <f>baf_monthly_fuel_price!B$2</f>
        <v>(Houston)</v>
      </c>
      <c r="J3" s="16">
        <f>baf_monthly_fuel_price!C$2</f>
        <v>121</v>
      </c>
      <c r="K3" s="22" t="str">
        <f>baf_monthly_fuel_price!D$2</f>
        <v>(MGO)</v>
      </c>
      <c r="L3" s="83">
        <f>baf_monthly_fuel_price!E$2</f>
        <v>44197</v>
      </c>
      <c r="M3" s="117">
        <f>baf_monthly_fuel_price!F$2</f>
        <v>976</v>
      </c>
      <c r="N3" s="16">
        <f>'project_baf_route_fuel_mixing_%'!A$2</f>
        <v>12345</v>
      </c>
      <c r="O3" s="16">
        <f>project_baf_route_location!D$2</f>
        <v>71</v>
      </c>
      <c r="P3" s="22" t="str">
        <f>project_baf_route_location!E$2</f>
        <v>(Houston)</v>
      </c>
      <c r="Q3" s="16">
        <f>'project_baf_route_fuel_mixing_%'!B$2</f>
        <v>250</v>
      </c>
      <c r="R3" s="22" t="str">
        <f>'project_baf_route_fuel_mixing_%'!C2</f>
        <v>(10 - US GULF COAST - SCANDINAVIA, BALTIC)</v>
      </c>
      <c r="S3" s="16">
        <f>'project_baf_route_fuel_mixing_%'!D$2</f>
        <v>121</v>
      </c>
      <c r="T3" s="22" t="str">
        <f>'project_baf_route_fuel_mixing_%'!E$2</f>
        <v>(MGO)</v>
      </c>
      <c r="U3" s="117">
        <f>'project_baf_route_fuel_mixing_%'!F$2</f>
        <v>0.4</v>
      </c>
      <c r="V3" s="38">
        <f>L3</f>
        <v>44197</v>
      </c>
      <c r="W3" s="38">
        <f>DATE(YEAR(V3+(G3*31)),MONTH(V3+(G3*31)),1)</f>
        <v>44287</v>
      </c>
      <c r="X3" s="38">
        <f>DATE(YEAR(V3+((G3+1)*31)),MONTH(V3+((G3+1)*31)),1)-0.00001</f>
        <v>44316.999989999997</v>
      </c>
      <c r="Y3" s="49">
        <f>M3*U3</f>
        <v>390.40000000000003</v>
      </c>
    </row>
    <row r="4" spans="1:25" x14ac:dyDescent="0.25">
      <c r="A4" s="116" t="s">
        <v>138</v>
      </c>
      <c r="B4" s="34">
        <f>project!A$2</f>
        <v>12345</v>
      </c>
      <c r="C4" s="35" t="str">
        <f>project!B$2</f>
        <v>228b4088-8661-11eb-8dcd-0242ac130003</v>
      </c>
      <c r="D4" s="34">
        <f>project_baf_parameter!A$2</f>
        <v>12345</v>
      </c>
      <c r="E4" s="17">
        <f>project_baf_parameter!B$2</f>
        <v>-0.15</v>
      </c>
      <c r="F4" s="17">
        <f>project_baf_parameter!C$2</f>
        <v>0.15</v>
      </c>
      <c r="G4" s="17">
        <f>project_baf_parameter!D$2</f>
        <v>3</v>
      </c>
      <c r="H4" s="16">
        <f>baf_monthly_fuel_price!A$3</f>
        <v>71</v>
      </c>
      <c r="I4" s="22" t="str">
        <f>baf_monthly_fuel_price!B$3</f>
        <v>(Houston)</v>
      </c>
      <c r="J4" s="16">
        <f>baf_monthly_fuel_price!C$3</f>
        <v>122</v>
      </c>
      <c r="K4" s="22" t="str">
        <f>baf_monthly_fuel_price!D$3</f>
        <v>(LSFO)</v>
      </c>
      <c r="L4" s="83">
        <f>baf_monthly_fuel_price!E$3</f>
        <v>44197</v>
      </c>
      <c r="M4" s="117">
        <f>baf_monthly_fuel_price!F$3</f>
        <v>854</v>
      </c>
      <c r="N4" s="16">
        <f>'project_baf_route_fuel_mixing_%'!A$3</f>
        <v>12345</v>
      </c>
      <c r="O4" s="16">
        <f>project_baf_route_location!D$2</f>
        <v>71</v>
      </c>
      <c r="P4" s="22" t="str">
        <f>project_baf_route_location!E$2</f>
        <v>(Houston)</v>
      </c>
      <c r="Q4" s="16">
        <f>'project_baf_route_fuel_mixing_%'!B$3</f>
        <v>250</v>
      </c>
      <c r="R4" s="22" t="str">
        <f>'project_baf_route_fuel_mixing_%'!C3</f>
        <v>(10 - US GULF COAST - SCANDINAVIA, BALTIC)</v>
      </c>
      <c r="S4" s="16">
        <f>'project_baf_route_fuel_mixing_%'!D$3</f>
        <v>122</v>
      </c>
      <c r="T4" s="22" t="str">
        <f>'project_baf_route_fuel_mixing_%'!E$3</f>
        <v>(LSFO)</v>
      </c>
      <c r="U4" s="117">
        <f>'project_baf_route_fuel_mixing_%'!F$3</f>
        <v>0.6</v>
      </c>
      <c r="V4" s="38">
        <f t="shared" ref="V4:V10" si="0">L4</f>
        <v>44197</v>
      </c>
      <c r="W4" s="38">
        <f t="shared" ref="W4:W10" si="1">DATE(YEAR(V4+(G4*31)),MONTH(V4+(G4*31)),1)</f>
        <v>44287</v>
      </c>
      <c r="X4" s="38">
        <f t="shared" ref="X4:X10" si="2">DATE(YEAR(V4+((G4+1)*31)),MONTH(V4+((G4+1)*31)),1)-0.00001</f>
        <v>44316.999989999997</v>
      </c>
      <c r="Y4" s="49">
        <f t="shared" ref="Y4:Y10" si="3">M4*U4</f>
        <v>512.4</v>
      </c>
    </row>
    <row r="5" spans="1:25" x14ac:dyDescent="0.25">
      <c r="A5" s="116" t="s">
        <v>138</v>
      </c>
      <c r="B5" s="34">
        <f>project!A$2</f>
        <v>12345</v>
      </c>
      <c r="C5" s="35" t="str">
        <f>project!B$2</f>
        <v>228b4088-8661-11eb-8dcd-0242ac130003</v>
      </c>
      <c r="D5" s="34">
        <f>project_baf_parameter!A$2</f>
        <v>12345</v>
      </c>
      <c r="E5" s="17">
        <f>project_baf_parameter!B$2</f>
        <v>-0.15</v>
      </c>
      <c r="F5" s="17">
        <f>project_baf_parameter!C$2</f>
        <v>0.15</v>
      </c>
      <c r="G5" s="17">
        <f>project_baf_parameter!D$2</f>
        <v>3</v>
      </c>
      <c r="H5" s="16">
        <f>baf_monthly_fuel_price!A$2</f>
        <v>71</v>
      </c>
      <c r="I5" s="22" t="str">
        <f>baf_monthly_fuel_price!B$2</f>
        <v>(Houston)</v>
      </c>
      <c r="J5" s="16">
        <f>baf_monthly_fuel_price!C$2</f>
        <v>121</v>
      </c>
      <c r="K5" s="22" t="str">
        <f>baf_monthly_fuel_price!D$2</f>
        <v>(MGO)</v>
      </c>
      <c r="L5" s="83">
        <f>baf_monthly_fuel_price!E$2</f>
        <v>44197</v>
      </c>
      <c r="M5" s="117">
        <f>baf_monthly_fuel_price!F$2</f>
        <v>976</v>
      </c>
      <c r="N5" s="16">
        <f>'project_baf_route_fuel_mixing_%'!A$4</f>
        <v>12345</v>
      </c>
      <c r="O5" s="16">
        <f>project_baf_route_location!D$3</f>
        <v>71</v>
      </c>
      <c r="P5" s="22" t="str">
        <f>project_baf_route_location!E$3</f>
        <v>(Houston)</v>
      </c>
      <c r="Q5" s="16">
        <f>'project_baf_route_fuel_mixing_%'!B$4</f>
        <v>251</v>
      </c>
      <c r="R5" s="22" t="str">
        <f>'project_baf_route_fuel_mixing_%'!C4</f>
        <v>(11 - US GULF COAST - CONTINENTAL EUROPE, UNITED KINGDOM, IRELAND)</v>
      </c>
      <c r="S5" s="16">
        <f>'project_baf_route_fuel_mixing_%'!D$4</f>
        <v>121</v>
      </c>
      <c r="T5" s="22" t="str">
        <f>'project_baf_route_fuel_mixing_%'!E$4</f>
        <v>(MGO)</v>
      </c>
      <c r="U5" s="117">
        <f>'project_baf_route_fuel_mixing_%'!F$4</f>
        <v>0.2</v>
      </c>
      <c r="V5" s="38">
        <f t="shared" si="0"/>
        <v>44197</v>
      </c>
      <c r="W5" s="38">
        <f t="shared" si="1"/>
        <v>44287</v>
      </c>
      <c r="X5" s="38">
        <f t="shared" si="2"/>
        <v>44316.999989999997</v>
      </c>
      <c r="Y5" s="49">
        <f t="shared" si="3"/>
        <v>195.20000000000002</v>
      </c>
    </row>
    <row r="6" spans="1:25" x14ac:dyDescent="0.25">
      <c r="A6" s="116" t="s">
        <v>138</v>
      </c>
      <c r="B6" s="34">
        <f>project!A$2</f>
        <v>12345</v>
      </c>
      <c r="C6" s="35" t="str">
        <f>project!B$2</f>
        <v>228b4088-8661-11eb-8dcd-0242ac130003</v>
      </c>
      <c r="D6" s="34">
        <f>project_baf_parameter!A$2</f>
        <v>12345</v>
      </c>
      <c r="E6" s="17">
        <f>project_baf_parameter!B$2</f>
        <v>-0.15</v>
      </c>
      <c r="F6" s="17">
        <f>project_baf_parameter!C$2</f>
        <v>0.15</v>
      </c>
      <c r="G6" s="17">
        <f>project_baf_parameter!D$2</f>
        <v>3</v>
      </c>
      <c r="H6" s="16">
        <f>baf_monthly_fuel_price!A$3</f>
        <v>71</v>
      </c>
      <c r="I6" s="22" t="str">
        <f>baf_monthly_fuel_price!B$3</f>
        <v>(Houston)</v>
      </c>
      <c r="J6" s="16">
        <f>baf_monthly_fuel_price!C$3</f>
        <v>122</v>
      </c>
      <c r="K6" s="22" t="str">
        <f>baf_monthly_fuel_price!D$3</f>
        <v>(LSFO)</v>
      </c>
      <c r="L6" s="83">
        <f>baf_monthly_fuel_price!E$3</f>
        <v>44197</v>
      </c>
      <c r="M6" s="117">
        <f>baf_monthly_fuel_price!F$3</f>
        <v>854</v>
      </c>
      <c r="N6" s="16">
        <f>'project_baf_route_fuel_mixing_%'!A$5</f>
        <v>12345</v>
      </c>
      <c r="O6" s="16">
        <f>project_baf_route_location!D$3</f>
        <v>71</v>
      </c>
      <c r="P6" s="22" t="str">
        <f>project_baf_route_location!E$3</f>
        <v>(Houston)</v>
      </c>
      <c r="Q6" s="16">
        <f>'project_baf_route_fuel_mixing_%'!B$5</f>
        <v>251</v>
      </c>
      <c r="R6" s="22" t="str">
        <f>'project_baf_route_fuel_mixing_%'!C5</f>
        <v>(11 - US GULF COAST - CONTINENTAL EUROPE, UNITED KINGDOM, IRELAND)</v>
      </c>
      <c r="S6" s="16">
        <f>'project_baf_route_fuel_mixing_%'!D$5</f>
        <v>122</v>
      </c>
      <c r="T6" s="22" t="str">
        <f>'project_baf_route_fuel_mixing_%'!E$5</f>
        <v>(LSFO)</v>
      </c>
      <c r="U6" s="117">
        <f>'project_baf_route_fuel_mixing_%'!F$5</f>
        <v>0.8</v>
      </c>
      <c r="V6" s="38">
        <f t="shared" si="0"/>
        <v>44197</v>
      </c>
      <c r="W6" s="38">
        <f t="shared" si="1"/>
        <v>44287</v>
      </c>
      <c r="X6" s="38">
        <f t="shared" si="2"/>
        <v>44316.999989999997</v>
      </c>
      <c r="Y6" s="49">
        <f t="shared" si="3"/>
        <v>683.2</v>
      </c>
    </row>
    <row r="7" spans="1:25" x14ac:dyDescent="0.25">
      <c r="A7" s="116" t="s">
        <v>138</v>
      </c>
      <c r="B7" s="34">
        <f>project!A$2</f>
        <v>12345</v>
      </c>
      <c r="C7" s="35" t="str">
        <f>project!B$2</f>
        <v>228b4088-8661-11eb-8dcd-0242ac130003</v>
      </c>
      <c r="D7" s="34">
        <f>project_baf_parameter!A$2</f>
        <v>12345</v>
      </c>
      <c r="E7" s="17">
        <f>project_baf_parameter!B$2</f>
        <v>-0.15</v>
      </c>
      <c r="F7" s="17">
        <f>project_baf_parameter!C$2</f>
        <v>0.15</v>
      </c>
      <c r="G7" s="17">
        <f>project_baf_parameter!D$2</f>
        <v>3</v>
      </c>
      <c r="H7" s="16">
        <f>baf_monthly_fuel_price!A$4</f>
        <v>72</v>
      </c>
      <c r="I7" s="22" t="str">
        <f>baf_monthly_fuel_price!B$4</f>
        <v>(Los Angeles)</v>
      </c>
      <c r="J7" s="16">
        <f>baf_monthly_fuel_price!C$4</f>
        <v>121</v>
      </c>
      <c r="K7" s="22" t="str">
        <f>baf_monthly_fuel_price!D$4</f>
        <v>(MGO)</v>
      </c>
      <c r="L7" s="83">
        <f>baf_monthly_fuel_price!E$4</f>
        <v>44197</v>
      </c>
      <c r="M7" s="117">
        <f>baf_monthly_fuel_price!F$4</f>
        <v>800</v>
      </c>
      <c r="N7" s="16">
        <f>'project_baf_route_fuel_mixing_%'!A$6</f>
        <v>12345</v>
      </c>
      <c r="O7" s="16">
        <f>project_baf_route_location!D$4</f>
        <v>72</v>
      </c>
      <c r="P7" s="22" t="str">
        <f>project_baf_route_location!E$4</f>
        <v>(Los Angeles)</v>
      </c>
      <c r="Q7" s="16">
        <f>'project_baf_route_fuel_mixing_%'!B$6</f>
        <v>252</v>
      </c>
      <c r="R7" s="22" t="str">
        <f>'project_baf_route_fuel_mixing_%'!C6</f>
        <v>(12 - US GULF COAST - MEDITERRANEAN)</v>
      </c>
      <c r="S7" s="16">
        <f>'project_baf_route_fuel_mixing_%'!D$6</f>
        <v>121</v>
      </c>
      <c r="T7" s="22" t="str">
        <f>'project_baf_route_fuel_mixing_%'!E$6</f>
        <v>(MGO)</v>
      </c>
      <c r="U7" s="117">
        <f>'project_baf_route_fuel_mixing_%'!F$6</f>
        <v>0.35</v>
      </c>
      <c r="V7" s="38">
        <f t="shared" si="0"/>
        <v>44197</v>
      </c>
      <c r="W7" s="38">
        <f t="shared" si="1"/>
        <v>44287</v>
      </c>
      <c r="X7" s="38">
        <f t="shared" si="2"/>
        <v>44316.999989999997</v>
      </c>
      <c r="Y7" s="49">
        <f t="shared" si="3"/>
        <v>280</v>
      </c>
    </row>
    <row r="8" spans="1:25" x14ac:dyDescent="0.25">
      <c r="A8" s="116" t="s">
        <v>138</v>
      </c>
      <c r="B8" s="34">
        <f>project!A$2</f>
        <v>12345</v>
      </c>
      <c r="C8" s="35" t="str">
        <f>project!B$2</f>
        <v>228b4088-8661-11eb-8dcd-0242ac130003</v>
      </c>
      <c r="D8" s="34">
        <f>project_baf_parameter!A$2</f>
        <v>12345</v>
      </c>
      <c r="E8" s="17">
        <f>project_baf_parameter!B$2</f>
        <v>-0.15</v>
      </c>
      <c r="F8" s="17">
        <f>project_baf_parameter!C$2</f>
        <v>0.15</v>
      </c>
      <c r="G8" s="17">
        <f>project_baf_parameter!D$2</f>
        <v>3</v>
      </c>
      <c r="H8" s="16">
        <f>baf_monthly_fuel_price!A$5</f>
        <v>72</v>
      </c>
      <c r="I8" s="22" t="str">
        <f>baf_monthly_fuel_price!B$5</f>
        <v>(Los Angeles)</v>
      </c>
      <c r="J8" s="16">
        <f>baf_monthly_fuel_price!C$5</f>
        <v>122</v>
      </c>
      <c r="K8" s="22" t="str">
        <f>baf_monthly_fuel_price!D$5</f>
        <v>(LSFO)</v>
      </c>
      <c r="L8" s="83">
        <f>baf_monthly_fuel_price!E$5</f>
        <v>44197</v>
      </c>
      <c r="M8" s="117">
        <f>baf_monthly_fuel_price!F$5</f>
        <v>750</v>
      </c>
      <c r="N8" s="16">
        <f>'project_baf_route_fuel_mixing_%'!A$7</f>
        <v>12345</v>
      </c>
      <c r="O8" s="16">
        <f>project_baf_route_location!D$4</f>
        <v>72</v>
      </c>
      <c r="P8" s="22" t="str">
        <f>project_baf_route_location!E$4</f>
        <v>(Los Angeles)</v>
      </c>
      <c r="Q8" s="16">
        <f>'project_baf_route_fuel_mixing_%'!B$7</f>
        <v>252</v>
      </c>
      <c r="R8" s="22" t="str">
        <f>'project_baf_route_fuel_mixing_%'!C7</f>
        <v>(12 - US GULF COAST - MEDITERRANEAN)</v>
      </c>
      <c r="S8" s="16">
        <f>'project_baf_route_fuel_mixing_%'!D$7</f>
        <v>122</v>
      </c>
      <c r="T8" s="22" t="str">
        <f>'project_baf_route_fuel_mixing_%'!E$7</f>
        <v>(LSFO)</v>
      </c>
      <c r="U8" s="117">
        <f>'project_baf_route_fuel_mixing_%'!F$7</f>
        <v>0.65</v>
      </c>
      <c r="V8" s="38">
        <f t="shared" si="0"/>
        <v>44197</v>
      </c>
      <c r="W8" s="38">
        <f t="shared" si="1"/>
        <v>44287</v>
      </c>
      <c r="X8" s="38">
        <f t="shared" si="2"/>
        <v>44316.999989999997</v>
      </c>
      <c r="Y8" s="49">
        <f t="shared" si="3"/>
        <v>487.5</v>
      </c>
    </row>
    <row r="9" spans="1:25" x14ac:dyDescent="0.25">
      <c r="A9" s="116" t="s">
        <v>138</v>
      </c>
      <c r="B9" s="34">
        <f>project!A$2</f>
        <v>12345</v>
      </c>
      <c r="C9" s="35" t="str">
        <f>project!B$2</f>
        <v>228b4088-8661-11eb-8dcd-0242ac130003</v>
      </c>
      <c r="D9" s="34">
        <f>project_baf_parameter!A$2</f>
        <v>12345</v>
      </c>
      <c r="E9" s="17">
        <f>project_baf_parameter!B$2</f>
        <v>-0.15</v>
      </c>
      <c r="F9" s="17">
        <f>project_baf_parameter!C$2</f>
        <v>0.15</v>
      </c>
      <c r="G9" s="17">
        <f>project_baf_parameter!D$2</f>
        <v>3</v>
      </c>
      <c r="H9" s="16">
        <f>baf_monthly_fuel_price!A$4</f>
        <v>72</v>
      </c>
      <c r="I9" s="22" t="str">
        <f>baf_monthly_fuel_price!B$4</f>
        <v>(Los Angeles)</v>
      </c>
      <c r="J9" s="16">
        <f>baf_monthly_fuel_price!C$4</f>
        <v>121</v>
      </c>
      <c r="K9" s="22" t="str">
        <f>baf_monthly_fuel_price!D$4</f>
        <v>(MGO)</v>
      </c>
      <c r="L9" s="83">
        <f>baf_monthly_fuel_price!E$4</f>
        <v>44197</v>
      </c>
      <c r="M9" s="117">
        <f>baf_monthly_fuel_price!F$4</f>
        <v>800</v>
      </c>
      <c r="N9" s="16">
        <f>'project_baf_route_fuel_mixing_%'!A$8</f>
        <v>12345</v>
      </c>
      <c r="O9" s="16">
        <f>project_baf_route_location!D$5</f>
        <v>72</v>
      </c>
      <c r="P9" s="22" t="str">
        <f>project_baf_route_location!E$5</f>
        <v>(Los Angeles)</v>
      </c>
      <c r="Q9" s="16">
        <f>'project_baf_route_fuel_mixing_%'!B$8</f>
        <v>253</v>
      </c>
      <c r="R9" s="22" t="str">
        <f>'project_baf_route_fuel_mixing_%'!C8</f>
        <v>(13 - US GULF COAST - MIDDLE EAST, SOUTH ASIA, INDIAN OCEAN)</v>
      </c>
      <c r="S9" s="16">
        <f>'project_baf_route_fuel_mixing_%'!D$8</f>
        <v>121</v>
      </c>
      <c r="T9" s="22" t="str">
        <f>'project_baf_route_fuel_mixing_%'!E$8</f>
        <v>(MGO)</v>
      </c>
      <c r="U9" s="117">
        <f>'project_baf_route_fuel_mixing_%'!F$8</f>
        <v>0.28999999999999998</v>
      </c>
      <c r="V9" s="38">
        <f t="shared" si="0"/>
        <v>44197</v>
      </c>
      <c r="W9" s="38">
        <f t="shared" si="1"/>
        <v>44287</v>
      </c>
      <c r="X9" s="38">
        <f t="shared" si="2"/>
        <v>44316.999989999997</v>
      </c>
      <c r="Y9" s="49">
        <f t="shared" si="3"/>
        <v>231.99999999999997</v>
      </c>
    </row>
    <row r="10" spans="1:25" x14ac:dyDescent="0.25">
      <c r="A10" s="116" t="s">
        <v>138</v>
      </c>
      <c r="B10" s="34">
        <f>project!A$2</f>
        <v>12345</v>
      </c>
      <c r="C10" s="35" t="str">
        <f>project!B$2</f>
        <v>228b4088-8661-11eb-8dcd-0242ac130003</v>
      </c>
      <c r="D10" s="34">
        <f>project_baf_parameter!A$2</f>
        <v>12345</v>
      </c>
      <c r="E10" s="17">
        <f>project_baf_parameter!B$2</f>
        <v>-0.15</v>
      </c>
      <c r="F10" s="17">
        <f>project_baf_parameter!C$2</f>
        <v>0.15</v>
      </c>
      <c r="G10" s="17">
        <f>project_baf_parameter!D$2</f>
        <v>3</v>
      </c>
      <c r="H10" s="16">
        <f>baf_monthly_fuel_price!A$5</f>
        <v>72</v>
      </c>
      <c r="I10" s="22" t="str">
        <f>baf_monthly_fuel_price!B$5</f>
        <v>(Los Angeles)</v>
      </c>
      <c r="J10" s="16">
        <f>baf_monthly_fuel_price!C$5</f>
        <v>122</v>
      </c>
      <c r="K10" s="22" t="str">
        <f>baf_monthly_fuel_price!D$5</f>
        <v>(LSFO)</v>
      </c>
      <c r="L10" s="83">
        <f>baf_monthly_fuel_price!E$5</f>
        <v>44197</v>
      </c>
      <c r="M10" s="117">
        <f>baf_monthly_fuel_price!F$5</f>
        <v>750</v>
      </c>
      <c r="N10" s="16">
        <f>'project_baf_route_fuel_mixing_%'!A$9</f>
        <v>12345</v>
      </c>
      <c r="O10" s="16">
        <f>project_baf_route_location!D$5</f>
        <v>72</v>
      </c>
      <c r="P10" s="22" t="str">
        <f>project_baf_route_location!E$5</f>
        <v>(Los Angeles)</v>
      </c>
      <c r="Q10" s="16">
        <f>'project_baf_route_fuel_mixing_%'!B$9</f>
        <v>253</v>
      </c>
      <c r="R10" s="22" t="str">
        <f>'project_baf_route_fuel_mixing_%'!C9</f>
        <v>(13 - US GULF COAST - MIDDLE EAST, SOUTH ASIA, INDIAN OCEAN)</v>
      </c>
      <c r="S10" s="16">
        <f>'project_baf_route_fuel_mixing_%'!D$9</f>
        <v>122</v>
      </c>
      <c r="T10" s="22" t="str">
        <f>'project_baf_route_fuel_mixing_%'!E$9</f>
        <v>(LSFO)</v>
      </c>
      <c r="U10" s="117">
        <f>'project_baf_route_fuel_mixing_%'!F$9</f>
        <v>0.71</v>
      </c>
      <c r="V10" s="38">
        <f t="shared" si="0"/>
        <v>44197</v>
      </c>
      <c r="W10" s="38">
        <f t="shared" si="1"/>
        <v>44287</v>
      </c>
      <c r="X10" s="38">
        <f t="shared" si="2"/>
        <v>44316.999989999997</v>
      </c>
      <c r="Y10" s="49">
        <f t="shared" si="3"/>
        <v>532.5</v>
      </c>
    </row>
    <row r="11" spans="1:25" s="4" customFormat="1" x14ac:dyDescent="0.25">
      <c r="M11" s="40"/>
      <c r="U11" s="40"/>
      <c r="Y11" s="40"/>
    </row>
    <row r="12" spans="1:25" s="13" customFormat="1" x14ac:dyDescent="0.25">
      <c r="B12" s="36"/>
      <c r="C12" s="14" t="s">
        <v>9</v>
      </c>
      <c r="D12" s="36"/>
      <c r="E12" s="36"/>
      <c r="F12" s="36"/>
      <c r="G12" s="14" t="s">
        <v>9</v>
      </c>
      <c r="H12" s="36"/>
      <c r="I12" s="36"/>
      <c r="J12" s="36"/>
      <c r="K12" s="36"/>
      <c r="L12" s="36"/>
      <c r="M12" s="140"/>
      <c r="N12" s="14" t="s">
        <v>9</v>
      </c>
      <c r="O12" s="14" t="s">
        <v>9</v>
      </c>
      <c r="P12" s="36"/>
      <c r="Q12" s="14" t="s">
        <v>9</v>
      </c>
      <c r="R12" s="36"/>
      <c r="S12" s="36"/>
      <c r="T12" s="36"/>
      <c r="U12" s="140"/>
      <c r="V12" s="14" t="s">
        <v>9</v>
      </c>
      <c r="W12" s="14" t="s">
        <v>9</v>
      </c>
      <c r="X12" s="14" t="s">
        <v>9</v>
      </c>
      <c r="Y12" s="138" t="s">
        <v>9</v>
      </c>
    </row>
    <row r="13" spans="1:25" s="13" customFormat="1" x14ac:dyDescent="0.25">
      <c r="C13" s="13" t="s">
        <v>10</v>
      </c>
      <c r="G13" s="13" t="s">
        <v>10</v>
      </c>
      <c r="M13" s="139"/>
      <c r="N13" s="13" t="s">
        <v>10</v>
      </c>
      <c r="O13" s="13" t="s">
        <v>10</v>
      </c>
      <c r="Q13" s="13" t="s">
        <v>10</v>
      </c>
      <c r="U13" s="139"/>
      <c r="V13" s="13" t="s">
        <v>19</v>
      </c>
      <c r="W13" s="13" t="s">
        <v>19</v>
      </c>
      <c r="X13" s="13" t="s">
        <v>19</v>
      </c>
      <c r="Y13" s="139" t="s">
        <v>11</v>
      </c>
    </row>
    <row r="14" spans="1:25" x14ac:dyDescent="0.25">
      <c r="M14" s="32"/>
      <c r="U14" s="32"/>
      <c r="Y14" s="32"/>
    </row>
    <row r="15" spans="1:25" x14ac:dyDescent="0.25">
      <c r="C15" t="str">
        <f>C3</f>
        <v>228b4088-8661-11eb-8dcd-0242ac130003</v>
      </c>
      <c r="G15">
        <f>G3</f>
        <v>3</v>
      </c>
      <c r="J15" s="7"/>
      <c r="K15" s="8"/>
      <c r="L15" s="8"/>
      <c r="M15" s="32"/>
      <c r="N15">
        <f>N3</f>
        <v>12345</v>
      </c>
      <c r="O15">
        <f>O3</f>
        <v>71</v>
      </c>
      <c r="P15" s="31" t="str">
        <f>P3</f>
        <v>(Houston)</v>
      </c>
      <c r="Q15">
        <f>Q3</f>
        <v>250</v>
      </c>
      <c r="R15" s="31" t="str">
        <f>R3</f>
        <v>(10 - US GULF COAST - SCANDINAVIA, BALTIC)</v>
      </c>
      <c r="U15" s="32"/>
      <c r="V15" s="8">
        <f>V3</f>
        <v>44197</v>
      </c>
      <c r="W15" s="8">
        <f>W3</f>
        <v>44287</v>
      </c>
      <c r="X15" s="8">
        <f>X3</f>
        <v>44316.999989999997</v>
      </c>
      <c r="Y15" s="40">
        <f>SUM(Y3:Y4)</f>
        <v>902.8</v>
      </c>
    </row>
    <row r="16" spans="1:25" x14ac:dyDescent="0.25">
      <c r="C16" t="str">
        <f>C5</f>
        <v>228b4088-8661-11eb-8dcd-0242ac130003</v>
      </c>
      <c r="G16">
        <f>G5</f>
        <v>3</v>
      </c>
      <c r="J16" s="7"/>
      <c r="K16" s="8"/>
      <c r="L16" s="8"/>
      <c r="M16" s="32"/>
      <c r="N16">
        <f>N5</f>
        <v>12345</v>
      </c>
      <c r="O16">
        <f>O5</f>
        <v>71</v>
      </c>
      <c r="P16" s="31" t="str">
        <f>P5</f>
        <v>(Houston)</v>
      </c>
      <c r="Q16">
        <f>Q5</f>
        <v>251</v>
      </c>
      <c r="R16" s="31" t="str">
        <f>R5</f>
        <v>(11 - US GULF COAST - CONTINENTAL EUROPE, UNITED KINGDOM, IRELAND)</v>
      </c>
      <c r="U16" s="32"/>
      <c r="V16" s="8">
        <f t="shared" ref="V16:W18" si="4">V4</f>
        <v>44197</v>
      </c>
      <c r="W16" s="8">
        <f t="shared" si="4"/>
        <v>44287</v>
      </c>
      <c r="X16" s="8">
        <f>X4</f>
        <v>44316.999989999997</v>
      </c>
      <c r="Y16" s="32">
        <f>SUM(Y5:Y6)</f>
        <v>878.40000000000009</v>
      </c>
    </row>
    <row r="17" spans="1:25" x14ac:dyDescent="0.25">
      <c r="C17" t="str">
        <f>C7</f>
        <v>228b4088-8661-11eb-8dcd-0242ac130003</v>
      </c>
      <c r="G17">
        <f>G7</f>
        <v>3</v>
      </c>
      <c r="J17" s="7"/>
      <c r="K17" s="8"/>
      <c r="L17" s="8"/>
      <c r="M17" s="32"/>
      <c r="N17">
        <f>N7</f>
        <v>12345</v>
      </c>
      <c r="O17">
        <f>O7</f>
        <v>72</v>
      </c>
      <c r="P17" s="31" t="str">
        <f>P7</f>
        <v>(Los Angeles)</v>
      </c>
      <c r="Q17">
        <f>Q7</f>
        <v>252</v>
      </c>
      <c r="R17" s="31" t="str">
        <f>R7</f>
        <v>(12 - US GULF COAST - MEDITERRANEAN)</v>
      </c>
      <c r="U17" s="32"/>
      <c r="V17" s="8">
        <f t="shared" si="4"/>
        <v>44197</v>
      </c>
      <c r="W17" s="8">
        <f t="shared" si="4"/>
        <v>44287</v>
      </c>
      <c r="X17" s="8">
        <f>X5</f>
        <v>44316.999989999997</v>
      </c>
      <c r="Y17" s="32">
        <f>SUM(Y7:Y8)</f>
        <v>767.5</v>
      </c>
    </row>
    <row r="18" spans="1:25" x14ac:dyDescent="0.25">
      <c r="C18" t="str">
        <f>C9</f>
        <v>228b4088-8661-11eb-8dcd-0242ac130003</v>
      </c>
      <c r="G18">
        <f>G9</f>
        <v>3</v>
      </c>
      <c r="J18" s="7"/>
      <c r="K18" s="8"/>
      <c r="L18" s="8"/>
      <c r="M18" s="32"/>
      <c r="N18">
        <f>N9</f>
        <v>12345</v>
      </c>
      <c r="O18">
        <f>O9</f>
        <v>72</v>
      </c>
      <c r="P18" s="31" t="str">
        <f>P9</f>
        <v>(Los Angeles)</v>
      </c>
      <c r="Q18">
        <f>Q9</f>
        <v>253</v>
      </c>
      <c r="R18" s="31" t="str">
        <f>R9</f>
        <v>(13 - US GULF COAST - MIDDLE EAST, SOUTH ASIA, INDIAN OCEAN)</v>
      </c>
      <c r="U18" s="32"/>
      <c r="V18" s="8">
        <f t="shared" si="4"/>
        <v>44197</v>
      </c>
      <c r="W18" s="8">
        <f t="shared" si="4"/>
        <v>44287</v>
      </c>
      <c r="X18" s="8">
        <f>X6</f>
        <v>44316.999989999997</v>
      </c>
      <c r="Y18" s="32">
        <f>SUM(Y9:Y10)</f>
        <v>764.5</v>
      </c>
    </row>
    <row r="19" spans="1:25" x14ac:dyDescent="0.25">
      <c r="J19" s="7"/>
      <c r="K19" s="8"/>
      <c r="L19" s="8"/>
      <c r="M19" s="32"/>
      <c r="P19" s="31"/>
      <c r="R19" s="31"/>
      <c r="U19" s="32"/>
      <c r="V19" s="8"/>
      <c r="W19" s="8"/>
      <c r="X19" s="8"/>
      <c r="Y19" s="32"/>
    </row>
    <row r="20" spans="1:25" x14ac:dyDescent="0.25">
      <c r="A20" s="116" t="s">
        <v>140</v>
      </c>
      <c r="B20" s="34">
        <f>project!A$2</f>
        <v>12345</v>
      </c>
      <c r="C20" s="35" t="str">
        <f>project!B$2</f>
        <v>228b4088-8661-11eb-8dcd-0242ac130003</v>
      </c>
      <c r="D20" s="34">
        <f>project_baf_parameter!A$2</f>
        <v>12345</v>
      </c>
      <c r="E20" s="17">
        <f>project_baf_parameter!B$2</f>
        <v>-0.15</v>
      </c>
      <c r="F20" s="17">
        <f>project_baf_parameter!C$2</f>
        <v>0.15</v>
      </c>
      <c r="G20" s="17">
        <f>project_baf_parameter!D$2</f>
        <v>3</v>
      </c>
      <c r="H20" s="16">
        <f>baf_monthly_fuel_price!A$6</f>
        <v>71</v>
      </c>
      <c r="I20" s="22" t="str">
        <f>baf_monthly_fuel_price!B$6</f>
        <v>(Houston)</v>
      </c>
      <c r="J20" s="16">
        <f>baf_monthly_fuel_price!C$6</f>
        <v>121</v>
      </c>
      <c r="K20" s="22" t="str">
        <f>baf_monthly_fuel_price!D$6</f>
        <v>(MGO)</v>
      </c>
      <c r="L20" s="83">
        <f>baf_monthly_fuel_price!E$6</f>
        <v>44228</v>
      </c>
      <c r="M20" s="117">
        <f>baf_monthly_fuel_price!F$6</f>
        <v>880.00000000000011</v>
      </c>
      <c r="N20" s="16">
        <f>'project_baf_route_fuel_mixing_%'!A$2</f>
        <v>12345</v>
      </c>
      <c r="O20" s="16">
        <f>project_baf_route_location!D$2</f>
        <v>71</v>
      </c>
      <c r="P20" s="22" t="str">
        <f>project_baf_route_location!E$2</f>
        <v>(Houston)</v>
      </c>
      <c r="Q20" s="16">
        <f>'project_baf_route_fuel_mixing_%'!B$2</f>
        <v>250</v>
      </c>
      <c r="R20" s="22" t="str">
        <f>'project_baf_route_fuel_mixing_%'!C2</f>
        <v>(10 - US GULF COAST - SCANDINAVIA, BALTIC)</v>
      </c>
      <c r="S20" s="16">
        <f>'project_baf_route_fuel_mixing_%'!D$2</f>
        <v>121</v>
      </c>
      <c r="T20" s="22" t="str">
        <f>'project_baf_route_fuel_mixing_%'!E$2</f>
        <v>(MGO)</v>
      </c>
      <c r="U20" s="117">
        <f>'project_baf_route_fuel_mixing_%'!F$2</f>
        <v>0.4</v>
      </c>
      <c r="V20" s="51">
        <f>L20</f>
        <v>44228</v>
      </c>
      <c r="W20" s="38">
        <f>DATE(YEAR(V20+(G20*31)),MONTH(V20+(G20*31)),1)</f>
        <v>44317</v>
      </c>
      <c r="X20" s="38">
        <f>DATE(YEAR(V20+((G20+1)*31)),MONTH(V20+((G20+1)*31)),1)-0.00001</f>
        <v>44347.999989999997</v>
      </c>
      <c r="Y20" s="49">
        <f>M20*U20</f>
        <v>352.00000000000006</v>
      </c>
    </row>
    <row r="21" spans="1:25" x14ac:dyDescent="0.25">
      <c r="A21" s="116" t="s">
        <v>140</v>
      </c>
      <c r="B21" s="34">
        <f>project!A$2</f>
        <v>12345</v>
      </c>
      <c r="C21" s="35" t="str">
        <f>project!B$2</f>
        <v>228b4088-8661-11eb-8dcd-0242ac130003</v>
      </c>
      <c r="D21" s="34">
        <f>project_baf_parameter!A$2</f>
        <v>12345</v>
      </c>
      <c r="E21" s="17">
        <f>project_baf_parameter!B$2</f>
        <v>-0.15</v>
      </c>
      <c r="F21" s="17">
        <f>project_baf_parameter!C$2</f>
        <v>0.15</v>
      </c>
      <c r="G21" s="17">
        <f>project_baf_parameter!D$2</f>
        <v>3</v>
      </c>
      <c r="H21" s="16">
        <f>baf_monthly_fuel_price!A$7</f>
        <v>71</v>
      </c>
      <c r="I21" s="22" t="str">
        <f>baf_monthly_fuel_price!B$7</f>
        <v>(Houston)</v>
      </c>
      <c r="J21" s="16">
        <f>baf_monthly_fuel_price!C$7</f>
        <v>122</v>
      </c>
      <c r="K21" s="22" t="str">
        <f>baf_monthly_fuel_price!D$7</f>
        <v>(LSFO)</v>
      </c>
      <c r="L21" s="83">
        <f>baf_monthly_fuel_price!E$7</f>
        <v>44228</v>
      </c>
      <c r="M21" s="117">
        <f>baf_monthly_fuel_price!F$7</f>
        <v>770.00000000000011</v>
      </c>
      <c r="N21" s="16">
        <f>'project_baf_route_fuel_mixing_%'!A$3</f>
        <v>12345</v>
      </c>
      <c r="O21" s="16">
        <f>project_baf_route_location!D$2</f>
        <v>71</v>
      </c>
      <c r="P21" s="22" t="str">
        <f>project_baf_route_location!E$2</f>
        <v>(Houston)</v>
      </c>
      <c r="Q21" s="16">
        <f>'project_baf_route_fuel_mixing_%'!B$3</f>
        <v>250</v>
      </c>
      <c r="R21" s="22" t="str">
        <f>'project_baf_route_fuel_mixing_%'!C3</f>
        <v>(10 - US GULF COAST - SCANDINAVIA, BALTIC)</v>
      </c>
      <c r="S21" s="16">
        <f>'project_baf_route_fuel_mixing_%'!D$3</f>
        <v>122</v>
      </c>
      <c r="T21" s="22" t="str">
        <f>'project_baf_route_fuel_mixing_%'!E$3</f>
        <v>(LSFO)</v>
      </c>
      <c r="U21" s="117">
        <f>'project_baf_route_fuel_mixing_%'!F$3</f>
        <v>0.6</v>
      </c>
      <c r="V21" s="38">
        <f t="shared" ref="V21:V27" si="5">L21</f>
        <v>44228</v>
      </c>
      <c r="W21" s="38">
        <f t="shared" ref="W21:W27" si="6">DATE(YEAR(V21+(G21*31)),MONTH(V21+(G21*31)),1)</f>
        <v>44317</v>
      </c>
      <c r="X21" s="38">
        <f t="shared" ref="X21:X27" si="7">DATE(YEAR(V21+((G21+1)*31)),MONTH(V21+((G21+1)*31)),1)-0.00001</f>
        <v>44347.999989999997</v>
      </c>
      <c r="Y21" s="49">
        <f t="shared" ref="Y21:Y27" si="8">M21*U21</f>
        <v>462.00000000000006</v>
      </c>
    </row>
    <row r="22" spans="1:25" x14ac:dyDescent="0.25">
      <c r="A22" s="116" t="s">
        <v>140</v>
      </c>
      <c r="B22" s="34">
        <f>project!A$2</f>
        <v>12345</v>
      </c>
      <c r="C22" s="35" t="str">
        <f>project!B$2</f>
        <v>228b4088-8661-11eb-8dcd-0242ac130003</v>
      </c>
      <c r="D22" s="34">
        <f>project_baf_parameter!A$2</f>
        <v>12345</v>
      </c>
      <c r="E22" s="17">
        <f>project_baf_parameter!B$2</f>
        <v>-0.15</v>
      </c>
      <c r="F22" s="17">
        <f>project_baf_parameter!C$2</f>
        <v>0.15</v>
      </c>
      <c r="G22" s="17">
        <f>project_baf_parameter!D$2</f>
        <v>3</v>
      </c>
      <c r="H22" s="16">
        <f>baf_monthly_fuel_price!A$6</f>
        <v>71</v>
      </c>
      <c r="I22" s="22" t="str">
        <f>baf_monthly_fuel_price!B$6</f>
        <v>(Houston)</v>
      </c>
      <c r="J22" s="16">
        <f>baf_monthly_fuel_price!C$6</f>
        <v>121</v>
      </c>
      <c r="K22" s="22" t="str">
        <f>baf_monthly_fuel_price!D$6</f>
        <v>(MGO)</v>
      </c>
      <c r="L22" s="83">
        <f>baf_monthly_fuel_price!E$6</f>
        <v>44228</v>
      </c>
      <c r="M22" s="117">
        <f>baf_monthly_fuel_price!F$6</f>
        <v>880.00000000000011</v>
      </c>
      <c r="N22" s="16">
        <f>'project_baf_route_fuel_mixing_%'!A$4</f>
        <v>12345</v>
      </c>
      <c r="O22" s="16">
        <f>project_baf_route_location!D$3</f>
        <v>71</v>
      </c>
      <c r="P22" s="22" t="str">
        <f>project_baf_route_location!E$3</f>
        <v>(Houston)</v>
      </c>
      <c r="Q22" s="16">
        <f>'project_baf_route_fuel_mixing_%'!B$4</f>
        <v>251</v>
      </c>
      <c r="R22" s="22" t="str">
        <f>'project_baf_route_fuel_mixing_%'!C4</f>
        <v>(11 - US GULF COAST - CONTINENTAL EUROPE, UNITED KINGDOM, IRELAND)</v>
      </c>
      <c r="S22" s="16">
        <f>'project_baf_route_fuel_mixing_%'!D$4</f>
        <v>121</v>
      </c>
      <c r="T22" s="22" t="str">
        <f>'project_baf_route_fuel_mixing_%'!E$4</f>
        <v>(MGO)</v>
      </c>
      <c r="U22" s="117">
        <f>'project_baf_route_fuel_mixing_%'!F$4</f>
        <v>0.2</v>
      </c>
      <c r="V22" s="38">
        <f t="shared" si="5"/>
        <v>44228</v>
      </c>
      <c r="W22" s="38">
        <f t="shared" si="6"/>
        <v>44317</v>
      </c>
      <c r="X22" s="38">
        <f t="shared" si="7"/>
        <v>44347.999989999997</v>
      </c>
      <c r="Y22" s="49">
        <f t="shared" si="8"/>
        <v>176.00000000000003</v>
      </c>
    </row>
    <row r="23" spans="1:25" x14ac:dyDescent="0.25">
      <c r="A23" s="116" t="s">
        <v>140</v>
      </c>
      <c r="B23" s="34">
        <f>project!A$2</f>
        <v>12345</v>
      </c>
      <c r="C23" s="35" t="str">
        <f>project!B$2</f>
        <v>228b4088-8661-11eb-8dcd-0242ac130003</v>
      </c>
      <c r="D23" s="34">
        <f>project_baf_parameter!A$2</f>
        <v>12345</v>
      </c>
      <c r="E23" s="17">
        <f>project_baf_parameter!B$2</f>
        <v>-0.15</v>
      </c>
      <c r="F23" s="17">
        <f>project_baf_parameter!C$2</f>
        <v>0.15</v>
      </c>
      <c r="G23" s="17">
        <f>project_baf_parameter!D$2</f>
        <v>3</v>
      </c>
      <c r="H23" s="16">
        <f>baf_monthly_fuel_price!A$7</f>
        <v>71</v>
      </c>
      <c r="I23" s="22" t="str">
        <f>baf_monthly_fuel_price!B$7</f>
        <v>(Houston)</v>
      </c>
      <c r="J23" s="16">
        <f>baf_monthly_fuel_price!C$7</f>
        <v>122</v>
      </c>
      <c r="K23" s="22" t="str">
        <f>baf_monthly_fuel_price!D$7</f>
        <v>(LSFO)</v>
      </c>
      <c r="L23" s="83">
        <f>baf_monthly_fuel_price!E$7</f>
        <v>44228</v>
      </c>
      <c r="M23" s="117">
        <f>baf_monthly_fuel_price!F$7</f>
        <v>770.00000000000011</v>
      </c>
      <c r="N23" s="16">
        <f>'project_baf_route_fuel_mixing_%'!A$5</f>
        <v>12345</v>
      </c>
      <c r="O23" s="16">
        <f>project_baf_route_location!D$3</f>
        <v>71</v>
      </c>
      <c r="P23" s="22" t="str">
        <f>project_baf_route_location!E$3</f>
        <v>(Houston)</v>
      </c>
      <c r="Q23" s="16">
        <f>'project_baf_route_fuel_mixing_%'!B$5</f>
        <v>251</v>
      </c>
      <c r="R23" s="22" t="str">
        <f>'project_baf_route_fuel_mixing_%'!C5</f>
        <v>(11 - US GULF COAST - CONTINENTAL EUROPE, UNITED KINGDOM, IRELAND)</v>
      </c>
      <c r="S23" s="16">
        <f>'project_baf_route_fuel_mixing_%'!D$5</f>
        <v>122</v>
      </c>
      <c r="T23" s="22" t="str">
        <f>'project_baf_route_fuel_mixing_%'!E$5</f>
        <v>(LSFO)</v>
      </c>
      <c r="U23" s="117">
        <f>'project_baf_route_fuel_mixing_%'!F$5</f>
        <v>0.8</v>
      </c>
      <c r="V23" s="38">
        <f t="shared" si="5"/>
        <v>44228</v>
      </c>
      <c r="W23" s="38">
        <f t="shared" si="6"/>
        <v>44317</v>
      </c>
      <c r="X23" s="38">
        <f t="shared" si="7"/>
        <v>44347.999989999997</v>
      </c>
      <c r="Y23" s="49">
        <f t="shared" si="8"/>
        <v>616.00000000000011</v>
      </c>
    </row>
    <row r="24" spans="1:25" x14ac:dyDescent="0.25">
      <c r="A24" s="116" t="s">
        <v>140</v>
      </c>
      <c r="B24" s="34">
        <f>project!A$2</f>
        <v>12345</v>
      </c>
      <c r="C24" s="35" t="str">
        <f>project!B$2</f>
        <v>228b4088-8661-11eb-8dcd-0242ac130003</v>
      </c>
      <c r="D24" s="34">
        <f>project_baf_parameter!A$2</f>
        <v>12345</v>
      </c>
      <c r="E24" s="17">
        <f>project_baf_parameter!B$2</f>
        <v>-0.15</v>
      </c>
      <c r="F24" s="17">
        <f>project_baf_parameter!C$2</f>
        <v>0.15</v>
      </c>
      <c r="G24" s="17">
        <f>project_baf_parameter!D$2</f>
        <v>3</v>
      </c>
      <c r="H24" s="16">
        <f>baf_monthly_fuel_price!A$8</f>
        <v>72</v>
      </c>
      <c r="I24" s="22" t="str">
        <f>baf_monthly_fuel_price!B$8</f>
        <v>(Los Angeles)</v>
      </c>
      <c r="J24" s="16">
        <f>baf_monthly_fuel_price!C$8</f>
        <v>121</v>
      </c>
      <c r="K24" s="22" t="str">
        <f>baf_monthly_fuel_price!D$8</f>
        <v>(MGO)</v>
      </c>
      <c r="L24" s="83">
        <f>baf_monthly_fuel_price!E$8</f>
        <v>44228</v>
      </c>
      <c r="M24" s="117">
        <f>baf_monthly_fuel_price!F$8</f>
        <v>582</v>
      </c>
      <c r="N24" s="16">
        <f>'project_baf_route_fuel_mixing_%'!A$6</f>
        <v>12345</v>
      </c>
      <c r="O24" s="16">
        <f>project_baf_route_location!D$4</f>
        <v>72</v>
      </c>
      <c r="P24" s="22" t="str">
        <f>project_baf_route_location!E$4</f>
        <v>(Los Angeles)</v>
      </c>
      <c r="Q24" s="16">
        <f>'project_baf_route_fuel_mixing_%'!B$6</f>
        <v>252</v>
      </c>
      <c r="R24" s="22" t="str">
        <f>'project_baf_route_fuel_mixing_%'!C6</f>
        <v>(12 - US GULF COAST - MEDITERRANEAN)</v>
      </c>
      <c r="S24" s="16">
        <f>'project_baf_route_fuel_mixing_%'!D$6</f>
        <v>121</v>
      </c>
      <c r="T24" s="22" t="str">
        <f>'project_baf_route_fuel_mixing_%'!E$6</f>
        <v>(MGO)</v>
      </c>
      <c r="U24" s="117">
        <f>'project_baf_route_fuel_mixing_%'!F$6</f>
        <v>0.35</v>
      </c>
      <c r="V24" s="38">
        <f t="shared" si="5"/>
        <v>44228</v>
      </c>
      <c r="W24" s="38">
        <f t="shared" si="6"/>
        <v>44317</v>
      </c>
      <c r="X24" s="38">
        <f t="shared" si="7"/>
        <v>44347.999989999997</v>
      </c>
      <c r="Y24" s="49">
        <f t="shared" si="8"/>
        <v>203.7</v>
      </c>
    </row>
    <row r="25" spans="1:25" x14ac:dyDescent="0.25">
      <c r="A25" s="116" t="s">
        <v>140</v>
      </c>
      <c r="B25" s="34">
        <f>project!A$2</f>
        <v>12345</v>
      </c>
      <c r="C25" s="35" t="str">
        <f>project!B$2</f>
        <v>228b4088-8661-11eb-8dcd-0242ac130003</v>
      </c>
      <c r="D25" s="34">
        <f>project_baf_parameter!A$2</f>
        <v>12345</v>
      </c>
      <c r="E25" s="17">
        <f>project_baf_parameter!B$2</f>
        <v>-0.15</v>
      </c>
      <c r="F25" s="17">
        <f>project_baf_parameter!C$2</f>
        <v>0.15</v>
      </c>
      <c r="G25" s="17">
        <f>project_baf_parameter!D$2</f>
        <v>3</v>
      </c>
      <c r="H25" s="16">
        <f>baf_monthly_fuel_price!A$9</f>
        <v>72</v>
      </c>
      <c r="I25" s="22" t="str">
        <f>baf_monthly_fuel_price!B$9</f>
        <v>(Los Angeles)</v>
      </c>
      <c r="J25" s="16">
        <f>baf_monthly_fuel_price!C$9</f>
        <v>122</v>
      </c>
      <c r="K25" s="22" t="str">
        <f>baf_monthly_fuel_price!D$9</f>
        <v>(LSFO)</v>
      </c>
      <c r="L25" s="83">
        <f>baf_monthly_fuel_price!E$9</f>
        <v>44228</v>
      </c>
      <c r="M25" s="117">
        <f>baf_monthly_fuel_price!F$9</f>
        <v>546</v>
      </c>
      <c r="N25" s="16">
        <f>'project_baf_route_fuel_mixing_%'!A$7</f>
        <v>12345</v>
      </c>
      <c r="O25" s="16">
        <f>project_baf_route_location!D$4</f>
        <v>72</v>
      </c>
      <c r="P25" s="22" t="str">
        <f>project_baf_route_location!E$4</f>
        <v>(Los Angeles)</v>
      </c>
      <c r="Q25" s="16">
        <f>'project_baf_route_fuel_mixing_%'!B$7</f>
        <v>252</v>
      </c>
      <c r="R25" s="22" t="str">
        <f>'project_baf_route_fuel_mixing_%'!C7</f>
        <v>(12 - US GULF COAST - MEDITERRANEAN)</v>
      </c>
      <c r="S25" s="16">
        <f>'project_baf_route_fuel_mixing_%'!D$7</f>
        <v>122</v>
      </c>
      <c r="T25" s="22" t="str">
        <f>'project_baf_route_fuel_mixing_%'!E$7</f>
        <v>(LSFO)</v>
      </c>
      <c r="U25" s="117">
        <f>'project_baf_route_fuel_mixing_%'!F$7</f>
        <v>0.65</v>
      </c>
      <c r="V25" s="38">
        <f t="shared" si="5"/>
        <v>44228</v>
      </c>
      <c r="W25" s="38">
        <f t="shared" si="6"/>
        <v>44317</v>
      </c>
      <c r="X25" s="38">
        <f t="shared" si="7"/>
        <v>44347.999989999997</v>
      </c>
      <c r="Y25" s="49">
        <f t="shared" si="8"/>
        <v>354.90000000000003</v>
      </c>
    </row>
    <row r="26" spans="1:25" x14ac:dyDescent="0.25">
      <c r="A26" s="116" t="s">
        <v>140</v>
      </c>
      <c r="B26" s="34">
        <f>project!A$2</f>
        <v>12345</v>
      </c>
      <c r="C26" s="35" t="str">
        <f>project!B$2</f>
        <v>228b4088-8661-11eb-8dcd-0242ac130003</v>
      </c>
      <c r="D26" s="34">
        <f>project_baf_parameter!A$2</f>
        <v>12345</v>
      </c>
      <c r="E26" s="17">
        <f>project_baf_parameter!B$2</f>
        <v>-0.15</v>
      </c>
      <c r="F26" s="17">
        <f>project_baf_parameter!C$2</f>
        <v>0.15</v>
      </c>
      <c r="G26" s="17">
        <f>project_baf_parameter!D$2</f>
        <v>3</v>
      </c>
      <c r="H26" s="16">
        <f>baf_monthly_fuel_price!A$8</f>
        <v>72</v>
      </c>
      <c r="I26" s="22" t="str">
        <f>baf_monthly_fuel_price!B$8</f>
        <v>(Los Angeles)</v>
      </c>
      <c r="J26" s="16">
        <f>baf_monthly_fuel_price!C$8</f>
        <v>121</v>
      </c>
      <c r="K26" s="22" t="str">
        <f>baf_monthly_fuel_price!D$8</f>
        <v>(MGO)</v>
      </c>
      <c r="L26" s="83">
        <f>baf_monthly_fuel_price!E$8</f>
        <v>44228</v>
      </c>
      <c r="M26" s="117">
        <f>baf_monthly_fuel_price!F$8</f>
        <v>582</v>
      </c>
      <c r="N26" s="16">
        <f>'project_baf_route_fuel_mixing_%'!A$8</f>
        <v>12345</v>
      </c>
      <c r="O26" s="16">
        <f>project_baf_route_location!D$5</f>
        <v>72</v>
      </c>
      <c r="P26" s="22" t="str">
        <f>project_baf_route_location!E$5</f>
        <v>(Los Angeles)</v>
      </c>
      <c r="Q26" s="16">
        <f>'project_baf_route_fuel_mixing_%'!B$8</f>
        <v>253</v>
      </c>
      <c r="R26" s="22" t="str">
        <f>'project_baf_route_fuel_mixing_%'!C8</f>
        <v>(13 - US GULF COAST - MIDDLE EAST, SOUTH ASIA, INDIAN OCEAN)</v>
      </c>
      <c r="S26" s="16">
        <f>'project_baf_route_fuel_mixing_%'!D$8</f>
        <v>121</v>
      </c>
      <c r="T26" s="22" t="str">
        <f>'project_baf_route_fuel_mixing_%'!E$8</f>
        <v>(MGO)</v>
      </c>
      <c r="U26" s="117">
        <f>'project_baf_route_fuel_mixing_%'!F$8</f>
        <v>0.28999999999999998</v>
      </c>
      <c r="V26" s="38">
        <f t="shared" si="5"/>
        <v>44228</v>
      </c>
      <c r="W26" s="38">
        <f t="shared" si="6"/>
        <v>44317</v>
      </c>
      <c r="X26" s="38">
        <f t="shared" si="7"/>
        <v>44347.999989999997</v>
      </c>
      <c r="Y26" s="49">
        <f t="shared" si="8"/>
        <v>168.78</v>
      </c>
    </row>
    <row r="27" spans="1:25" x14ac:dyDescent="0.25">
      <c r="A27" s="116" t="s">
        <v>140</v>
      </c>
      <c r="B27" s="34">
        <f>project!A$2</f>
        <v>12345</v>
      </c>
      <c r="C27" s="35" t="str">
        <f>project!B$2</f>
        <v>228b4088-8661-11eb-8dcd-0242ac130003</v>
      </c>
      <c r="D27" s="34">
        <f>project_baf_parameter!A$2</f>
        <v>12345</v>
      </c>
      <c r="E27" s="17">
        <f>project_baf_parameter!B$2</f>
        <v>-0.15</v>
      </c>
      <c r="F27" s="17">
        <f>project_baf_parameter!C$2</f>
        <v>0.15</v>
      </c>
      <c r="G27" s="17">
        <f>project_baf_parameter!D$2</f>
        <v>3</v>
      </c>
      <c r="H27" s="16">
        <f>baf_monthly_fuel_price!A$9</f>
        <v>72</v>
      </c>
      <c r="I27" s="22" t="str">
        <f>baf_monthly_fuel_price!B$9</f>
        <v>(Los Angeles)</v>
      </c>
      <c r="J27" s="16">
        <f>baf_monthly_fuel_price!C$9</f>
        <v>122</v>
      </c>
      <c r="K27" s="22" t="str">
        <f>baf_monthly_fuel_price!D$9</f>
        <v>(LSFO)</v>
      </c>
      <c r="L27" s="83">
        <f>baf_monthly_fuel_price!E$9</f>
        <v>44228</v>
      </c>
      <c r="M27" s="117">
        <f>baf_monthly_fuel_price!F$9</f>
        <v>546</v>
      </c>
      <c r="N27" s="16">
        <f>'project_baf_route_fuel_mixing_%'!A$9</f>
        <v>12345</v>
      </c>
      <c r="O27" s="16">
        <f>project_baf_route_location!D$5</f>
        <v>72</v>
      </c>
      <c r="P27" s="22" t="str">
        <f>project_baf_route_location!E$5</f>
        <v>(Los Angeles)</v>
      </c>
      <c r="Q27" s="16">
        <f>'project_baf_route_fuel_mixing_%'!B$9</f>
        <v>253</v>
      </c>
      <c r="R27" s="22" t="str">
        <f>'project_baf_route_fuel_mixing_%'!C9</f>
        <v>(13 - US GULF COAST - MIDDLE EAST, SOUTH ASIA, INDIAN OCEAN)</v>
      </c>
      <c r="S27" s="16">
        <f>'project_baf_route_fuel_mixing_%'!D$9</f>
        <v>122</v>
      </c>
      <c r="T27" s="22" t="str">
        <f>'project_baf_route_fuel_mixing_%'!E$9</f>
        <v>(LSFO)</v>
      </c>
      <c r="U27" s="117">
        <f>'project_baf_route_fuel_mixing_%'!F$9</f>
        <v>0.71</v>
      </c>
      <c r="V27" s="38">
        <f t="shared" si="5"/>
        <v>44228</v>
      </c>
      <c r="W27" s="38">
        <f t="shared" si="6"/>
        <v>44317</v>
      </c>
      <c r="X27" s="38">
        <f t="shared" si="7"/>
        <v>44347.999989999997</v>
      </c>
      <c r="Y27" s="49">
        <f t="shared" si="8"/>
        <v>387.65999999999997</v>
      </c>
    </row>
    <row r="28" spans="1:25" x14ac:dyDescent="0.25">
      <c r="M28" s="32"/>
      <c r="U28" s="32"/>
      <c r="Y28" s="32"/>
    </row>
    <row r="29" spans="1:25" x14ac:dyDescent="0.25">
      <c r="B29" s="36"/>
      <c r="C29" s="14" t="s">
        <v>9</v>
      </c>
      <c r="D29" s="36"/>
      <c r="E29" s="36"/>
      <c r="F29" s="36"/>
      <c r="G29" s="14" t="s">
        <v>9</v>
      </c>
      <c r="H29" s="36"/>
      <c r="I29" s="36"/>
      <c r="J29" s="36"/>
      <c r="K29" s="36"/>
      <c r="L29" s="36"/>
      <c r="M29" s="140"/>
      <c r="N29" s="14" t="s">
        <v>9</v>
      </c>
      <c r="O29" s="14" t="s">
        <v>9</v>
      </c>
      <c r="P29" s="14"/>
      <c r="Q29" s="14" t="s">
        <v>9</v>
      </c>
      <c r="R29" s="36"/>
      <c r="S29" s="36"/>
      <c r="T29" s="36"/>
      <c r="U29" s="140"/>
      <c r="V29" s="14" t="s">
        <v>9</v>
      </c>
      <c r="W29" s="14" t="s">
        <v>9</v>
      </c>
      <c r="X29" s="14" t="s">
        <v>9</v>
      </c>
      <c r="Y29" s="138" t="s">
        <v>9</v>
      </c>
    </row>
    <row r="30" spans="1:25" x14ac:dyDescent="0.25">
      <c r="B30" s="13"/>
      <c r="C30" s="13" t="s">
        <v>10</v>
      </c>
      <c r="D30" s="13"/>
      <c r="E30" s="13"/>
      <c r="F30" s="13"/>
      <c r="G30" s="13" t="s">
        <v>10</v>
      </c>
      <c r="H30" s="13"/>
      <c r="I30" s="13"/>
      <c r="J30" s="13"/>
      <c r="K30" s="13"/>
      <c r="L30" s="13"/>
      <c r="M30" s="139"/>
      <c r="N30" s="13" t="s">
        <v>10</v>
      </c>
      <c r="O30" s="13" t="s">
        <v>10</v>
      </c>
      <c r="P30" s="13"/>
      <c r="Q30" s="13" t="s">
        <v>10</v>
      </c>
      <c r="R30" s="13"/>
      <c r="S30" s="13"/>
      <c r="T30" s="13"/>
      <c r="U30" s="139"/>
      <c r="V30" s="13" t="s">
        <v>19</v>
      </c>
      <c r="W30" s="13" t="s">
        <v>19</v>
      </c>
      <c r="X30" s="13" t="s">
        <v>19</v>
      </c>
      <c r="Y30" s="139" t="s">
        <v>11</v>
      </c>
    </row>
    <row r="31" spans="1:25" x14ac:dyDescent="0.25">
      <c r="M31" s="32"/>
      <c r="U31" s="32"/>
      <c r="Y31" s="32"/>
    </row>
    <row r="32" spans="1:25" x14ac:dyDescent="0.25">
      <c r="C32" t="str">
        <f>C20</f>
        <v>228b4088-8661-11eb-8dcd-0242ac130003</v>
      </c>
      <c r="G32">
        <f>G20</f>
        <v>3</v>
      </c>
      <c r="J32" s="7"/>
      <c r="K32" s="8"/>
      <c r="L32" s="8"/>
      <c r="M32" s="32"/>
      <c r="N32">
        <f>N20</f>
        <v>12345</v>
      </c>
      <c r="O32">
        <f>O20</f>
        <v>71</v>
      </c>
      <c r="P32" s="31" t="str">
        <f>P20</f>
        <v>(Houston)</v>
      </c>
      <c r="Q32">
        <f>Q20</f>
        <v>250</v>
      </c>
      <c r="R32" s="31" t="str">
        <f>R20</f>
        <v>(10 - US GULF COAST - SCANDINAVIA, BALTIC)</v>
      </c>
      <c r="U32" s="32"/>
      <c r="V32" s="137">
        <f>V20</f>
        <v>44228</v>
      </c>
      <c r="W32" s="8">
        <f>W20</f>
        <v>44317</v>
      </c>
      <c r="X32" s="8">
        <f>X20</f>
        <v>44347.999989999997</v>
      </c>
      <c r="Y32" s="40">
        <f>SUM(Y20:Y21)</f>
        <v>814.00000000000011</v>
      </c>
    </row>
    <row r="33" spans="1:25" x14ac:dyDescent="0.25">
      <c r="C33" t="str">
        <f>C22</f>
        <v>228b4088-8661-11eb-8dcd-0242ac130003</v>
      </c>
      <c r="G33">
        <f>G22</f>
        <v>3</v>
      </c>
      <c r="J33" s="7"/>
      <c r="K33" s="8"/>
      <c r="L33" s="8"/>
      <c r="M33" s="32"/>
      <c r="N33">
        <f>N22</f>
        <v>12345</v>
      </c>
      <c r="O33">
        <f>O22</f>
        <v>71</v>
      </c>
      <c r="P33" s="31" t="str">
        <f>P22</f>
        <v>(Houston)</v>
      </c>
      <c r="Q33">
        <f>Q22</f>
        <v>251</v>
      </c>
      <c r="R33" s="31" t="str">
        <f>R22</f>
        <v>(11 - US GULF COAST - CONTINENTAL EUROPE, UNITED KINGDOM, IRELAND)</v>
      </c>
      <c r="U33" s="32"/>
      <c r="V33" s="8">
        <f t="shared" ref="V33:X35" si="9">V21</f>
        <v>44228</v>
      </c>
      <c r="W33" s="8">
        <f t="shared" si="9"/>
        <v>44317</v>
      </c>
      <c r="X33" s="8">
        <f t="shared" si="9"/>
        <v>44347.999989999997</v>
      </c>
      <c r="Y33" s="32">
        <f>SUM(Y22:Y23)</f>
        <v>792.00000000000011</v>
      </c>
    </row>
    <row r="34" spans="1:25" x14ac:dyDescent="0.25">
      <c r="C34" t="str">
        <f>C24</f>
        <v>228b4088-8661-11eb-8dcd-0242ac130003</v>
      </c>
      <c r="G34">
        <f>G24</f>
        <v>3</v>
      </c>
      <c r="J34" s="7"/>
      <c r="K34" s="8"/>
      <c r="L34" s="8"/>
      <c r="M34" s="32"/>
      <c r="N34">
        <f>N24</f>
        <v>12345</v>
      </c>
      <c r="O34">
        <f>O24</f>
        <v>72</v>
      </c>
      <c r="P34" s="31" t="str">
        <f>P24</f>
        <v>(Los Angeles)</v>
      </c>
      <c r="Q34">
        <f>Q24</f>
        <v>252</v>
      </c>
      <c r="R34" s="31" t="str">
        <f>R24</f>
        <v>(12 - US GULF COAST - MEDITERRANEAN)</v>
      </c>
      <c r="U34" s="32"/>
      <c r="V34" s="8">
        <f>V22</f>
        <v>44228</v>
      </c>
      <c r="W34" s="8">
        <f>W22</f>
        <v>44317</v>
      </c>
      <c r="X34" s="8">
        <f t="shared" si="9"/>
        <v>44347.999989999997</v>
      </c>
      <c r="Y34" s="32">
        <f>SUM(Y24:Y25)</f>
        <v>558.6</v>
      </c>
    </row>
    <row r="35" spans="1:25" x14ac:dyDescent="0.25">
      <c r="C35" t="str">
        <f>C26</f>
        <v>228b4088-8661-11eb-8dcd-0242ac130003</v>
      </c>
      <c r="G35">
        <f>G26</f>
        <v>3</v>
      </c>
      <c r="J35" s="7"/>
      <c r="K35" s="8"/>
      <c r="L35" s="8"/>
      <c r="M35" s="32"/>
      <c r="N35">
        <f>N26</f>
        <v>12345</v>
      </c>
      <c r="O35">
        <f>O26</f>
        <v>72</v>
      </c>
      <c r="P35" s="31" t="str">
        <f>P26</f>
        <v>(Los Angeles)</v>
      </c>
      <c r="Q35">
        <f>Q26</f>
        <v>253</v>
      </c>
      <c r="R35" s="31" t="str">
        <f>R26</f>
        <v>(13 - US GULF COAST - MIDDLE EAST, SOUTH ASIA, INDIAN OCEAN)</v>
      </c>
      <c r="U35" s="32"/>
      <c r="V35" s="8">
        <f>V23</f>
        <v>44228</v>
      </c>
      <c r="W35" s="8">
        <f>W23</f>
        <v>44317</v>
      </c>
      <c r="X35" s="8">
        <f t="shared" si="9"/>
        <v>44347.999989999997</v>
      </c>
      <c r="Y35" s="32">
        <f>SUM(Y26:Y27)</f>
        <v>556.43999999999994</v>
      </c>
    </row>
    <row r="36" spans="1:25" x14ac:dyDescent="0.25">
      <c r="J36" s="7"/>
      <c r="K36" s="8"/>
      <c r="L36" s="8"/>
      <c r="M36" s="32"/>
      <c r="P36" s="4"/>
      <c r="Q36" s="4"/>
      <c r="R36" s="4"/>
      <c r="U36" s="32"/>
      <c r="V36" s="8"/>
      <c r="W36" s="8"/>
      <c r="X36" s="8"/>
      <c r="Y36" s="32"/>
    </row>
    <row r="37" spans="1:25" x14ac:dyDescent="0.25">
      <c r="A37" s="116" t="s">
        <v>139</v>
      </c>
      <c r="B37" s="34">
        <f>project!A$2</f>
        <v>12345</v>
      </c>
      <c r="C37" s="35" t="str">
        <f>project!B$2</f>
        <v>228b4088-8661-11eb-8dcd-0242ac130003</v>
      </c>
      <c r="D37" s="34">
        <f>project_baf_parameter!A$2</f>
        <v>12345</v>
      </c>
      <c r="E37" s="17">
        <f>project_baf_parameter!B$2</f>
        <v>-0.15</v>
      </c>
      <c r="F37" s="17">
        <f>project_baf_parameter!C$2</f>
        <v>0.15</v>
      </c>
      <c r="G37" s="17">
        <f>project_baf_parameter!D$2</f>
        <v>3</v>
      </c>
      <c r="H37" s="16">
        <f>baf_monthly_fuel_price!A$10</f>
        <v>71</v>
      </c>
      <c r="I37" s="22" t="str">
        <f>baf_monthly_fuel_price!B$10</f>
        <v>(Houston)</v>
      </c>
      <c r="J37" s="16">
        <f>baf_monthly_fuel_price!C$10</f>
        <v>121</v>
      </c>
      <c r="K37" s="22" t="str">
        <f>baf_monthly_fuel_price!D$10</f>
        <v>(MGO)</v>
      </c>
      <c r="L37" s="83">
        <f>baf_monthly_fuel_price!E$10</f>
        <v>44256</v>
      </c>
      <c r="M37" s="117">
        <f>baf_monthly_fuel_price!F$10</f>
        <v>616</v>
      </c>
      <c r="N37" s="16">
        <f>'project_baf_route_fuel_mixing_%'!A$2</f>
        <v>12345</v>
      </c>
      <c r="O37" s="16">
        <f>project_baf_route_location!D$2</f>
        <v>71</v>
      </c>
      <c r="P37" s="22" t="str">
        <f>project_baf_route_location!E$2</f>
        <v>(Houston)</v>
      </c>
      <c r="Q37" s="16">
        <f>'project_baf_route_fuel_mixing_%'!B$2</f>
        <v>250</v>
      </c>
      <c r="R37" s="22" t="str">
        <f>'project_baf_route_fuel_mixing_%'!C2</f>
        <v>(10 - US GULF COAST - SCANDINAVIA, BALTIC)</v>
      </c>
      <c r="S37" s="16">
        <f>'project_baf_route_fuel_mixing_%'!D$2</f>
        <v>121</v>
      </c>
      <c r="T37" s="22" t="str">
        <f>'project_baf_route_fuel_mixing_%'!E$2</f>
        <v>(MGO)</v>
      </c>
      <c r="U37" s="117">
        <f>'project_baf_route_fuel_mixing_%'!F$2</f>
        <v>0.4</v>
      </c>
      <c r="V37" s="38">
        <f>L37</f>
        <v>44256</v>
      </c>
      <c r="W37" s="38">
        <f>DATE(YEAR(V37+(G37*31)),MONTH(V37+(G37*31)),1)</f>
        <v>44348</v>
      </c>
      <c r="X37" s="38">
        <f>DATE(YEAR(V37+((G37+1)*31)),MONTH(V37+((G37+1)*31)),1)-0.00001</f>
        <v>44377.999989999997</v>
      </c>
      <c r="Y37" s="49">
        <f>M37*U37</f>
        <v>246.4</v>
      </c>
    </row>
    <row r="38" spans="1:25" x14ac:dyDescent="0.25">
      <c r="A38" s="116" t="s">
        <v>139</v>
      </c>
      <c r="B38" s="34">
        <f>project!A$2</f>
        <v>12345</v>
      </c>
      <c r="C38" s="35" t="str">
        <f>project!B$2</f>
        <v>228b4088-8661-11eb-8dcd-0242ac130003</v>
      </c>
      <c r="D38" s="34">
        <f>project_baf_parameter!A$2</f>
        <v>12345</v>
      </c>
      <c r="E38" s="17">
        <f>project_baf_parameter!B$2</f>
        <v>-0.15</v>
      </c>
      <c r="F38" s="17">
        <f>project_baf_parameter!C$2</f>
        <v>0.15</v>
      </c>
      <c r="G38" s="17">
        <f>project_baf_parameter!D$2</f>
        <v>3</v>
      </c>
      <c r="H38" s="16">
        <f>baf_monthly_fuel_price!A$11</f>
        <v>71</v>
      </c>
      <c r="I38" s="22" t="str">
        <f>baf_monthly_fuel_price!B$11</f>
        <v>(Houston)</v>
      </c>
      <c r="J38" s="16">
        <f>baf_monthly_fuel_price!C$11</f>
        <v>122</v>
      </c>
      <c r="K38" s="22" t="str">
        <f>baf_monthly_fuel_price!D$11</f>
        <v>(LSFO)</v>
      </c>
      <c r="L38" s="83">
        <f>baf_monthly_fuel_price!E$11</f>
        <v>44256</v>
      </c>
      <c r="M38" s="117">
        <f>baf_monthly_fuel_price!F$11</f>
        <v>539</v>
      </c>
      <c r="N38" s="16">
        <f>'project_baf_route_fuel_mixing_%'!A$3</f>
        <v>12345</v>
      </c>
      <c r="O38" s="16">
        <f>project_baf_route_location!D$2</f>
        <v>71</v>
      </c>
      <c r="P38" s="22" t="str">
        <f>project_baf_route_location!E$2</f>
        <v>(Houston)</v>
      </c>
      <c r="Q38" s="16">
        <f>'project_baf_route_fuel_mixing_%'!B$3</f>
        <v>250</v>
      </c>
      <c r="R38" s="22" t="str">
        <f>'project_baf_route_fuel_mixing_%'!C3</f>
        <v>(10 - US GULF COAST - SCANDINAVIA, BALTIC)</v>
      </c>
      <c r="S38" s="16">
        <f>'project_baf_route_fuel_mixing_%'!D$3</f>
        <v>122</v>
      </c>
      <c r="T38" s="22" t="str">
        <f>'project_baf_route_fuel_mixing_%'!E$3</f>
        <v>(LSFO)</v>
      </c>
      <c r="U38" s="117">
        <f>'project_baf_route_fuel_mixing_%'!F$3</f>
        <v>0.6</v>
      </c>
      <c r="V38" s="38">
        <f t="shared" ref="V38:V44" si="10">L38</f>
        <v>44256</v>
      </c>
      <c r="W38" s="38">
        <f t="shared" ref="W38:W44" si="11">DATE(YEAR(V38+(G38*31)),MONTH(V38+(G38*31)),1)</f>
        <v>44348</v>
      </c>
      <c r="X38" s="38">
        <f t="shared" ref="X38:X44" si="12">DATE(YEAR(V38+((G38+1)*31)),MONTH(V38+((G38+1)*31)),1)-0.00001</f>
        <v>44377.999989999997</v>
      </c>
      <c r="Y38" s="49">
        <f t="shared" ref="Y38:Y44" si="13">M38*U38</f>
        <v>323.39999999999998</v>
      </c>
    </row>
    <row r="39" spans="1:25" x14ac:dyDescent="0.25">
      <c r="A39" s="116" t="s">
        <v>139</v>
      </c>
      <c r="B39" s="34">
        <f>project!A$2</f>
        <v>12345</v>
      </c>
      <c r="C39" s="35" t="str">
        <f>project!B$2</f>
        <v>228b4088-8661-11eb-8dcd-0242ac130003</v>
      </c>
      <c r="D39" s="34">
        <f>project_baf_parameter!A$2</f>
        <v>12345</v>
      </c>
      <c r="E39" s="17">
        <f>project_baf_parameter!B$2</f>
        <v>-0.15</v>
      </c>
      <c r="F39" s="17">
        <f>project_baf_parameter!C$2</f>
        <v>0.15</v>
      </c>
      <c r="G39" s="17">
        <f>project_baf_parameter!D$2</f>
        <v>3</v>
      </c>
      <c r="H39" s="16">
        <f>baf_monthly_fuel_price!A$10</f>
        <v>71</v>
      </c>
      <c r="I39" s="22" t="str">
        <f>baf_monthly_fuel_price!B$10</f>
        <v>(Houston)</v>
      </c>
      <c r="J39" s="16">
        <f>baf_monthly_fuel_price!C$10</f>
        <v>121</v>
      </c>
      <c r="K39" s="22" t="str">
        <f>baf_monthly_fuel_price!D$10</f>
        <v>(MGO)</v>
      </c>
      <c r="L39" s="83">
        <f>baf_monthly_fuel_price!E$10</f>
        <v>44256</v>
      </c>
      <c r="M39" s="117">
        <f>baf_monthly_fuel_price!F$10</f>
        <v>616</v>
      </c>
      <c r="N39" s="16">
        <f>'project_baf_route_fuel_mixing_%'!A$4</f>
        <v>12345</v>
      </c>
      <c r="O39" s="16">
        <f>project_baf_route_location!D$3</f>
        <v>71</v>
      </c>
      <c r="P39" s="22" t="str">
        <f>project_baf_route_location!E$3</f>
        <v>(Houston)</v>
      </c>
      <c r="Q39" s="16">
        <f>'project_baf_route_fuel_mixing_%'!B$4</f>
        <v>251</v>
      </c>
      <c r="R39" s="22" t="str">
        <f>'project_baf_route_fuel_mixing_%'!C4</f>
        <v>(11 - US GULF COAST - CONTINENTAL EUROPE, UNITED KINGDOM, IRELAND)</v>
      </c>
      <c r="S39" s="16">
        <f>'project_baf_route_fuel_mixing_%'!D$4</f>
        <v>121</v>
      </c>
      <c r="T39" s="22" t="str">
        <f>'project_baf_route_fuel_mixing_%'!E$4</f>
        <v>(MGO)</v>
      </c>
      <c r="U39" s="117">
        <f>'project_baf_route_fuel_mixing_%'!F$4</f>
        <v>0.2</v>
      </c>
      <c r="V39" s="38">
        <f t="shared" si="10"/>
        <v>44256</v>
      </c>
      <c r="W39" s="38">
        <f t="shared" si="11"/>
        <v>44348</v>
      </c>
      <c r="X39" s="38">
        <f t="shared" si="12"/>
        <v>44377.999989999997</v>
      </c>
      <c r="Y39" s="49">
        <f t="shared" si="13"/>
        <v>123.2</v>
      </c>
    </row>
    <row r="40" spans="1:25" x14ac:dyDescent="0.25">
      <c r="A40" s="116" t="s">
        <v>139</v>
      </c>
      <c r="B40" s="34">
        <f>project!A$2</f>
        <v>12345</v>
      </c>
      <c r="C40" s="35" t="str">
        <f>project!B$2</f>
        <v>228b4088-8661-11eb-8dcd-0242ac130003</v>
      </c>
      <c r="D40" s="34">
        <f>project_baf_parameter!A$2</f>
        <v>12345</v>
      </c>
      <c r="E40" s="17">
        <f>project_baf_parameter!B$2</f>
        <v>-0.15</v>
      </c>
      <c r="F40" s="17">
        <f>project_baf_parameter!C$2</f>
        <v>0.15</v>
      </c>
      <c r="G40" s="17">
        <f>project_baf_parameter!D$2</f>
        <v>3</v>
      </c>
      <c r="H40" s="16">
        <f>baf_monthly_fuel_price!A$11</f>
        <v>71</v>
      </c>
      <c r="I40" s="22" t="str">
        <f>baf_monthly_fuel_price!B$11</f>
        <v>(Houston)</v>
      </c>
      <c r="J40" s="16">
        <f>baf_monthly_fuel_price!C$11</f>
        <v>122</v>
      </c>
      <c r="K40" s="22" t="str">
        <f>baf_monthly_fuel_price!D$11</f>
        <v>(LSFO)</v>
      </c>
      <c r="L40" s="83">
        <f>baf_monthly_fuel_price!E$11</f>
        <v>44256</v>
      </c>
      <c r="M40" s="117">
        <f>baf_monthly_fuel_price!F$11</f>
        <v>539</v>
      </c>
      <c r="N40" s="16">
        <f>'project_baf_route_fuel_mixing_%'!A$5</f>
        <v>12345</v>
      </c>
      <c r="O40" s="16">
        <f>project_baf_route_location!D$3</f>
        <v>71</v>
      </c>
      <c r="P40" s="22" t="str">
        <f>project_baf_route_location!E$3</f>
        <v>(Houston)</v>
      </c>
      <c r="Q40" s="16">
        <f>'project_baf_route_fuel_mixing_%'!B$5</f>
        <v>251</v>
      </c>
      <c r="R40" s="22" t="str">
        <f>'project_baf_route_fuel_mixing_%'!C5</f>
        <v>(11 - US GULF COAST - CONTINENTAL EUROPE, UNITED KINGDOM, IRELAND)</v>
      </c>
      <c r="S40" s="16">
        <f>'project_baf_route_fuel_mixing_%'!D$5</f>
        <v>122</v>
      </c>
      <c r="T40" s="22" t="str">
        <f>'project_baf_route_fuel_mixing_%'!E$5</f>
        <v>(LSFO)</v>
      </c>
      <c r="U40" s="117">
        <f>'project_baf_route_fuel_mixing_%'!F$5</f>
        <v>0.8</v>
      </c>
      <c r="V40" s="38">
        <f t="shared" si="10"/>
        <v>44256</v>
      </c>
      <c r="W40" s="38">
        <f t="shared" si="11"/>
        <v>44348</v>
      </c>
      <c r="X40" s="38">
        <f t="shared" si="12"/>
        <v>44377.999989999997</v>
      </c>
      <c r="Y40" s="49">
        <f t="shared" si="13"/>
        <v>431.20000000000005</v>
      </c>
    </row>
    <row r="41" spans="1:25" x14ac:dyDescent="0.25">
      <c r="A41" s="116" t="s">
        <v>139</v>
      </c>
      <c r="B41" s="34">
        <f>project!A$2</f>
        <v>12345</v>
      </c>
      <c r="C41" s="35" t="str">
        <f>project!B$2</f>
        <v>228b4088-8661-11eb-8dcd-0242ac130003</v>
      </c>
      <c r="D41" s="34">
        <f>project_baf_parameter!A$2</f>
        <v>12345</v>
      </c>
      <c r="E41" s="17">
        <f>project_baf_parameter!B$2</f>
        <v>-0.15</v>
      </c>
      <c r="F41" s="17">
        <f>project_baf_parameter!C$2</f>
        <v>0.15</v>
      </c>
      <c r="G41" s="17">
        <f>project_baf_parameter!D$2</f>
        <v>3</v>
      </c>
      <c r="H41" s="16">
        <f>baf_monthly_fuel_price!A$12</f>
        <v>72</v>
      </c>
      <c r="I41" s="22" t="str">
        <f>baf_monthly_fuel_price!B$12</f>
        <v>(Los Angeles)</v>
      </c>
      <c r="J41" s="16">
        <f>baf_monthly_fuel_price!C$12</f>
        <v>121</v>
      </c>
      <c r="K41" s="22" t="str">
        <f>baf_monthly_fuel_price!D$12</f>
        <v>(MGO)</v>
      </c>
      <c r="L41" s="83">
        <f>baf_monthly_fuel_price!E$12</f>
        <v>44256</v>
      </c>
      <c r="M41" s="117">
        <f>baf_monthly_fuel_price!F$12</f>
        <v>550</v>
      </c>
      <c r="N41" s="16">
        <f>'project_baf_route_fuel_mixing_%'!A$6</f>
        <v>12345</v>
      </c>
      <c r="O41" s="16">
        <f>project_baf_route_location!D$4</f>
        <v>72</v>
      </c>
      <c r="P41" s="22" t="str">
        <f>project_baf_route_location!E$4</f>
        <v>(Los Angeles)</v>
      </c>
      <c r="Q41" s="16">
        <f>'project_baf_route_fuel_mixing_%'!B$6</f>
        <v>252</v>
      </c>
      <c r="R41" s="22" t="str">
        <f>'project_baf_route_fuel_mixing_%'!C6</f>
        <v>(12 - US GULF COAST - MEDITERRANEAN)</v>
      </c>
      <c r="S41" s="16">
        <f>'project_baf_route_fuel_mixing_%'!D$6</f>
        <v>121</v>
      </c>
      <c r="T41" s="22" t="str">
        <f>'project_baf_route_fuel_mixing_%'!E$6</f>
        <v>(MGO)</v>
      </c>
      <c r="U41" s="117">
        <f>'project_baf_route_fuel_mixing_%'!F$6</f>
        <v>0.35</v>
      </c>
      <c r="V41" s="38">
        <f t="shared" si="10"/>
        <v>44256</v>
      </c>
      <c r="W41" s="38">
        <f t="shared" si="11"/>
        <v>44348</v>
      </c>
      <c r="X41" s="38">
        <f t="shared" si="12"/>
        <v>44377.999989999997</v>
      </c>
      <c r="Y41" s="49">
        <f t="shared" si="13"/>
        <v>192.5</v>
      </c>
    </row>
    <row r="42" spans="1:25" x14ac:dyDescent="0.25">
      <c r="A42" s="116" t="s">
        <v>139</v>
      </c>
      <c r="B42" s="34">
        <f>project!A$2</f>
        <v>12345</v>
      </c>
      <c r="C42" s="35" t="str">
        <f>project!B$2</f>
        <v>228b4088-8661-11eb-8dcd-0242ac130003</v>
      </c>
      <c r="D42" s="34">
        <f>project_baf_parameter!A$2</f>
        <v>12345</v>
      </c>
      <c r="E42" s="17">
        <f>project_baf_parameter!B$2</f>
        <v>-0.15</v>
      </c>
      <c r="F42" s="17">
        <f>project_baf_parameter!C$2</f>
        <v>0.15</v>
      </c>
      <c r="G42" s="17">
        <f>project_baf_parameter!D$2</f>
        <v>3</v>
      </c>
      <c r="H42" s="16">
        <f>baf_monthly_fuel_price!A$13</f>
        <v>72</v>
      </c>
      <c r="I42" s="22" t="str">
        <f>baf_monthly_fuel_price!B$13</f>
        <v>(Los Angeles)</v>
      </c>
      <c r="J42" s="16">
        <f>baf_monthly_fuel_price!C$13</f>
        <v>122</v>
      </c>
      <c r="K42" s="22" t="str">
        <f>baf_monthly_fuel_price!D$13</f>
        <v>(LSFO)</v>
      </c>
      <c r="L42" s="83">
        <f>baf_monthly_fuel_price!E$13</f>
        <v>44256</v>
      </c>
      <c r="M42" s="117">
        <f>baf_monthly_fuel_price!F$13</f>
        <v>500</v>
      </c>
      <c r="N42" s="16">
        <f>'project_baf_route_fuel_mixing_%'!A$7</f>
        <v>12345</v>
      </c>
      <c r="O42" s="16">
        <f>project_baf_route_location!D$4</f>
        <v>72</v>
      </c>
      <c r="P42" s="22" t="str">
        <f>project_baf_route_location!E$4</f>
        <v>(Los Angeles)</v>
      </c>
      <c r="Q42" s="16">
        <f>'project_baf_route_fuel_mixing_%'!B$7</f>
        <v>252</v>
      </c>
      <c r="R42" s="22" t="str">
        <f>'project_baf_route_fuel_mixing_%'!C7</f>
        <v>(12 - US GULF COAST - MEDITERRANEAN)</v>
      </c>
      <c r="S42" s="16">
        <f>'project_baf_route_fuel_mixing_%'!D$7</f>
        <v>122</v>
      </c>
      <c r="T42" s="22" t="str">
        <f>'project_baf_route_fuel_mixing_%'!E$7</f>
        <v>(LSFO)</v>
      </c>
      <c r="U42" s="117">
        <f>'project_baf_route_fuel_mixing_%'!F$7</f>
        <v>0.65</v>
      </c>
      <c r="V42" s="38">
        <f t="shared" si="10"/>
        <v>44256</v>
      </c>
      <c r="W42" s="38">
        <f t="shared" si="11"/>
        <v>44348</v>
      </c>
      <c r="X42" s="38">
        <f t="shared" si="12"/>
        <v>44377.999989999997</v>
      </c>
      <c r="Y42" s="49">
        <f t="shared" si="13"/>
        <v>325</v>
      </c>
    </row>
    <row r="43" spans="1:25" x14ac:dyDescent="0.25">
      <c r="A43" s="116" t="s">
        <v>139</v>
      </c>
      <c r="B43" s="34">
        <f>project!A$2</f>
        <v>12345</v>
      </c>
      <c r="C43" s="35" t="str">
        <f>project!B$2</f>
        <v>228b4088-8661-11eb-8dcd-0242ac130003</v>
      </c>
      <c r="D43" s="34">
        <f>project_baf_parameter!A$2</f>
        <v>12345</v>
      </c>
      <c r="E43" s="17">
        <f>project_baf_parameter!B$2</f>
        <v>-0.15</v>
      </c>
      <c r="F43" s="17">
        <f>project_baf_parameter!C$2</f>
        <v>0.15</v>
      </c>
      <c r="G43" s="17">
        <f>project_baf_parameter!D$2</f>
        <v>3</v>
      </c>
      <c r="H43" s="16">
        <f>baf_monthly_fuel_price!A$12</f>
        <v>72</v>
      </c>
      <c r="I43" s="22" t="str">
        <f>baf_monthly_fuel_price!B$12</f>
        <v>(Los Angeles)</v>
      </c>
      <c r="J43" s="16">
        <f>baf_monthly_fuel_price!C$12</f>
        <v>121</v>
      </c>
      <c r="K43" s="22" t="str">
        <f>baf_monthly_fuel_price!D$12</f>
        <v>(MGO)</v>
      </c>
      <c r="L43" s="83">
        <f>baf_monthly_fuel_price!E$12</f>
        <v>44256</v>
      </c>
      <c r="M43" s="117">
        <f>baf_monthly_fuel_price!F$12</f>
        <v>550</v>
      </c>
      <c r="N43" s="16">
        <f>'project_baf_route_fuel_mixing_%'!A$8</f>
        <v>12345</v>
      </c>
      <c r="O43" s="16">
        <f>project_baf_route_location!D$5</f>
        <v>72</v>
      </c>
      <c r="P43" s="22" t="str">
        <f>project_baf_route_location!E$5</f>
        <v>(Los Angeles)</v>
      </c>
      <c r="Q43" s="16">
        <f>'project_baf_route_fuel_mixing_%'!B$8</f>
        <v>253</v>
      </c>
      <c r="R43" s="22" t="str">
        <f>'project_baf_route_fuel_mixing_%'!C8</f>
        <v>(13 - US GULF COAST - MIDDLE EAST, SOUTH ASIA, INDIAN OCEAN)</v>
      </c>
      <c r="S43" s="16">
        <f>'project_baf_route_fuel_mixing_%'!D$8</f>
        <v>121</v>
      </c>
      <c r="T43" s="22" t="str">
        <f>'project_baf_route_fuel_mixing_%'!E$8</f>
        <v>(MGO)</v>
      </c>
      <c r="U43" s="117">
        <f>'project_baf_route_fuel_mixing_%'!F$8</f>
        <v>0.28999999999999998</v>
      </c>
      <c r="V43" s="38">
        <f t="shared" si="10"/>
        <v>44256</v>
      </c>
      <c r="W43" s="38">
        <f t="shared" si="11"/>
        <v>44348</v>
      </c>
      <c r="X43" s="38">
        <f t="shared" si="12"/>
        <v>44377.999989999997</v>
      </c>
      <c r="Y43" s="49">
        <f t="shared" si="13"/>
        <v>159.5</v>
      </c>
    </row>
    <row r="44" spans="1:25" x14ac:dyDescent="0.25">
      <c r="A44" s="116" t="s">
        <v>139</v>
      </c>
      <c r="B44" s="34">
        <f>project!A$2</f>
        <v>12345</v>
      </c>
      <c r="C44" s="35" t="str">
        <f>project!B$2</f>
        <v>228b4088-8661-11eb-8dcd-0242ac130003</v>
      </c>
      <c r="D44" s="34">
        <f>project_baf_parameter!A$2</f>
        <v>12345</v>
      </c>
      <c r="E44" s="17">
        <f>project_baf_parameter!B$2</f>
        <v>-0.15</v>
      </c>
      <c r="F44" s="17">
        <f>project_baf_parameter!C$2</f>
        <v>0.15</v>
      </c>
      <c r="G44" s="17">
        <f>project_baf_parameter!D$2</f>
        <v>3</v>
      </c>
      <c r="H44" s="16">
        <f>baf_monthly_fuel_price!A$13</f>
        <v>72</v>
      </c>
      <c r="I44" s="22" t="str">
        <f>baf_monthly_fuel_price!B$13</f>
        <v>(Los Angeles)</v>
      </c>
      <c r="J44" s="16">
        <f>baf_monthly_fuel_price!C$13</f>
        <v>122</v>
      </c>
      <c r="K44" s="22" t="str">
        <f>baf_monthly_fuel_price!D$13</f>
        <v>(LSFO)</v>
      </c>
      <c r="L44" s="83">
        <f>baf_monthly_fuel_price!E$13</f>
        <v>44256</v>
      </c>
      <c r="M44" s="117">
        <f>baf_monthly_fuel_price!F$13</f>
        <v>500</v>
      </c>
      <c r="N44" s="16">
        <f>'project_baf_route_fuel_mixing_%'!A$9</f>
        <v>12345</v>
      </c>
      <c r="O44" s="16">
        <f>project_baf_route_location!D$5</f>
        <v>72</v>
      </c>
      <c r="P44" s="22" t="str">
        <f>project_baf_route_location!E$5</f>
        <v>(Los Angeles)</v>
      </c>
      <c r="Q44" s="16">
        <f>'project_baf_route_fuel_mixing_%'!B$9</f>
        <v>253</v>
      </c>
      <c r="R44" s="22" t="str">
        <f>'project_baf_route_fuel_mixing_%'!C9</f>
        <v>(13 - US GULF COAST - MIDDLE EAST, SOUTH ASIA, INDIAN OCEAN)</v>
      </c>
      <c r="S44" s="16">
        <f>'project_baf_route_fuel_mixing_%'!D$9</f>
        <v>122</v>
      </c>
      <c r="T44" s="22" t="str">
        <f>'project_baf_route_fuel_mixing_%'!E$9</f>
        <v>(LSFO)</v>
      </c>
      <c r="U44" s="117">
        <f>'project_baf_route_fuel_mixing_%'!F$9</f>
        <v>0.71</v>
      </c>
      <c r="V44" s="38">
        <f t="shared" si="10"/>
        <v>44256</v>
      </c>
      <c r="W44" s="38">
        <f t="shared" si="11"/>
        <v>44348</v>
      </c>
      <c r="X44" s="38">
        <f t="shared" si="12"/>
        <v>44377.999989999997</v>
      </c>
      <c r="Y44" s="49">
        <f t="shared" si="13"/>
        <v>355</v>
      </c>
    </row>
    <row r="45" spans="1:25" x14ac:dyDescent="0.25">
      <c r="M45" s="32"/>
      <c r="U45" s="32"/>
      <c r="Y45" s="32"/>
    </row>
    <row r="46" spans="1:25" x14ac:dyDescent="0.25">
      <c r="B46" s="36"/>
      <c r="C46" s="14" t="s">
        <v>9</v>
      </c>
      <c r="D46" s="36"/>
      <c r="E46" s="36"/>
      <c r="F46" s="36"/>
      <c r="G46" s="14" t="s">
        <v>9</v>
      </c>
      <c r="H46" s="36"/>
      <c r="I46" s="36"/>
      <c r="J46" s="36"/>
      <c r="K46" s="36"/>
      <c r="L46" s="36"/>
      <c r="M46" s="140"/>
      <c r="N46" s="14" t="s">
        <v>9</v>
      </c>
      <c r="O46" s="14" t="s">
        <v>9</v>
      </c>
      <c r="P46" s="14"/>
      <c r="Q46" s="14" t="s">
        <v>9</v>
      </c>
      <c r="R46" s="36"/>
      <c r="S46" s="36"/>
      <c r="T46" s="36"/>
      <c r="U46" s="140"/>
      <c r="V46" s="14" t="s">
        <v>9</v>
      </c>
      <c r="W46" s="14" t="s">
        <v>9</v>
      </c>
      <c r="X46" s="14" t="s">
        <v>9</v>
      </c>
      <c r="Y46" s="138" t="s">
        <v>9</v>
      </c>
    </row>
    <row r="47" spans="1:25" x14ac:dyDescent="0.25">
      <c r="B47" s="13"/>
      <c r="C47" s="13" t="s">
        <v>10</v>
      </c>
      <c r="D47" s="13"/>
      <c r="E47" s="13"/>
      <c r="F47" s="13"/>
      <c r="G47" s="13" t="s">
        <v>10</v>
      </c>
      <c r="H47" s="13"/>
      <c r="I47" s="13"/>
      <c r="J47" s="13"/>
      <c r="K47" s="13"/>
      <c r="L47" s="13"/>
      <c r="M47" s="139"/>
      <c r="N47" s="13" t="s">
        <v>10</v>
      </c>
      <c r="O47" s="13" t="s">
        <v>10</v>
      </c>
      <c r="P47" s="13"/>
      <c r="Q47" s="13" t="s">
        <v>10</v>
      </c>
      <c r="R47" s="13"/>
      <c r="S47" s="13"/>
      <c r="T47" s="13"/>
      <c r="U47" s="139"/>
      <c r="V47" s="13" t="s">
        <v>19</v>
      </c>
      <c r="W47" s="13" t="s">
        <v>19</v>
      </c>
      <c r="X47" s="13" t="s">
        <v>19</v>
      </c>
      <c r="Y47" s="139" t="s">
        <v>11</v>
      </c>
    </row>
    <row r="48" spans="1:25" x14ac:dyDescent="0.25">
      <c r="M48" s="32"/>
      <c r="U48" s="32"/>
      <c r="Y48" s="32"/>
    </row>
    <row r="49" spans="3:25" x14ac:dyDescent="0.25">
      <c r="C49" t="str">
        <f>C37</f>
        <v>228b4088-8661-11eb-8dcd-0242ac130003</v>
      </c>
      <c r="G49">
        <f>G37</f>
        <v>3</v>
      </c>
      <c r="J49" s="7"/>
      <c r="K49" s="8"/>
      <c r="L49" s="8"/>
      <c r="M49" s="32"/>
      <c r="N49">
        <f>N37</f>
        <v>12345</v>
      </c>
      <c r="O49">
        <f>O37</f>
        <v>71</v>
      </c>
      <c r="P49" s="31" t="str">
        <f>P37</f>
        <v>(Houston)</v>
      </c>
      <c r="Q49">
        <f>Q37</f>
        <v>250</v>
      </c>
      <c r="R49" s="31" t="str">
        <f>R37</f>
        <v>(10 - US GULF COAST - SCANDINAVIA, BALTIC)</v>
      </c>
      <c r="U49" s="32"/>
      <c r="V49" s="8">
        <f t="shared" ref="V49:X52" si="14">V37</f>
        <v>44256</v>
      </c>
      <c r="W49" s="8">
        <f t="shared" si="14"/>
        <v>44348</v>
      </c>
      <c r="X49" s="8">
        <f t="shared" si="14"/>
        <v>44377.999989999997</v>
      </c>
      <c r="Y49" s="40">
        <f>SUM(Y37:Y38)</f>
        <v>569.79999999999995</v>
      </c>
    </row>
    <row r="50" spans="3:25" x14ac:dyDescent="0.25">
      <c r="C50" t="str">
        <f>C39</f>
        <v>228b4088-8661-11eb-8dcd-0242ac130003</v>
      </c>
      <c r="G50">
        <f>G39</f>
        <v>3</v>
      </c>
      <c r="J50" s="7"/>
      <c r="K50" s="8"/>
      <c r="L50" s="8"/>
      <c r="M50" s="32"/>
      <c r="N50">
        <f>N39</f>
        <v>12345</v>
      </c>
      <c r="O50">
        <f>O39</f>
        <v>71</v>
      </c>
      <c r="P50" s="31" t="str">
        <f>P39</f>
        <v>(Houston)</v>
      </c>
      <c r="Q50">
        <f>Q39</f>
        <v>251</v>
      </c>
      <c r="R50" s="31" t="str">
        <f>R39</f>
        <v>(11 - US GULF COAST - CONTINENTAL EUROPE, UNITED KINGDOM, IRELAND)</v>
      </c>
      <c r="U50" s="32"/>
      <c r="V50" s="8">
        <f t="shared" si="14"/>
        <v>44256</v>
      </c>
      <c r="W50" s="8">
        <f t="shared" si="14"/>
        <v>44348</v>
      </c>
      <c r="X50" s="8">
        <f t="shared" si="14"/>
        <v>44377.999989999997</v>
      </c>
      <c r="Y50" s="32">
        <f>SUM(Y39:Y40)</f>
        <v>554.40000000000009</v>
      </c>
    </row>
    <row r="51" spans="3:25" x14ac:dyDescent="0.25">
      <c r="C51" t="str">
        <f>C41</f>
        <v>228b4088-8661-11eb-8dcd-0242ac130003</v>
      </c>
      <c r="G51">
        <f>G41</f>
        <v>3</v>
      </c>
      <c r="J51" s="7"/>
      <c r="K51" s="8"/>
      <c r="L51" s="8"/>
      <c r="M51" s="32"/>
      <c r="N51">
        <f>N41</f>
        <v>12345</v>
      </c>
      <c r="O51">
        <f>O41</f>
        <v>72</v>
      </c>
      <c r="P51" s="31" t="str">
        <f>P41</f>
        <v>(Los Angeles)</v>
      </c>
      <c r="Q51">
        <f>Q41</f>
        <v>252</v>
      </c>
      <c r="R51" s="31" t="str">
        <f>R41</f>
        <v>(12 - US GULF COAST - MEDITERRANEAN)</v>
      </c>
      <c r="U51" s="32"/>
      <c r="V51" s="8">
        <f t="shared" si="14"/>
        <v>44256</v>
      </c>
      <c r="W51" s="8">
        <f t="shared" si="14"/>
        <v>44348</v>
      </c>
      <c r="X51" s="8">
        <f t="shared" si="14"/>
        <v>44377.999989999997</v>
      </c>
      <c r="Y51" s="32">
        <f>SUM(Y41:Y42)</f>
        <v>517.5</v>
      </c>
    </row>
    <row r="52" spans="3:25" x14ac:dyDescent="0.25">
      <c r="C52" t="str">
        <f>C43</f>
        <v>228b4088-8661-11eb-8dcd-0242ac130003</v>
      </c>
      <c r="G52">
        <f>G43</f>
        <v>3</v>
      </c>
      <c r="J52" s="7"/>
      <c r="K52" s="8"/>
      <c r="L52" s="8"/>
      <c r="M52" s="32"/>
      <c r="N52">
        <f>N43</f>
        <v>12345</v>
      </c>
      <c r="O52">
        <f>O43</f>
        <v>72</v>
      </c>
      <c r="P52" s="31" t="str">
        <f>P43</f>
        <v>(Los Angeles)</v>
      </c>
      <c r="Q52">
        <f>Q43</f>
        <v>253</v>
      </c>
      <c r="R52" s="31" t="str">
        <f>R43</f>
        <v>(13 - US GULF COAST - MIDDLE EAST, SOUTH ASIA, INDIAN OCEAN)</v>
      </c>
      <c r="U52" s="32"/>
      <c r="V52" s="8">
        <f t="shared" si="14"/>
        <v>44256</v>
      </c>
      <c r="W52" s="8">
        <f t="shared" si="14"/>
        <v>44348</v>
      </c>
      <c r="X52" s="8">
        <f t="shared" si="14"/>
        <v>44377.999989999997</v>
      </c>
      <c r="Y52" s="32">
        <f>SUM(Y43:Y44)</f>
        <v>514.5</v>
      </c>
    </row>
    <row r="53" spans="3:25" x14ac:dyDescent="0.25">
      <c r="J53" s="7"/>
      <c r="K53" s="8"/>
      <c r="L53" s="8"/>
      <c r="P53" s="4"/>
      <c r="Q53" s="4"/>
      <c r="R53" s="4"/>
      <c r="V53" s="8"/>
      <c r="W53" s="8"/>
      <c r="X53" s="8"/>
    </row>
    <row r="54" spans="3:25" x14ac:dyDescent="0.25">
      <c r="J54" s="7"/>
      <c r="K54" s="8"/>
      <c r="L54" s="8"/>
      <c r="P54" s="4"/>
      <c r="Q54" s="4"/>
      <c r="R54" s="4"/>
      <c r="V54" s="8"/>
      <c r="W54" s="8"/>
      <c r="X54" s="8"/>
    </row>
    <row r="55" spans="3:25" x14ac:dyDescent="0.25">
      <c r="C55" t="s">
        <v>267</v>
      </c>
    </row>
    <row r="56" spans="3:25" x14ac:dyDescent="0.25">
      <c r="C56" s="57" t="s">
        <v>13</v>
      </c>
      <c r="V56" s="32"/>
    </row>
    <row r="57" spans="3:25" x14ac:dyDescent="0.25">
      <c r="C57" s="59" t="s">
        <v>45</v>
      </c>
      <c r="V57" s="32"/>
    </row>
    <row r="58" spans="3:25" x14ac:dyDescent="0.25">
      <c r="C58" s="59" t="s">
        <v>46</v>
      </c>
      <c r="V58" s="12"/>
    </row>
    <row r="59" spans="3:25" x14ac:dyDescent="0.25">
      <c r="C59" s="59" t="s">
        <v>191</v>
      </c>
    </row>
    <row r="60" spans="3:25" x14ac:dyDescent="0.25">
      <c r="C60" s="59" t="s">
        <v>48</v>
      </c>
    </row>
    <row r="61" spans="3:25" x14ac:dyDescent="0.25">
      <c r="C61" s="59" t="s">
        <v>50</v>
      </c>
      <c r="N61" s="96"/>
      <c r="O61" s="111"/>
      <c r="P61" s="111"/>
      <c r="Q61" s="96"/>
    </row>
    <row r="62" spans="3:25" x14ac:dyDescent="0.25">
      <c r="C62" s="59" t="s">
        <v>93</v>
      </c>
      <c r="N62" s="96"/>
      <c r="O62" s="111"/>
      <c r="P62" s="111"/>
      <c r="Q62" s="96"/>
    </row>
    <row r="63" spans="3:25" x14ac:dyDescent="0.25">
      <c r="C63" s="59" t="s">
        <v>94</v>
      </c>
      <c r="N63" s="96"/>
      <c r="O63" s="111"/>
      <c r="P63" s="111"/>
      <c r="Q63" s="96"/>
    </row>
    <row r="64" spans="3:25" x14ac:dyDescent="0.25">
      <c r="C64" s="58" t="s">
        <v>102</v>
      </c>
      <c r="N64" s="96"/>
      <c r="O64" s="111"/>
      <c r="P64" s="111"/>
      <c r="Q64" s="96"/>
    </row>
    <row r="65" spans="3:17" x14ac:dyDescent="0.25">
      <c r="C65" s="58" t="s">
        <v>106</v>
      </c>
      <c r="N65" s="96"/>
      <c r="O65" s="111"/>
      <c r="P65" s="111"/>
      <c r="Q65" s="96"/>
    </row>
    <row r="66" spans="3:17" x14ac:dyDescent="0.25">
      <c r="C66" s="57" t="s">
        <v>199</v>
      </c>
      <c r="N66" s="96"/>
      <c r="O66" s="111"/>
      <c r="P66" s="111"/>
      <c r="Q66" s="96"/>
    </row>
    <row r="67" spans="3:17" x14ac:dyDescent="0.25">
      <c r="C67" s="58" t="s">
        <v>133</v>
      </c>
      <c r="N67" s="96"/>
      <c r="O67" s="111"/>
      <c r="P67" s="111"/>
      <c r="Q67" s="96"/>
    </row>
    <row r="68" spans="3:17" x14ac:dyDescent="0.25">
      <c r="C68" s="58" t="s">
        <v>95</v>
      </c>
      <c r="N68" s="96"/>
      <c r="O68" s="111"/>
      <c r="P68" s="111"/>
      <c r="Q68" s="96"/>
    </row>
    <row r="69" spans="3:17" x14ac:dyDescent="0.25">
      <c r="C69" s="58" t="s">
        <v>134</v>
      </c>
    </row>
    <row r="70" spans="3:17" x14ac:dyDescent="0.25">
      <c r="C70" s="58" t="s">
        <v>96</v>
      </c>
    </row>
    <row r="71" spans="3:17" x14ac:dyDescent="0.25">
      <c r="C71" s="60" t="s">
        <v>281</v>
      </c>
    </row>
    <row r="72" spans="3:17" x14ac:dyDescent="0.25">
      <c r="C72" s="59" t="s">
        <v>189</v>
      </c>
    </row>
    <row r="73" spans="3:17" x14ac:dyDescent="0.25">
      <c r="C73" s="59" t="s">
        <v>190</v>
      </c>
    </row>
    <row r="74" spans="3:17" x14ac:dyDescent="0.25">
      <c r="C74" s="57" t="s">
        <v>136</v>
      </c>
    </row>
    <row r="75" spans="3:17" x14ac:dyDescent="0.25">
      <c r="C75" s="59" t="s">
        <v>192</v>
      </c>
    </row>
    <row r="76" spans="3:17" x14ac:dyDescent="0.25">
      <c r="C76" s="59" t="s">
        <v>97</v>
      </c>
    </row>
    <row r="77" spans="3:17" x14ac:dyDescent="0.25">
      <c r="C77" s="58" t="s">
        <v>14</v>
      </c>
    </row>
    <row r="78" spans="3:17" x14ac:dyDescent="0.25">
      <c r="C78" s="152" t="s">
        <v>98</v>
      </c>
    </row>
    <row r="79" spans="3:17" x14ac:dyDescent="0.25">
      <c r="C79" s="152" t="s">
        <v>99</v>
      </c>
    </row>
    <row r="80" spans="3:17" x14ac:dyDescent="0.25">
      <c r="C80" s="59" t="s">
        <v>16</v>
      </c>
    </row>
    <row r="81" spans="2:3" x14ac:dyDescent="0.25">
      <c r="C81" s="58" t="s">
        <v>45</v>
      </c>
    </row>
    <row r="82" spans="2:3" x14ac:dyDescent="0.25">
      <c r="C82" s="58" t="s">
        <v>46</v>
      </c>
    </row>
    <row r="83" spans="2:3" x14ac:dyDescent="0.25">
      <c r="C83" s="59" t="s">
        <v>191</v>
      </c>
    </row>
    <row r="84" spans="2:3" x14ac:dyDescent="0.25">
      <c r="C84" s="58" t="s">
        <v>48</v>
      </c>
    </row>
    <row r="85" spans="2:3" x14ac:dyDescent="0.25">
      <c r="C85" s="58" t="s">
        <v>50</v>
      </c>
    </row>
    <row r="86" spans="2:3" x14ac:dyDescent="0.25">
      <c r="C86" s="58" t="s">
        <v>100</v>
      </c>
    </row>
    <row r="87" spans="2:3" x14ac:dyDescent="0.25">
      <c r="C87" s="58" t="s">
        <v>101</v>
      </c>
    </row>
    <row r="88" spans="2:3" x14ac:dyDescent="0.25">
      <c r="C88" s="58" t="s">
        <v>103</v>
      </c>
    </row>
    <row r="89" spans="2:3" x14ac:dyDescent="0.25">
      <c r="B89" s="37"/>
    </row>
  </sheetData>
  <autoFilter ref="A1:Y89" xr:uid="{DF0674DA-0355-4E6F-BFA8-BD36AA2C2002}"/>
  <pageMargins left="0.7" right="0.7" top="0.75" bottom="0.75" header="0.3" footer="0.3"/>
  <pageSetup orientation="portrait" horizontalDpi="4294967293" verticalDpi="4294967293" r:id="rId1"/>
  <ignoredErrors>
    <ignoredError sqref="H4:M8 H9:M9 H21:M27 H38:M44" formula="1"/>
  </ignoredError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C92E7-0CC6-4424-A887-238EB0705437}">
  <dimension ref="A1:AP125"/>
  <sheetViews>
    <sheetView zoomScaleNormal="100" workbookViewId="0">
      <pane xSplit="1" ySplit="1" topLeftCell="Z14" activePane="bottomRight" state="frozen"/>
      <selection pane="topRight" activeCell="B1" sqref="B1"/>
      <selection pane="bottomLeft" activeCell="A2" sqref="A2"/>
      <selection pane="bottomRight" activeCell="AO20" sqref="AO20:AP20"/>
    </sheetView>
  </sheetViews>
  <sheetFormatPr defaultRowHeight="15" outlineLevelCol="1" x14ac:dyDescent="0.25"/>
  <cols>
    <col min="1" max="1" width="10.5703125" hidden="1" customWidth="1" outlineLevel="1"/>
    <col min="2" max="2" width="37.140625" customWidth="1" collapsed="1"/>
    <col min="3" max="3" width="7" hidden="1" customWidth="1" outlineLevel="1"/>
    <col min="4" max="4" width="6.28515625" hidden="1" customWidth="1" outlineLevel="1"/>
    <col min="5" max="5" width="14" hidden="1" customWidth="1" outlineLevel="1"/>
    <col min="6" max="6" width="21.42578125" customWidth="1" collapsed="1"/>
    <col min="7" max="8" width="21.42578125" customWidth="1"/>
    <col min="9" max="9" width="23.42578125" customWidth="1"/>
    <col min="10" max="10" width="24.42578125" customWidth="1"/>
    <col min="11" max="11" width="37.140625" customWidth="1"/>
    <col min="12" max="12" width="7" hidden="1" customWidth="1" outlineLevel="1"/>
    <col min="13" max="13" width="18.28515625" customWidth="1" collapsed="1"/>
    <col min="14" max="14" width="25.5703125" customWidth="1"/>
    <col min="15" max="15" width="6.28515625" hidden="1" customWidth="1" outlineLevel="1"/>
    <col min="16" max="16" width="14" hidden="1" customWidth="1" outlineLevel="1"/>
    <col min="17" max="17" width="25.5703125" customWidth="1" collapsed="1"/>
    <col min="18" max="18" width="18.28515625" customWidth="1"/>
    <col min="19" max="19" width="17.28515625" bestFit="1" customWidth="1"/>
    <col min="20" max="20" width="19.28515625" bestFit="1" customWidth="1"/>
    <col min="21" max="21" width="22.42578125" customWidth="1"/>
    <col min="22" max="22" width="16.140625" bestFit="1" customWidth="1"/>
    <col min="23" max="23" width="15.140625" bestFit="1" customWidth="1"/>
    <col min="24" max="24" width="63.28515625" hidden="1" customWidth="1" outlineLevel="1"/>
    <col min="25" max="25" width="33.85546875" bestFit="1" customWidth="1" collapsed="1"/>
    <col min="26" max="26" width="32.7109375" customWidth="1"/>
    <col min="27" max="28" width="20.28515625" bestFit="1" customWidth="1"/>
    <col min="29" max="29" width="22.42578125" style="42" bestFit="1" customWidth="1"/>
    <col min="30" max="30" width="7" style="56" hidden="1" customWidth="1" outlineLevel="1"/>
    <col min="31" max="31" width="6.28515625" style="56" hidden="1" customWidth="1" outlineLevel="1"/>
    <col min="32" max="32" width="14" style="56" hidden="1" customWidth="1" outlineLevel="1"/>
    <col min="33" max="33" width="24.28515625" style="56" hidden="1" customWidth="1" outlineLevel="1"/>
    <col min="34" max="34" width="12" style="56" hidden="1" customWidth="1" outlineLevel="1"/>
    <col min="35" max="35" width="11.28515625" style="56" hidden="1" customWidth="1" outlineLevel="1"/>
    <col min="36" max="36" width="17.5703125" style="56" hidden="1" customWidth="1" outlineLevel="1"/>
    <col min="37" max="37" width="10.7109375" style="56" hidden="1" customWidth="1" outlineLevel="1"/>
    <col min="38" max="38" width="37.42578125" bestFit="1" customWidth="1" collapsed="1"/>
    <col min="39" max="39" width="10" bestFit="1" customWidth="1"/>
    <col min="40" max="40" width="22.5703125" customWidth="1"/>
    <col min="41" max="41" width="20.5703125" customWidth="1"/>
    <col min="42" max="42" width="14.140625" bestFit="1" customWidth="1"/>
  </cols>
  <sheetData>
    <row r="1" spans="1:42" s="4" customFormat="1" x14ac:dyDescent="0.25">
      <c r="A1" s="112" t="s">
        <v>137</v>
      </c>
      <c r="B1" s="43" t="str">
        <f>'Project BAF Rate Gen Buffers VW'!B1</f>
        <v>prjc_uuid</v>
      </c>
      <c r="C1" s="43" t="str">
        <f>'Project BAF Rate Gen Buffers VW'!K1</f>
        <v>prjc_id</v>
      </c>
      <c r="D1" s="43" t="str">
        <f>'Project BAF Rate Gen Buffers VW'!L1</f>
        <v>rte_id</v>
      </c>
      <c r="E1" s="21" t="str">
        <f>'Project BAF Rate Gen Buffers VW'!M1</f>
        <v>Derived Route Name</v>
      </c>
      <c r="F1" s="43" t="str">
        <f>'Project BAF Rate Gen Buffers VW'!Q1</f>
        <v>rte_bsln_usd</v>
      </c>
      <c r="G1" s="43" t="str">
        <f>'Project BAF Rate Gen Buffers VW'!D1</f>
        <v>prjc_low_buffer_lmt_nb</v>
      </c>
      <c r="H1" s="43" t="str">
        <f>'Project BAF Rate Gen Buffers VW'!E1</f>
        <v>prjc_high_buffer_lmt_nb</v>
      </c>
      <c r="I1" s="43" t="str">
        <f>'Project BAF Rate Gen Buffers VW'!R1</f>
        <v>rte_buffer_low_usd</v>
      </c>
      <c r="J1" s="43" t="str">
        <f>'Project BAF Rate Gen Buffers VW'!S1</f>
        <v>rte_buffer_high_usd</v>
      </c>
      <c r="K1" s="44" t="str">
        <f>'Project BAF Rate Gen Prices VW'!C1</f>
        <v>prjc_uuid</v>
      </c>
      <c r="L1" s="44" t="str">
        <f>'Project BAF Rate Gen Prices VW'!N1</f>
        <v>prjc_id</v>
      </c>
      <c r="M1" s="44" t="str">
        <f>'Project BAF Rate Gen Prices VW'!O$1</f>
        <v>baf_loc_id</v>
      </c>
      <c r="N1" s="18" t="str">
        <f>'BAF Location'!B1</f>
        <v>baf_loc_cd</v>
      </c>
      <c r="O1" s="44" t="str">
        <f>'Project BAF Rate Gen Prices VW'!Q$1</f>
        <v>rte_id</v>
      </c>
      <c r="P1" s="21" t="str">
        <f>'Project BAF Rate Gen Prices VW'!R$1</f>
        <v>(Derived Route Name)</v>
      </c>
      <c r="Q1" s="44" t="str">
        <f>'Project BAF Rate Gen Prices VW'!G1</f>
        <v>prjc_prc_mth_ofst</v>
      </c>
      <c r="R1" s="44" t="str">
        <f>'Project BAF Rate Gen Prices VW'!V1</f>
        <v>prc_mth_dt</v>
      </c>
      <c r="S1" s="44" t="str">
        <f>'Project BAF Rate Gen Prices VW'!W1</f>
        <v>rt_eff_dt</v>
      </c>
      <c r="T1" s="44" t="str">
        <f>'Project BAF Rate Gen Prices VW'!X1</f>
        <v>rt_exprn_dt</v>
      </c>
      <c r="U1" s="44" t="str">
        <f>'Project BAF Rate Gen Prices VW'!Y1</f>
        <v>mth_rte_prc_nb</v>
      </c>
      <c r="V1" s="26" t="str">
        <f>project_baf_technical_factor!A1</f>
        <v>prjc_id</v>
      </c>
      <c r="W1" s="26" t="str">
        <f>project_baf_technical_factor!B1</f>
        <v>rte_id</v>
      </c>
      <c r="X1" s="153" t="str">
        <f>route!E$1</f>
        <v>Derived Route Name</v>
      </c>
      <c r="Y1" s="26" t="str">
        <f>project_baf_technical_factor!D1</f>
        <v>baf_frght_payable_unt_id</v>
      </c>
      <c r="Z1" s="145" t="str">
        <f>baf_freight_payable_unit!$B$1</f>
        <v>baf_frght_payable_unt_cd</v>
      </c>
      <c r="AA1" s="26" t="str">
        <f>project_baf_technical_factor!F1</f>
        <v>crgo_typ_cd</v>
      </c>
      <c r="AB1" s="23" t="str">
        <f>cargo_type!C1</f>
        <v>crgo_typ_nm</v>
      </c>
      <c r="AC1" s="45" t="str">
        <f>project_baf_technical_factor!H1</f>
        <v>techl_fctr_nb</v>
      </c>
      <c r="AD1" s="68" t="str">
        <f>AD60</f>
        <v>prjc_id</v>
      </c>
      <c r="AE1" s="68" t="str">
        <f t="shared" ref="AE1:AL1" si="0">AE60</f>
        <v>rte_id</v>
      </c>
      <c r="AF1" s="71" t="str">
        <f t="shared" si="0"/>
        <v>(What Route?)</v>
      </c>
      <c r="AG1" s="68" t="str">
        <f t="shared" si="0"/>
        <v>baf_frght_payable_unt_id</v>
      </c>
      <c r="AH1" s="71" t="str">
        <f t="shared" si="0"/>
        <v>(What FPU?)</v>
      </c>
      <c r="AI1" s="68" t="str">
        <f t="shared" si="0"/>
        <v>crgo_typ_cd</v>
      </c>
      <c r="AJ1" s="71" t="str">
        <f t="shared" si="0"/>
        <v>(What Crgo Type?)</v>
      </c>
      <c r="AK1" s="68" t="str">
        <f t="shared" si="0"/>
        <v>eff_dt</v>
      </c>
      <c r="AL1" s="69" t="str">
        <f t="shared" si="0"/>
        <v>prjc_baf_rt_uuid</v>
      </c>
      <c r="AM1" s="48" t="s">
        <v>65</v>
      </c>
      <c r="AN1" s="48" t="s">
        <v>261</v>
      </c>
      <c r="AO1" s="48" t="s">
        <v>263</v>
      </c>
      <c r="AP1" s="48" t="s">
        <v>265</v>
      </c>
    </row>
    <row r="2" spans="1:42" s="4" customFormat="1" x14ac:dyDescent="0.25">
      <c r="A2" s="111"/>
      <c r="B2" s="119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20"/>
      <c r="AD2" s="121"/>
      <c r="AE2" s="121"/>
      <c r="AF2" s="122"/>
      <c r="AG2" s="121"/>
      <c r="AH2" s="122"/>
      <c r="AI2" s="121"/>
      <c r="AJ2" s="122"/>
      <c r="AK2" s="118"/>
      <c r="AL2" s="123"/>
      <c r="AM2" s="111"/>
      <c r="AN2" s="111"/>
      <c r="AO2" s="111"/>
      <c r="AP2" s="111"/>
    </row>
    <row r="3" spans="1:42" s="4" customFormat="1" x14ac:dyDescent="0.25">
      <c r="A3" s="116" t="s">
        <v>138</v>
      </c>
      <c r="B3" s="46" t="str">
        <f>'Project BAF Rate Gen Buffers VW'!B$14</f>
        <v>228b4088-8661-11eb-8dcd-0242ac130003</v>
      </c>
      <c r="C3" s="47">
        <f>'Project BAF Rate Gen Buffers VW'!K$14</f>
        <v>12345</v>
      </c>
      <c r="D3" s="43">
        <f>'Project BAF Rate Gen Buffers VW'!L$14</f>
        <v>250</v>
      </c>
      <c r="E3" s="21" t="str">
        <f>'Project BAF Rate Gen Buffers VW'!M$14</f>
        <v>10 - US GULF COAST - SCANDINAVIA, BALTIC</v>
      </c>
      <c r="F3" s="49">
        <f>'Project BAF Rate Gen Buffers VW'!Q$14</f>
        <v>740</v>
      </c>
      <c r="G3" s="49">
        <f>'Project BAF Rate Gen Buffers VW'!D$14</f>
        <v>-0.15</v>
      </c>
      <c r="H3" s="49">
        <f>'Project BAF Rate Gen Buffers VW'!E$14</f>
        <v>0.15</v>
      </c>
      <c r="I3" s="49">
        <f>'Project BAF Rate Gen Buffers VW'!R$14</f>
        <v>629</v>
      </c>
      <c r="J3" s="49">
        <f>'Project BAF Rate Gen Buffers VW'!S$14</f>
        <v>851</v>
      </c>
      <c r="K3" s="49" t="str">
        <f>'Project BAF Rate Gen Prices VW'!C$15</f>
        <v>228b4088-8661-11eb-8dcd-0242ac130003</v>
      </c>
      <c r="L3" s="47">
        <f>'Project BAF Rate Gen Prices VW'!N$15</f>
        <v>12345</v>
      </c>
      <c r="M3" s="46">
        <f>'Project BAF Rate Gen Prices VW'!O$15</f>
        <v>71</v>
      </c>
      <c r="N3" s="46" t="str">
        <f>'BAF Location'!B$2</f>
        <v>Houston</v>
      </c>
      <c r="O3" s="50">
        <f>'Project BAF Rate Gen Prices VW'!Q$15</f>
        <v>250</v>
      </c>
      <c r="P3" s="21" t="str">
        <f>'Project BAF Rate Gen Prices VW'!R$15</f>
        <v>(10 - US GULF COAST - SCANDINAVIA, BALTIC)</v>
      </c>
      <c r="Q3" s="46">
        <f>'Project BAF Rate Gen Prices VW'!G$15</f>
        <v>3</v>
      </c>
      <c r="R3" s="51">
        <f>'Project BAF Rate Gen Prices VW'!V$15</f>
        <v>44197</v>
      </c>
      <c r="S3" s="51">
        <f>'Project BAF Rate Gen Prices VW'!W$15</f>
        <v>44287</v>
      </c>
      <c r="T3" s="51">
        <f>'Project BAF Rate Gen Prices VW'!X$15</f>
        <v>44316.999989999997</v>
      </c>
      <c r="U3" s="52">
        <f>'Project BAF Rate Gen Prices VW'!Y$15</f>
        <v>902.8</v>
      </c>
      <c r="V3" s="47">
        <f>project_baf_technical_factor!A$2</f>
        <v>12345</v>
      </c>
      <c r="W3" s="50">
        <f>project_baf_technical_factor!B$2</f>
        <v>250</v>
      </c>
      <c r="X3" s="74" t="str">
        <f>route!E$2</f>
        <v>10 - US GULF COAST - SCANDINAVIA, BALTIC</v>
      </c>
      <c r="Y3" s="46">
        <f>project_baf_technical_factor!D$2</f>
        <v>21</v>
      </c>
      <c r="Z3" s="46" t="str">
        <f>baf_freight_payable_unit!$B$2</f>
        <v>TEU</v>
      </c>
      <c r="AA3" s="46" t="str">
        <f>project_baf_technical_factor!F$2</f>
        <v>C</v>
      </c>
      <c r="AB3" s="46" t="str">
        <f>cargo_type!C2</f>
        <v>Container</v>
      </c>
      <c r="AC3" s="53">
        <f>project_baf_technical_factor!H$2</f>
        <v>0.24</v>
      </c>
      <c r="AD3" s="46" t="str">
        <f t="shared" ref="AD3:AL3" si="1">IF($AL$21="Update",AD$61,TRIM(" "))</f>
        <v/>
      </c>
      <c r="AE3" s="46" t="str">
        <f t="shared" si="1"/>
        <v/>
      </c>
      <c r="AF3" s="21" t="str">
        <f t="shared" si="1"/>
        <v/>
      </c>
      <c r="AG3" s="46" t="str">
        <f t="shared" si="1"/>
        <v/>
      </c>
      <c r="AH3" s="21" t="str">
        <f t="shared" si="1"/>
        <v/>
      </c>
      <c r="AI3" s="46" t="str">
        <f t="shared" si="1"/>
        <v/>
      </c>
      <c r="AJ3" s="21" t="str">
        <f t="shared" si="1"/>
        <v/>
      </c>
      <c r="AK3" s="8" t="str">
        <f t="shared" si="1"/>
        <v/>
      </c>
      <c r="AL3" s="46" t="str">
        <f t="shared" si="1"/>
        <v/>
      </c>
      <c r="AM3" s="46" t="str">
        <f>IF(LEN(AL3)=0,"Insert","Update")</f>
        <v>Insert</v>
      </c>
      <c r="AN3" s="52">
        <f>ROUND(IF(U3&gt;J3,U3-J3,IF(U3&lt;I3,U3-I3,0)),2)</f>
        <v>51.8</v>
      </c>
      <c r="AO3" s="52">
        <f>ROUND(AN3*AC3,2)</f>
        <v>12.43</v>
      </c>
      <c r="AP3" s="46" t="s">
        <v>78</v>
      </c>
    </row>
    <row r="4" spans="1:42" s="4" customFormat="1" x14ac:dyDescent="0.25">
      <c r="A4" s="116" t="s">
        <v>138</v>
      </c>
      <c r="B4" s="46" t="str">
        <f>'Project BAF Rate Gen Buffers VW'!B$14</f>
        <v>228b4088-8661-11eb-8dcd-0242ac130003</v>
      </c>
      <c r="C4" s="47">
        <f>'Project BAF Rate Gen Buffers VW'!K$14</f>
        <v>12345</v>
      </c>
      <c r="D4" s="43">
        <f>'Project BAF Rate Gen Buffers VW'!L$14</f>
        <v>250</v>
      </c>
      <c r="E4" s="21" t="str">
        <f>'Project BAF Rate Gen Buffers VW'!M$14</f>
        <v>10 - US GULF COAST - SCANDINAVIA, BALTIC</v>
      </c>
      <c r="F4" s="49">
        <f>'Project BAF Rate Gen Buffers VW'!Q$14</f>
        <v>740</v>
      </c>
      <c r="G4" s="49">
        <f>'Project BAF Rate Gen Buffers VW'!D$14</f>
        <v>-0.15</v>
      </c>
      <c r="H4" s="49">
        <f>'Project BAF Rate Gen Buffers VW'!E$14</f>
        <v>0.15</v>
      </c>
      <c r="I4" s="49">
        <f>'Project BAF Rate Gen Buffers VW'!R$14</f>
        <v>629</v>
      </c>
      <c r="J4" s="49">
        <f>'Project BAF Rate Gen Buffers VW'!S$14</f>
        <v>851</v>
      </c>
      <c r="K4" s="49" t="str">
        <f>'Project BAF Rate Gen Prices VW'!C$15</f>
        <v>228b4088-8661-11eb-8dcd-0242ac130003</v>
      </c>
      <c r="L4" s="47">
        <f>'Project BAF Rate Gen Prices VW'!N$15</f>
        <v>12345</v>
      </c>
      <c r="M4" s="46">
        <f>'Project BAF Rate Gen Prices VW'!O$15</f>
        <v>71</v>
      </c>
      <c r="N4" s="46" t="str">
        <f>'BAF Location'!B$2</f>
        <v>Houston</v>
      </c>
      <c r="O4" s="50">
        <f>'Project BAF Rate Gen Prices VW'!Q$15</f>
        <v>250</v>
      </c>
      <c r="P4" s="21" t="str">
        <f>'Project BAF Rate Gen Prices VW'!R$15</f>
        <v>(10 - US GULF COAST - SCANDINAVIA, BALTIC)</v>
      </c>
      <c r="Q4" s="46">
        <f>'Project BAF Rate Gen Prices VW'!G$15</f>
        <v>3</v>
      </c>
      <c r="R4" s="51">
        <f>'Project BAF Rate Gen Prices VW'!V$15</f>
        <v>44197</v>
      </c>
      <c r="S4" s="51">
        <f>'Project BAF Rate Gen Prices VW'!W$15</f>
        <v>44287</v>
      </c>
      <c r="T4" s="51">
        <f>'Project BAF Rate Gen Prices VW'!X$15</f>
        <v>44316.999989999997</v>
      </c>
      <c r="U4" s="52">
        <f>'Project BAF Rate Gen Prices VW'!Y$15</f>
        <v>902.8</v>
      </c>
      <c r="V4" s="47">
        <f>project_baf_technical_factor!A$3</f>
        <v>12345</v>
      </c>
      <c r="W4" s="50">
        <f>project_baf_technical_factor!B$3</f>
        <v>250</v>
      </c>
      <c r="X4" s="74" t="str">
        <f>route!E$2</f>
        <v>10 - US GULF COAST - SCANDINAVIA, BALTIC</v>
      </c>
      <c r="Y4" s="46">
        <f>project_baf_technical_factor!D$3</f>
        <v>22</v>
      </c>
      <c r="Z4" s="46" t="str">
        <f>baf_freight_payable_unit!$B$3</f>
        <v>FEU</v>
      </c>
      <c r="AA4" s="46" t="str">
        <f>project_baf_technical_factor!F$3</f>
        <v>C</v>
      </c>
      <c r="AB4" s="46" t="str">
        <f>cargo_type!C2</f>
        <v>Container</v>
      </c>
      <c r="AC4" s="53">
        <f>project_baf_technical_factor!H$3</f>
        <v>0.47</v>
      </c>
      <c r="AD4" s="46" t="str">
        <f t="shared" ref="AD4:AL4" si="2">IF($AL$21="Update",AD$62,TRIM(" "))</f>
        <v/>
      </c>
      <c r="AE4" s="46" t="str">
        <f t="shared" si="2"/>
        <v/>
      </c>
      <c r="AF4" s="21" t="str">
        <f t="shared" si="2"/>
        <v/>
      </c>
      <c r="AG4" s="46" t="str">
        <f t="shared" si="2"/>
        <v/>
      </c>
      <c r="AH4" s="21" t="str">
        <f t="shared" si="2"/>
        <v/>
      </c>
      <c r="AI4" s="46" t="str">
        <f t="shared" si="2"/>
        <v/>
      </c>
      <c r="AJ4" s="21" t="str">
        <f t="shared" si="2"/>
        <v/>
      </c>
      <c r="AK4" s="8" t="str">
        <f t="shared" si="2"/>
        <v/>
      </c>
      <c r="AL4" s="46" t="str">
        <f t="shared" si="2"/>
        <v/>
      </c>
      <c r="AM4" s="46" t="str">
        <f t="shared" ref="AM4:AM14" si="3">IF(LEN(AL4)=0,"Insert","Update")</f>
        <v>Insert</v>
      </c>
      <c r="AN4" s="52">
        <f t="shared" ref="AN4:AN14" si="4">ROUND(IF(U4&gt;J4,U4-J4,IF(U4&lt;I4,U4-I4,0)),2)</f>
        <v>51.8</v>
      </c>
      <c r="AO4" s="52">
        <f t="shared" ref="AO4:AO14" si="5">ROUND(AN4*AC4,2)</f>
        <v>24.35</v>
      </c>
      <c r="AP4" s="46" t="s">
        <v>78</v>
      </c>
    </row>
    <row r="5" spans="1:42" s="4" customFormat="1" x14ac:dyDescent="0.25">
      <c r="A5" s="116" t="s">
        <v>138</v>
      </c>
      <c r="B5" s="46" t="str">
        <f>'Project BAF Rate Gen Buffers VW'!B$14</f>
        <v>228b4088-8661-11eb-8dcd-0242ac130003</v>
      </c>
      <c r="C5" s="47">
        <f>'Project BAF Rate Gen Buffers VW'!K$14</f>
        <v>12345</v>
      </c>
      <c r="D5" s="43">
        <f>'Project BAF Rate Gen Buffers VW'!L$14</f>
        <v>250</v>
      </c>
      <c r="E5" s="21" t="str">
        <f>'Project BAF Rate Gen Buffers VW'!M$14</f>
        <v>10 - US GULF COAST - SCANDINAVIA, BALTIC</v>
      </c>
      <c r="F5" s="49">
        <f>'Project BAF Rate Gen Buffers VW'!Q$14</f>
        <v>740</v>
      </c>
      <c r="G5" s="49">
        <f>'Project BAF Rate Gen Buffers VW'!D$14</f>
        <v>-0.15</v>
      </c>
      <c r="H5" s="49">
        <f>'Project BAF Rate Gen Buffers VW'!E$14</f>
        <v>0.15</v>
      </c>
      <c r="I5" s="49">
        <f>'Project BAF Rate Gen Buffers VW'!R$14</f>
        <v>629</v>
      </c>
      <c r="J5" s="49">
        <f>'Project BAF Rate Gen Buffers VW'!S$14</f>
        <v>851</v>
      </c>
      <c r="K5" s="49" t="str">
        <f>'Project BAF Rate Gen Prices VW'!C$15</f>
        <v>228b4088-8661-11eb-8dcd-0242ac130003</v>
      </c>
      <c r="L5" s="47">
        <f>'Project BAF Rate Gen Prices VW'!N$15</f>
        <v>12345</v>
      </c>
      <c r="M5" s="46">
        <f>'Project BAF Rate Gen Prices VW'!O$15</f>
        <v>71</v>
      </c>
      <c r="N5" s="46" t="str">
        <f>'BAF Location'!B$2</f>
        <v>Houston</v>
      </c>
      <c r="O5" s="50">
        <f>'Project BAF Rate Gen Prices VW'!Q$15</f>
        <v>250</v>
      </c>
      <c r="P5" s="21" t="str">
        <f>'Project BAF Rate Gen Prices VW'!R$15</f>
        <v>(10 - US GULF COAST - SCANDINAVIA, BALTIC)</v>
      </c>
      <c r="Q5" s="46">
        <f>'Project BAF Rate Gen Prices VW'!G$15</f>
        <v>3</v>
      </c>
      <c r="R5" s="51">
        <f>'Project BAF Rate Gen Prices VW'!V$15</f>
        <v>44197</v>
      </c>
      <c r="S5" s="51">
        <f>'Project BAF Rate Gen Prices VW'!W$15</f>
        <v>44287</v>
      </c>
      <c r="T5" s="51">
        <f>'Project BAF Rate Gen Prices VW'!X$15</f>
        <v>44316.999989999997</v>
      </c>
      <c r="U5" s="52">
        <f>'Project BAF Rate Gen Prices VW'!Y$15</f>
        <v>902.8</v>
      </c>
      <c r="V5" s="47">
        <f>project_baf_technical_factor!A$4</f>
        <v>12345</v>
      </c>
      <c r="W5" s="50">
        <f>project_baf_technical_factor!B$4</f>
        <v>250</v>
      </c>
      <c r="X5" s="74" t="str">
        <f>route!E$2</f>
        <v>10 - US GULF COAST - SCANDINAVIA, BALTIC</v>
      </c>
      <c r="Y5" s="46">
        <f>project_baf_technical_factor!D$4</f>
        <v>23</v>
      </c>
      <c r="Z5" s="46" t="str">
        <f>baf_freight_payable_unit!$B$4</f>
        <v>MTON</v>
      </c>
      <c r="AA5" s="46" t="str">
        <f>project_baf_technical_factor!F$4</f>
        <v>B</v>
      </c>
      <c r="AB5" s="46" t="str">
        <f>cargo_type!C3</f>
        <v>Breakbulk</v>
      </c>
      <c r="AC5" s="53">
        <f>project_baf_technical_factor!H$4</f>
        <v>1.3000000000000001E-2</v>
      </c>
      <c r="AD5" s="46" t="str">
        <f t="shared" ref="AD5:AL5" si="6">IF($AL$21="Update",AD$63,TRIM(" "))</f>
        <v/>
      </c>
      <c r="AE5" s="46" t="str">
        <f t="shared" si="6"/>
        <v/>
      </c>
      <c r="AF5" s="21" t="str">
        <f t="shared" si="6"/>
        <v/>
      </c>
      <c r="AG5" s="46" t="str">
        <f t="shared" si="6"/>
        <v/>
      </c>
      <c r="AH5" s="21" t="str">
        <f t="shared" si="6"/>
        <v/>
      </c>
      <c r="AI5" s="46" t="str">
        <f t="shared" si="6"/>
        <v/>
      </c>
      <c r="AJ5" s="21" t="str">
        <f t="shared" si="6"/>
        <v/>
      </c>
      <c r="AK5" s="8" t="str">
        <f t="shared" si="6"/>
        <v/>
      </c>
      <c r="AL5" s="46" t="str">
        <f t="shared" si="6"/>
        <v/>
      </c>
      <c r="AM5" s="46" t="str">
        <f t="shared" si="3"/>
        <v>Insert</v>
      </c>
      <c r="AN5" s="52">
        <f t="shared" si="4"/>
        <v>51.8</v>
      </c>
      <c r="AO5" s="52">
        <f t="shared" si="5"/>
        <v>0.67</v>
      </c>
      <c r="AP5" s="46" t="s">
        <v>78</v>
      </c>
    </row>
    <row r="6" spans="1:42" s="4" customFormat="1" x14ac:dyDescent="0.25">
      <c r="A6" s="116" t="s">
        <v>138</v>
      </c>
      <c r="B6" s="46" t="str">
        <f>'Project BAF Rate Gen Buffers VW'!B$15</f>
        <v>228b4088-8661-11eb-8dcd-0242ac130003</v>
      </c>
      <c r="C6" s="47">
        <f>'Project BAF Rate Gen Buffers VW'!K$15</f>
        <v>12345</v>
      </c>
      <c r="D6" s="43">
        <f>'Project BAF Rate Gen Buffers VW'!L$15</f>
        <v>251</v>
      </c>
      <c r="E6" s="21" t="str">
        <f>'Project BAF Rate Gen Buffers VW'!M$15</f>
        <v>11 - US GULF COAST - CONTINENTAL EUROPE, UNITED KINGDOM, IRELAND</v>
      </c>
      <c r="F6" s="49">
        <f>'Project BAF Rate Gen Buffers VW'!Q$15</f>
        <v>720</v>
      </c>
      <c r="G6" s="49">
        <f>'Project BAF Rate Gen Buffers VW'!D$15</f>
        <v>-0.15</v>
      </c>
      <c r="H6" s="49">
        <f>'Project BAF Rate Gen Buffers VW'!E$15</f>
        <v>0.15</v>
      </c>
      <c r="I6" s="49">
        <f>'Project BAF Rate Gen Buffers VW'!R$15</f>
        <v>612</v>
      </c>
      <c r="J6" s="49">
        <f>'Project BAF Rate Gen Buffers VW'!S$15</f>
        <v>828</v>
      </c>
      <c r="K6" s="49" t="str">
        <f>'Project BAF Rate Gen Prices VW'!C$16</f>
        <v>228b4088-8661-11eb-8dcd-0242ac130003</v>
      </c>
      <c r="L6" s="47">
        <f>'Project BAF Rate Gen Prices VW'!N$16</f>
        <v>12345</v>
      </c>
      <c r="M6" s="46">
        <f>'Project BAF Rate Gen Prices VW'!O$16</f>
        <v>71</v>
      </c>
      <c r="N6" s="46" t="str">
        <f>'BAF Location'!B$2</f>
        <v>Houston</v>
      </c>
      <c r="O6" s="50">
        <f>'Project BAF Rate Gen Prices VW'!Q$16</f>
        <v>251</v>
      </c>
      <c r="P6" s="21" t="str">
        <f>'Project BAF Rate Gen Prices VW'!R$16</f>
        <v>(11 - US GULF COAST - CONTINENTAL EUROPE, UNITED KINGDOM, IRELAND)</v>
      </c>
      <c r="Q6" s="46">
        <f>'Project BAF Rate Gen Prices VW'!G$16</f>
        <v>3</v>
      </c>
      <c r="R6" s="51">
        <f>'Project BAF Rate Gen Prices VW'!V$16</f>
        <v>44197</v>
      </c>
      <c r="S6" s="51">
        <f>'Project BAF Rate Gen Prices VW'!W$16</f>
        <v>44287</v>
      </c>
      <c r="T6" s="51">
        <f>'Project BAF Rate Gen Prices VW'!X$16</f>
        <v>44316.999989999997</v>
      </c>
      <c r="U6" s="52">
        <f>'Project BAF Rate Gen Prices VW'!Y$16</f>
        <v>878.40000000000009</v>
      </c>
      <c r="V6" s="47">
        <f>project_baf_technical_factor!A$5</f>
        <v>12345</v>
      </c>
      <c r="W6" s="50">
        <f>project_baf_technical_factor!B$5</f>
        <v>251</v>
      </c>
      <c r="X6" s="74" t="str">
        <f>route!E$3</f>
        <v>11 - US GULF COAST - CONTINENTAL EUROPE, UNITED KINGDOM, IRELAND</v>
      </c>
      <c r="Y6" s="46">
        <f>project_baf_technical_factor!D$5</f>
        <v>21</v>
      </c>
      <c r="Z6" s="46" t="str">
        <f>baf_freight_payable_unit!$B$2</f>
        <v>TEU</v>
      </c>
      <c r="AA6" s="46" t="str">
        <f>project_baf_technical_factor!F$5</f>
        <v>C</v>
      </c>
      <c r="AB6" s="46" t="str">
        <f>cargo_type!C2</f>
        <v>Container</v>
      </c>
      <c r="AC6" s="53">
        <f>project_baf_technical_factor!H$5</f>
        <v>0.26400000000000001</v>
      </c>
      <c r="AD6" s="46" t="str">
        <f t="shared" ref="AD6:AL6" si="7">IF($AL$21="Update",AD$64,TRIM(" "))</f>
        <v/>
      </c>
      <c r="AE6" s="46" t="str">
        <f t="shared" si="7"/>
        <v/>
      </c>
      <c r="AF6" s="21" t="str">
        <f t="shared" si="7"/>
        <v/>
      </c>
      <c r="AG6" s="46" t="str">
        <f t="shared" si="7"/>
        <v/>
      </c>
      <c r="AH6" s="21" t="str">
        <f t="shared" si="7"/>
        <v/>
      </c>
      <c r="AI6" s="46" t="str">
        <f t="shared" si="7"/>
        <v/>
      </c>
      <c r="AJ6" s="21" t="str">
        <f t="shared" si="7"/>
        <v/>
      </c>
      <c r="AK6" s="8" t="str">
        <f t="shared" si="7"/>
        <v/>
      </c>
      <c r="AL6" s="46" t="str">
        <f t="shared" si="7"/>
        <v/>
      </c>
      <c r="AM6" s="46" t="str">
        <f t="shared" si="3"/>
        <v>Insert</v>
      </c>
      <c r="AN6" s="52">
        <f t="shared" si="4"/>
        <v>50.4</v>
      </c>
      <c r="AO6" s="52">
        <f t="shared" si="5"/>
        <v>13.31</v>
      </c>
      <c r="AP6" s="46" t="s">
        <v>78</v>
      </c>
    </row>
    <row r="7" spans="1:42" s="4" customFormat="1" x14ac:dyDescent="0.25">
      <c r="A7" s="116" t="s">
        <v>138</v>
      </c>
      <c r="B7" s="46" t="str">
        <f>'Project BAF Rate Gen Buffers VW'!B$15</f>
        <v>228b4088-8661-11eb-8dcd-0242ac130003</v>
      </c>
      <c r="C7" s="47">
        <f>'Project BAF Rate Gen Buffers VW'!K$15</f>
        <v>12345</v>
      </c>
      <c r="D7" s="43">
        <f>'Project BAF Rate Gen Buffers VW'!L$15</f>
        <v>251</v>
      </c>
      <c r="E7" s="21" t="str">
        <f>'Project BAF Rate Gen Buffers VW'!M$15</f>
        <v>11 - US GULF COAST - CONTINENTAL EUROPE, UNITED KINGDOM, IRELAND</v>
      </c>
      <c r="F7" s="49">
        <f>'Project BAF Rate Gen Buffers VW'!Q$15</f>
        <v>720</v>
      </c>
      <c r="G7" s="49">
        <f>'Project BAF Rate Gen Buffers VW'!D$15</f>
        <v>-0.15</v>
      </c>
      <c r="H7" s="49">
        <f>'Project BAF Rate Gen Buffers VW'!E$15</f>
        <v>0.15</v>
      </c>
      <c r="I7" s="49">
        <f>'Project BAF Rate Gen Buffers VW'!R$15</f>
        <v>612</v>
      </c>
      <c r="J7" s="49">
        <f>'Project BAF Rate Gen Buffers VW'!S$15</f>
        <v>828</v>
      </c>
      <c r="K7" s="49" t="str">
        <f>'Project BAF Rate Gen Prices VW'!C$16</f>
        <v>228b4088-8661-11eb-8dcd-0242ac130003</v>
      </c>
      <c r="L7" s="47">
        <f>'Project BAF Rate Gen Prices VW'!N$16</f>
        <v>12345</v>
      </c>
      <c r="M7" s="46">
        <f>'Project BAF Rate Gen Prices VW'!O$16</f>
        <v>71</v>
      </c>
      <c r="N7" s="46" t="str">
        <f>'BAF Location'!B$2</f>
        <v>Houston</v>
      </c>
      <c r="O7" s="50">
        <f>'Project BAF Rate Gen Prices VW'!Q$16</f>
        <v>251</v>
      </c>
      <c r="P7" s="21" t="str">
        <f>'Project BAF Rate Gen Prices VW'!R$16</f>
        <v>(11 - US GULF COAST - CONTINENTAL EUROPE, UNITED KINGDOM, IRELAND)</v>
      </c>
      <c r="Q7" s="46">
        <f>'Project BAF Rate Gen Prices VW'!G$16</f>
        <v>3</v>
      </c>
      <c r="R7" s="51">
        <f>'Project BAF Rate Gen Prices VW'!V$16</f>
        <v>44197</v>
      </c>
      <c r="S7" s="51">
        <f>'Project BAF Rate Gen Prices VW'!W$16</f>
        <v>44287</v>
      </c>
      <c r="T7" s="51">
        <f>'Project BAF Rate Gen Prices VW'!X$16</f>
        <v>44316.999989999997</v>
      </c>
      <c r="U7" s="52">
        <f>'Project BAF Rate Gen Prices VW'!Y$16</f>
        <v>878.40000000000009</v>
      </c>
      <c r="V7" s="47">
        <f>project_baf_technical_factor!A$6</f>
        <v>12345</v>
      </c>
      <c r="W7" s="50">
        <f>project_baf_technical_factor!B$6</f>
        <v>251</v>
      </c>
      <c r="X7" s="74" t="str">
        <f>route!E$3</f>
        <v>11 - US GULF COAST - CONTINENTAL EUROPE, UNITED KINGDOM, IRELAND</v>
      </c>
      <c r="Y7" s="46">
        <f>project_baf_technical_factor!D$6</f>
        <v>22</v>
      </c>
      <c r="Z7" s="46" t="str">
        <f>baf_freight_payable_unit!$B$3</f>
        <v>FEU</v>
      </c>
      <c r="AA7" s="46" t="str">
        <f>project_baf_technical_factor!F$6</f>
        <v>C</v>
      </c>
      <c r="AB7" s="46" t="str">
        <f>cargo_type!C2</f>
        <v>Container</v>
      </c>
      <c r="AC7" s="53">
        <f>project_baf_technical_factor!H$6</f>
        <v>0.49399999999999999</v>
      </c>
      <c r="AD7" s="46" t="str">
        <f t="shared" ref="AD7:AL7" si="8">IF($AL$21="Update",AD$65,TRIM(" "))</f>
        <v/>
      </c>
      <c r="AE7" s="46" t="str">
        <f t="shared" si="8"/>
        <v/>
      </c>
      <c r="AF7" s="21" t="str">
        <f t="shared" si="8"/>
        <v/>
      </c>
      <c r="AG7" s="46" t="str">
        <f t="shared" si="8"/>
        <v/>
      </c>
      <c r="AH7" s="21" t="str">
        <f t="shared" si="8"/>
        <v/>
      </c>
      <c r="AI7" s="46" t="str">
        <f t="shared" si="8"/>
        <v/>
      </c>
      <c r="AJ7" s="21" t="str">
        <f t="shared" si="8"/>
        <v/>
      </c>
      <c r="AK7" s="8" t="str">
        <f t="shared" si="8"/>
        <v/>
      </c>
      <c r="AL7" s="46" t="str">
        <f t="shared" si="8"/>
        <v/>
      </c>
      <c r="AM7" s="46" t="str">
        <f t="shared" si="3"/>
        <v>Insert</v>
      </c>
      <c r="AN7" s="52">
        <f t="shared" si="4"/>
        <v>50.4</v>
      </c>
      <c r="AO7" s="52">
        <f t="shared" si="5"/>
        <v>24.9</v>
      </c>
      <c r="AP7" s="46" t="s">
        <v>78</v>
      </c>
    </row>
    <row r="8" spans="1:42" s="4" customFormat="1" x14ac:dyDescent="0.25">
      <c r="A8" s="116" t="s">
        <v>138</v>
      </c>
      <c r="B8" s="46" t="str">
        <f>'Project BAF Rate Gen Buffers VW'!B$15</f>
        <v>228b4088-8661-11eb-8dcd-0242ac130003</v>
      </c>
      <c r="C8" s="47">
        <f>'Project BAF Rate Gen Buffers VW'!K$15</f>
        <v>12345</v>
      </c>
      <c r="D8" s="43">
        <f>'Project BAF Rate Gen Buffers VW'!L$15</f>
        <v>251</v>
      </c>
      <c r="E8" s="21" t="str">
        <f>'Project BAF Rate Gen Buffers VW'!M$15</f>
        <v>11 - US GULF COAST - CONTINENTAL EUROPE, UNITED KINGDOM, IRELAND</v>
      </c>
      <c r="F8" s="49">
        <f>'Project BAF Rate Gen Buffers VW'!Q$15</f>
        <v>720</v>
      </c>
      <c r="G8" s="49">
        <f>'Project BAF Rate Gen Buffers VW'!D$15</f>
        <v>-0.15</v>
      </c>
      <c r="H8" s="49">
        <f>'Project BAF Rate Gen Buffers VW'!E$15</f>
        <v>0.15</v>
      </c>
      <c r="I8" s="49">
        <f>'Project BAF Rate Gen Buffers VW'!R$15</f>
        <v>612</v>
      </c>
      <c r="J8" s="49">
        <f>'Project BAF Rate Gen Buffers VW'!S$15</f>
        <v>828</v>
      </c>
      <c r="K8" s="49" t="str">
        <f>'Project BAF Rate Gen Prices VW'!C$16</f>
        <v>228b4088-8661-11eb-8dcd-0242ac130003</v>
      </c>
      <c r="L8" s="47">
        <f>'Project BAF Rate Gen Prices VW'!N$16</f>
        <v>12345</v>
      </c>
      <c r="M8" s="46">
        <f>'Project BAF Rate Gen Prices VW'!O$16</f>
        <v>71</v>
      </c>
      <c r="N8" s="46" t="str">
        <f>'BAF Location'!B$2</f>
        <v>Houston</v>
      </c>
      <c r="O8" s="50">
        <f>'Project BAF Rate Gen Prices VW'!Q$16</f>
        <v>251</v>
      </c>
      <c r="P8" s="21" t="str">
        <f>'Project BAF Rate Gen Prices VW'!R$16</f>
        <v>(11 - US GULF COAST - CONTINENTAL EUROPE, UNITED KINGDOM, IRELAND)</v>
      </c>
      <c r="Q8" s="46">
        <f>'Project BAF Rate Gen Prices VW'!G$16</f>
        <v>3</v>
      </c>
      <c r="R8" s="51">
        <f>'Project BAF Rate Gen Prices VW'!V$16</f>
        <v>44197</v>
      </c>
      <c r="S8" s="51">
        <f>'Project BAF Rate Gen Prices VW'!W$16</f>
        <v>44287</v>
      </c>
      <c r="T8" s="51">
        <f>'Project BAF Rate Gen Prices VW'!X$16</f>
        <v>44316.999989999997</v>
      </c>
      <c r="U8" s="52">
        <f>'Project BAF Rate Gen Prices VW'!Y$16</f>
        <v>878.40000000000009</v>
      </c>
      <c r="V8" s="47">
        <f>project_baf_technical_factor!A$7</f>
        <v>12345</v>
      </c>
      <c r="W8" s="50">
        <f>project_baf_technical_factor!B$7</f>
        <v>251</v>
      </c>
      <c r="X8" s="74" t="str">
        <f>route!E$3</f>
        <v>11 - US GULF COAST - CONTINENTAL EUROPE, UNITED KINGDOM, IRELAND</v>
      </c>
      <c r="Y8" s="46">
        <f>project_baf_technical_factor!D$7</f>
        <v>23</v>
      </c>
      <c r="Z8" s="46" t="str">
        <f>baf_freight_payable_unit!$B$4</f>
        <v>MTON</v>
      </c>
      <c r="AA8" s="46" t="str">
        <f>project_baf_technical_factor!F$7</f>
        <v>B</v>
      </c>
      <c r="AB8" s="46" t="str">
        <f>cargo_type!C3</f>
        <v>Breakbulk</v>
      </c>
      <c r="AC8" s="53">
        <f>project_baf_technical_factor!H$7</f>
        <v>3.7000000000000005E-2</v>
      </c>
      <c r="AD8" s="46" t="str">
        <f t="shared" ref="AD8:AL8" si="9">IF($AL$21="Update",AD$66,TRIM(" "))</f>
        <v/>
      </c>
      <c r="AE8" s="46" t="str">
        <f t="shared" si="9"/>
        <v/>
      </c>
      <c r="AF8" s="21" t="str">
        <f t="shared" si="9"/>
        <v/>
      </c>
      <c r="AG8" s="46" t="str">
        <f t="shared" si="9"/>
        <v/>
      </c>
      <c r="AH8" s="21" t="str">
        <f t="shared" si="9"/>
        <v/>
      </c>
      <c r="AI8" s="46" t="str">
        <f t="shared" si="9"/>
        <v/>
      </c>
      <c r="AJ8" s="21" t="str">
        <f t="shared" si="9"/>
        <v/>
      </c>
      <c r="AK8" s="8" t="str">
        <f t="shared" si="9"/>
        <v/>
      </c>
      <c r="AL8" s="46" t="str">
        <f t="shared" si="9"/>
        <v/>
      </c>
      <c r="AM8" s="46" t="str">
        <f t="shared" si="3"/>
        <v>Insert</v>
      </c>
      <c r="AN8" s="52">
        <f t="shared" si="4"/>
        <v>50.4</v>
      </c>
      <c r="AO8" s="52">
        <f t="shared" si="5"/>
        <v>1.86</v>
      </c>
      <c r="AP8" s="46" t="s">
        <v>78</v>
      </c>
    </row>
    <row r="9" spans="1:42" s="4" customFormat="1" x14ac:dyDescent="0.25">
      <c r="A9" s="116" t="s">
        <v>138</v>
      </c>
      <c r="B9" s="46" t="str">
        <f>'Project BAF Rate Gen Buffers VW'!B$16</f>
        <v>228b4088-8661-11eb-8dcd-0242ac130003</v>
      </c>
      <c r="C9" s="47">
        <f>'Project BAF Rate Gen Buffers VW'!K$16</f>
        <v>12345</v>
      </c>
      <c r="D9" s="43">
        <f>'Project BAF Rate Gen Buffers VW'!L$16</f>
        <v>252</v>
      </c>
      <c r="E9" s="21" t="str">
        <f>'Project BAF Rate Gen Buffers VW'!M$16</f>
        <v>12 - US GULF COAST - MEDITERRANEAN</v>
      </c>
      <c r="F9" s="49">
        <f>'Project BAF Rate Gen Buffers VW'!Q$16</f>
        <v>620.66666666666663</v>
      </c>
      <c r="G9" s="49">
        <f>'Project BAF Rate Gen Buffers VW'!D$16</f>
        <v>-0.15</v>
      </c>
      <c r="H9" s="49">
        <f>'Project BAF Rate Gen Buffers VW'!E$16</f>
        <v>0.15</v>
      </c>
      <c r="I9" s="49">
        <f>'Project BAF Rate Gen Buffers VW'!R$16</f>
        <v>527.56666666666661</v>
      </c>
      <c r="J9" s="49">
        <f>'Project BAF Rate Gen Buffers VW'!S$16</f>
        <v>713.76666666666665</v>
      </c>
      <c r="K9" s="49" t="str">
        <f>'Project BAF Rate Gen Prices VW'!C$17</f>
        <v>228b4088-8661-11eb-8dcd-0242ac130003</v>
      </c>
      <c r="L9" s="47">
        <f>'Project BAF Rate Gen Prices VW'!N$17</f>
        <v>12345</v>
      </c>
      <c r="M9" s="46">
        <f>'Project BAF Rate Gen Prices VW'!O$17</f>
        <v>72</v>
      </c>
      <c r="N9" s="46" t="str">
        <f>'BAF Location'!B$3</f>
        <v>Los Angeles</v>
      </c>
      <c r="O9" s="50">
        <f>'Project BAF Rate Gen Prices VW'!Q$17</f>
        <v>252</v>
      </c>
      <c r="P9" s="21" t="str">
        <f>'Project BAF Rate Gen Prices VW'!R$17</f>
        <v>(12 - US GULF COAST - MEDITERRANEAN)</v>
      </c>
      <c r="Q9" s="46">
        <f>'Project BAF Rate Gen Prices VW'!G$17</f>
        <v>3</v>
      </c>
      <c r="R9" s="51">
        <f>'Project BAF Rate Gen Prices VW'!V$17</f>
        <v>44197</v>
      </c>
      <c r="S9" s="51">
        <f>'Project BAF Rate Gen Prices VW'!W$17</f>
        <v>44287</v>
      </c>
      <c r="T9" s="51">
        <f>'Project BAF Rate Gen Prices VW'!X$17</f>
        <v>44316.999989999997</v>
      </c>
      <c r="U9" s="52">
        <f>'Project BAF Rate Gen Prices VW'!Y$17</f>
        <v>767.5</v>
      </c>
      <c r="V9" s="47">
        <f>project_baf_technical_factor!A$8</f>
        <v>12345</v>
      </c>
      <c r="W9" s="50">
        <f>project_baf_technical_factor!B$8</f>
        <v>252</v>
      </c>
      <c r="X9" s="74" t="str">
        <f>route!E$4</f>
        <v>12 - US GULF COAST - MEDITERRANEAN</v>
      </c>
      <c r="Y9" s="46">
        <f>project_baf_technical_factor!D$8</f>
        <v>21</v>
      </c>
      <c r="Z9" s="46" t="str">
        <f>baf_freight_payable_unit!$B$2</f>
        <v>TEU</v>
      </c>
      <c r="AA9" s="46" t="str">
        <f>project_baf_technical_factor!F$8</f>
        <v>C</v>
      </c>
      <c r="AB9" s="46" t="str">
        <f>cargo_type!C2</f>
        <v>Container</v>
      </c>
      <c r="AC9" s="53">
        <f>project_baf_technical_factor!H$8</f>
        <v>0.253</v>
      </c>
      <c r="AD9" s="46" t="str">
        <f t="shared" ref="AD9:AL9" si="10">IF($AL$21="Update",AD$67,TRIM(" "))</f>
        <v/>
      </c>
      <c r="AE9" s="46" t="str">
        <f t="shared" si="10"/>
        <v/>
      </c>
      <c r="AF9" s="21" t="str">
        <f t="shared" si="10"/>
        <v/>
      </c>
      <c r="AG9" s="46" t="str">
        <f t="shared" si="10"/>
        <v/>
      </c>
      <c r="AH9" s="21" t="str">
        <f t="shared" si="10"/>
        <v/>
      </c>
      <c r="AI9" s="46" t="str">
        <f t="shared" si="10"/>
        <v/>
      </c>
      <c r="AJ9" s="21" t="str">
        <f t="shared" si="10"/>
        <v/>
      </c>
      <c r="AK9" s="8" t="str">
        <f t="shared" si="10"/>
        <v/>
      </c>
      <c r="AL9" s="46" t="str">
        <f t="shared" si="10"/>
        <v/>
      </c>
      <c r="AM9" s="46" t="str">
        <f t="shared" si="3"/>
        <v>Insert</v>
      </c>
      <c r="AN9" s="52">
        <f t="shared" si="4"/>
        <v>53.73</v>
      </c>
      <c r="AO9" s="52">
        <f t="shared" si="5"/>
        <v>13.59</v>
      </c>
      <c r="AP9" s="46" t="s">
        <v>78</v>
      </c>
    </row>
    <row r="10" spans="1:42" s="4" customFormat="1" x14ac:dyDescent="0.25">
      <c r="A10" s="116" t="s">
        <v>138</v>
      </c>
      <c r="B10" s="46" t="str">
        <f>'Project BAF Rate Gen Buffers VW'!B$16</f>
        <v>228b4088-8661-11eb-8dcd-0242ac130003</v>
      </c>
      <c r="C10" s="47">
        <f>'Project BAF Rate Gen Buffers VW'!K$16</f>
        <v>12345</v>
      </c>
      <c r="D10" s="43">
        <f>'Project BAF Rate Gen Buffers VW'!L$16</f>
        <v>252</v>
      </c>
      <c r="E10" s="21" t="str">
        <f>'Project BAF Rate Gen Buffers VW'!M$16</f>
        <v>12 - US GULF COAST - MEDITERRANEAN</v>
      </c>
      <c r="F10" s="49">
        <f>'Project BAF Rate Gen Buffers VW'!Q$16</f>
        <v>620.66666666666663</v>
      </c>
      <c r="G10" s="49">
        <f>'Project BAF Rate Gen Buffers VW'!D$16</f>
        <v>-0.15</v>
      </c>
      <c r="H10" s="49">
        <f>'Project BAF Rate Gen Buffers VW'!E$16</f>
        <v>0.15</v>
      </c>
      <c r="I10" s="49">
        <f>'Project BAF Rate Gen Buffers VW'!R$16</f>
        <v>527.56666666666661</v>
      </c>
      <c r="J10" s="49">
        <f>'Project BAF Rate Gen Buffers VW'!S$16</f>
        <v>713.76666666666665</v>
      </c>
      <c r="K10" s="49" t="str">
        <f>'Project BAF Rate Gen Prices VW'!C$17</f>
        <v>228b4088-8661-11eb-8dcd-0242ac130003</v>
      </c>
      <c r="L10" s="47">
        <f>'Project BAF Rate Gen Prices VW'!N$17</f>
        <v>12345</v>
      </c>
      <c r="M10" s="46">
        <f>'Project BAF Rate Gen Prices VW'!O$17</f>
        <v>72</v>
      </c>
      <c r="N10" s="46" t="str">
        <f>'BAF Location'!B$3</f>
        <v>Los Angeles</v>
      </c>
      <c r="O10" s="50">
        <f>'Project BAF Rate Gen Prices VW'!Q$17</f>
        <v>252</v>
      </c>
      <c r="P10" s="21" t="str">
        <f>'Project BAF Rate Gen Prices VW'!R$17</f>
        <v>(12 - US GULF COAST - MEDITERRANEAN)</v>
      </c>
      <c r="Q10" s="46">
        <f>'Project BAF Rate Gen Prices VW'!G$17</f>
        <v>3</v>
      </c>
      <c r="R10" s="51">
        <f>'Project BAF Rate Gen Prices VW'!V$17</f>
        <v>44197</v>
      </c>
      <c r="S10" s="51">
        <f>'Project BAF Rate Gen Prices VW'!W$17</f>
        <v>44287</v>
      </c>
      <c r="T10" s="51">
        <f>'Project BAF Rate Gen Prices VW'!X$17</f>
        <v>44316.999989999997</v>
      </c>
      <c r="U10" s="52">
        <f>'Project BAF Rate Gen Prices VW'!Y$17</f>
        <v>767.5</v>
      </c>
      <c r="V10" s="47">
        <f>project_baf_technical_factor!A$9</f>
        <v>12345</v>
      </c>
      <c r="W10" s="50">
        <f>project_baf_technical_factor!B$9</f>
        <v>252</v>
      </c>
      <c r="X10" s="74" t="str">
        <f>route!E$4</f>
        <v>12 - US GULF COAST - MEDITERRANEAN</v>
      </c>
      <c r="Y10" s="46">
        <f>project_baf_technical_factor!D$9</f>
        <v>22</v>
      </c>
      <c r="Z10" s="46" t="str">
        <f>baf_freight_payable_unit!$B$3</f>
        <v>FEU</v>
      </c>
      <c r="AA10" s="46" t="str">
        <f>project_baf_technical_factor!F$9</f>
        <v>C</v>
      </c>
      <c r="AB10" s="46" t="str">
        <f>cargo_type!C2</f>
        <v>Container</v>
      </c>
      <c r="AC10" s="53">
        <f>project_baf_technical_factor!H$9</f>
        <v>0.48299999999999998</v>
      </c>
      <c r="AD10" s="46" t="str">
        <f t="shared" ref="AD10:AL10" si="11">IF($AL$21="Update",AD$68,TRIM(" "))</f>
        <v/>
      </c>
      <c r="AE10" s="46" t="str">
        <f t="shared" si="11"/>
        <v/>
      </c>
      <c r="AF10" s="21" t="str">
        <f t="shared" si="11"/>
        <v/>
      </c>
      <c r="AG10" s="46" t="str">
        <f t="shared" si="11"/>
        <v/>
      </c>
      <c r="AH10" s="21" t="str">
        <f t="shared" si="11"/>
        <v/>
      </c>
      <c r="AI10" s="46" t="str">
        <f t="shared" si="11"/>
        <v/>
      </c>
      <c r="AJ10" s="21" t="str">
        <f t="shared" si="11"/>
        <v/>
      </c>
      <c r="AK10" s="8" t="str">
        <f t="shared" si="11"/>
        <v/>
      </c>
      <c r="AL10" s="46" t="str">
        <f t="shared" si="11"/>
        <v/>
      </c>
      <c r="AM10" s="46" t="str">
        <f t="shared" si="3"/>
        <v>Insert</v>
      </c>
      <c r="AN10" s="52">
        <f t="shared" si="4"/>
        <v>53.73</v>
      </c>
      <c r="AO10" s="52">
        <f t="shared" si="5"/>
        <v>25.95</v>
      </c>
      <c r="AP10" s="46" t="s">
        <v>78</v>
      </c>
    </row>
    <row r="11" spans="1:42" s="4" customFormat="1" ht="15.75" thickBot="1" x14ac:dyDescent="0.3">
      <c r="A11" s="116" t="s">
        <v>138</v>
      </c>
      <c r="B11" s="46" t="str">
        <f>'Project BAF Rate Gen Buffers VW'!B$16</f>
        <v>228b4088-8661-11eb-8dcd-0242ac130003</v>
      </c>
      <c r="C11" s="47">
        <f>'Project BAF Rate Gen Buffers VW'!K$16</f>
        <v>12345</v>
      </c>
      <c r="D11" s="43">
        <f>'Project BAF Rate Gen Buffers VW'!L$16</f>
        <v>252</v>
      </c>
      <c r="E11" s="21" t="str">
        <f>'Project BAF Rate Gen Buffers VW'!M$16</f>
        <v>12 - US GULF COAST - MEDITERRANEAN</v>
      </c>
      <c r="F11" s="49">
        <f>'Project BAF Rate Gen Buffers VW'!Q$16</f>
        <v>620.66666666666663</v>
      </c>
      <c r="G11" s="49">
        <f>'Project BAF Rate Gen Buffers VW'!D$16</f>
        <v>-0.15</v>
      </c>
      <c r="H11" s="49">
        <f>'Project BAF Rate Gen Buffers VW'!E$16</f>
        <v>0.15</v>
      </c>
      <c r="I11" s="49">
        <f>'Project BAF Rate Gen Buffers VW'!R$16</f>
        <v>527.56666666666661</v>
      </c>
      <c r="J11" s="49">
        <f>'Project BAF Rate Gen Buffers VW'!S$16</f>
        <v>713.76666666666665</v>
      </c>
      <c r="K11" s="49" t="str">
        <f>'Project BAF Rate Gen Prices VW'!C$17</f>
        <v>228b4088-8661-11eb-8dcd-0242ac130003</v>
      </c>
      <c r="L11" s="47">
        <f>'Project BAF Rate Gen Prices VW'!N$17</f>
        <v>12345</v>
      </c>
      <c r="M11" s="46">
        <f>'Project BAF Rate Gen Prices VW'!O$17</f>
        <v>72</v>
      </c>
      <c r="N11" s="46" t="str">
        <f>'BAF Location'!B$3</f>
        <v>Los Angeles</v>
      </c>
      <c r="O11" s="50">
        <f>'Project BAF Rate Gen Prices VW'!Q$17</f>
        <v>252</v>
      </c>
      <c r="P11" s="21" t="str">
        <f>'Project BAF Rate Gen Prices VW'!R$17</f>
        <v>(12 - US GULF COAST - MEDITERRANEAN)</v>
      </c>
      <c r="Q11" s="46">
        <f>'Project BAF Rate Gen Prices VW'!G$17</f>
        <v>3</v>
      </c>
      <c r="R11" s="51">
        <f>'Project BAF Rate Gen Prices VW'!V$17</f>
        <v>44197</v>
      </c>
      <c r="S11" s="51">
        <f>'Project BAF Rate Gen Prices VW'!W$17</f>
        <v>44287</v>
      </c>
      <c r="T11" s="51">
        <f>'Project BAF Rate Gen Prices VW'!X$17</f>
        <v>44316.999989999997</v>
      </c>
      <c r="U11" s="52">
        <f>'Project BAF Rate Gen Prices VW'!Y$17</f>
        <v>767.5</v>
      </c>
      <c r="V11" s="47">
        <f>project_baf_technical_factor!A$10</f>
        <v>12345</v>
      </c>
      <c r="W11" s="50">
        <f>project_baf_technical_factor!B$10</f>
        <v>252</v>
      </c>
      <c r="X11" s="74" t="str">
        <f>route!E$4</f>
        <v>12 - US GULF COAST - MEDITERRANEAN</v>
      </c>
      <c r="Y11" s="46">
        <f>project_baf_technical_factor!D$10</f>
        <v>23</v>
      </c>
      <c r="Z11" s="46" t="str">
        <f>baf_freight_payable_unit!$B$4</f>
        <v>MTON</v>
      </c>
      <c r="AA11" s="46" t="str">
        <f>project_baf_technical_factor!F$10</f>
        <v>B</v>
      </c>
      <c r="AB11" s="46" t="str">
        <f>cargo_type!C3</f>
        <v>Breakbulk</v>
      </c>
      <c r="AC11" s="53">
        <f>project_baf_technical_factor!H$10</f>
        <v>2.6000000000000006E-2</v>
      </c>
      <c r="AD11" s="46" t="str">
        <f t="shared" ref="AD11:AL11" si="12">IF($AL$21="Update",AD$69,TRIM(" "))</f>
        <v/>
      </c>
      <c r="AE11" s="46" t="str">
        <f t="shared" si="12"/>
        <v/>
      </c>
      <c r="AF11" s="21" t="str">
        <f t="shared" si="12"/>
        <v/>
      </c>
      <c r="AG11" s="46" t="str">
        <f t="shared" si="12"/>
        <v/>
      </c>
      <c r="AH11" s="21" t="str">
        <f t="shared" si="12"/>
        <v/>
      </c>
      <c r="AI11" s="46" t="str">
        <f t="shared" si="12"/>
        <v/>
      </c>
      <c r="AJ11" s="21" t="str">
        <f t="shared" si="12"/>
        <v/>
      </c>
      <c r="AK11" s="8" t="str">
        <f t="shared" si="12"/>
        <v/>
      </c>
      <c r="AL11" s="46" t="str">
        <f t="shared" si="12"/>
        <v/>
      </c>
      <c r="AM11" s="46" t="str">
        <f t="shared" si="3"/>
        <v>Insert</v>
      </c>
      <c r="AN11" s="52">
        <f t="shared" si="4"/>
        <v>53.73</v>
      </c>
      <c r="AO11" s="125">
        <f t="shared" si="5"/>
        <v>1.4</v>
      </c>
      <c r="AP11" s="126" t="s">
        <v>78</v>
      </c>
    </row>
    <row r="12" spans="1:42" x14ac:dyDescent="0.25">
      <c r="A12" s="116" t="s">
        <v>138</v>
      </c>
      <c r="B12" s="46" t="str">
        <f>'Project BAF Rate Gen Buffers VW'!B$17</f>
        <v>228b4088-8661-11eb-8dcd-0242ac130003</v>
      </c>
      <c r="C12" s="47">
        <f>'Project BAF Rate Gen Buffers VW'!K$17</f>
        <v>12345</v>
      </c>
      <c r="D12" s="43">
        <f>'Project BAF Rate Gen Buffers VW'!L$17</f>
        <v>253</v>
      </c>
      <c r="E12" s="21" t="str">
        <f>'Project BAF Rate Gen Buffers VW'!M$17</f>
        <v>13 - US GULF COAST - MIDDLE EAST, SOUTH ASIA, INDIAN OCEAN</v>
      </c>
      <c r="F12" s="49">
        <f>'Project BAF Rate Gen Buffers VW'!Q$17</f>
        <v>618.26666666666665</v>
      </c>
      <c r="G12" s="49">
        <f>'Project BAF Rate Gen Buffers VW'!D$17</f>
        <v>-0.15</v>
      </c>
      <c r="H12" s="49">
        <f>'Project BAF Rate Gen Buffers VW'!E$17</f>
        <v>0.15</v>
      </c>
      <c r="I12" s="49">
        <f>'Project BAF Rate Gen Buffers VW'!R$17</f>
        <v>525.52666666666664</v>
      </c>
      <c r="J12" s="49">
        <f>'Project BAF Rate Gen Buffers VW'!S$17</f>
        <v>711.00666666666655</v>
      </c>
      <c r="K12" s="49" t="str">
        <f>'Project BAF Rate Gen Prices VW'!C$18</f>
        <v>228b4088-8661-11eb-8dcd-0242ac130003</v>
      </c>
      <c r="L12" s="47">
        <f>'Project BAF Rate Gen Prices VW'!N$18</f>
        <v>12345</v>
      </c>
      <c r="M12" s="46">
        <f>'Project BAF Rate Gen Prices VW'!O$18</f>
        <v>72</v>
      </c>
      <c r="N12" s="46" t="str">
        <f>'BAF Location'!B$3</f>
        <v>Los Angeles</v>
      </c>
      <c r="O12" s="50">
        <f>'Project BAF Rate Gen Prices VW'!Q$18</f>
        <v>253</v>
      </c>
      <c r="P12" s="21" t="str">
        <f>'Project BAF Rate Gen Prices VW'!R$18</f>
        <v>(13 - US GULF COAST - MIDDLE EAST, SOUTH ASIA, INDIAN OCEAN)</v>
      </c>
      <c r="Q12" s="46">
        <f>'Project BAF Rate Gen Prices VW'!G$18</f>
        <v>3</v>
      </c>
      <c r="R12" s="51">
        <f>'Project BAF Rate Gen Prices VW'!V$18</f>
        <v>44197</v>
      </c>
      <c r="S12" s="51">
        <f>'Project BAF Rate Gen Prices VW'!W$18</f>
        <v>44287</v>
      </c>
      <c r="T12" s="51">
        <f>'Project BAF Rate Gen Prices VW'!X$18</f>
        <v>44316.999989999997</v>
      </c>
      <c r="U12" s="52">
        <f>'Project BAF Rate Gen Prices VW'!Y$18</f>
        <v>764.5</v>
      </c>
      <c r="V12" s="47">
        <f>project_baf_technical_factor!A$11</f>
        <v>12345</v>
      </c>
      <c r="W12" s="50">
        <f>project_baf_technical_factor!B$11</f>
        <v>253</v>
      </c>
      <c r="X12" s="74" t="str">
        <f>route!E$5</f>
        <v>13 - US GULF COAST - MIDDLE EAST, SOUTH ASIA, INDIAN OCEAN</v>
      </c>
      <c r="Y12" s="46">
        <f>project_baf_technical_factor!D$11</f>
        <v>21</v>
      </c>
      <c r="Z12" s="46" t="str">
        <f>baf_freight_payable_unit!$B$2</f>
        <v>TEU</v>
      </c>
      <c r="AA12" s="17" t="str">
        <f>project_baf_technical_factor!F$11</f>
        <v>C</v>
      </c>
      <c r="AB12" s="46" t="str">
        <f>cargo_type!C2</f>
        <v>Container</v>
      </c>
      <c r="AC12" s="54">
        <f>project_baf_technical_factor!H$11</f>
        <v>0.24199999999999999</v>
      </c>
      <c r="AD12" s="46" t="str">
        <f t="shared" ref="AD12:AL12" si="13">IF($AL$21="Update",AD$72,TRIM(" "))</f>
        <v/>
      </c>
      <c r="AE12" s="46" t="str">
        <f t="shared" si="13"/>
        <v/>
      </c>
      <c r="AF12" s="21" t="str">
        <f t="shared" si="13"/>
        <v/>
      </c>
      <c r="AG12" s="46" t="str">
        <f t="shared" si="13"/>
        <v/>
      </c>
      <c r="AH12" s="21" t="str">
        <f t="shared" si="13"/>
        <v/>
      </c>
      <c r="AI12" s="46" t="str">
        <f t="shared" si="13"/>
        <v/>
      </c>
      <c r="AJ12" s="21" t="str">
        <f t="shared" si="13"/>
        <v/>
      </c>
      <c r="AK12" s="8" t="str">
        <f t="shared" si="13"/>
        <v/>
      </c>
      <c r="AL12" s="46" t="str">
        <f t="shared" si="13"/>
        <v/>
      </c>
      <c r="AM12" s="124" t="str">
        <f t="shared" si="3"/>
        <v>Insert</v>
      </c>
      <c r="AN12" s="52">
        <f t="shared" si="4"/>
        <v>53.49</v>
      </c>
      <c r="AO12" s="127">
        <f t="shared" si="5"/>
        <v>12.94</v>
      </c>
      <c r="AP12" s="128" t="s">
        <v>78</v>
      </c>
    </row>
    <row r="13" spans="1:42" x14ac:dyDescent="0.25">
      <c r="A13" s="116" t="s">
        <v>138</v>
      </c>
      <c r="B13" s="46" t="str">
        <f>'Project BAF Rate Gen Buffers VW'!B$17</f>
        <v>228b4088-8661-11eb-8dcd-0242ac130003</v>
      </c>
      <c r="C13" s="47">
        <f>'Project BAF Rate Gen Buffers VW'!K$17</f>
        <v>12345</v>
      </c>
      <c r="D13" s="43">
        <f>'Project BAF Rate Gen Buffers VW'!L$17</f>
        <v>253</v>
      </c>
      <c r="E13" s="21" t="str">
        <f>'Project BAF Rate Gen Buffers VW'!M$17</f>
        <v>13 - US GULF COAST - MIDDLE EAST, SOUTH ASIA, INDIAN OCEAN</v>
      </c>
      <c r="F13" s="49">
        <f>'Project BAF Rate Gen Buffers VW'!Q$17</f>
        <v>618.26666666666665</v>
      </c>
      <c r="G13" s="49">
        <f>'Project BAF Rate Gen Buffers VW'!D$17</f>
        <v>-0.15</v>
      </c>
      <c r="H13" s="49">
        <f>'Project BAF Rate Gen Buffers VW'!E$17</f>
        <v>0.15</v>
      </c>
      <c r="I13" s="49">
        <f>'Project BAF Rate Gen Buffers VW'!R$17</f>
        <v>525.52666666666664</v>
      </c>
      <c r="J13" s="49">
        <f>'Project BAF Rate Gen Buffers VW'!S$17</f>
        <v>711.00666666666655</v>
      </c>
      <c r="K13" s="49" t="str">
        <f>'Project BAF Rate Gen Prices VW'!C$18</f>
        <v>228b4088-8661-11eb-8dcd-0242ac130003</v>
      </c>
      <c r="L13" s="47">
        <f>'Project BAF Rate Gen Prices VW'!N$18</f>
        <v>12345</v>
      </c>
      <c r="M13" s="46">
        <f>'Project BAF Rate Gen Prices VW'!O$18</f>
        <v>72</v>
      </c>
      <c r="N13" s="46" t="str">
        <f>'BAF Location'!B$3</f>
        <v>Los Angeles</v>
      </c>
      <c r="O13" s="50">
        <f>'Project BAF Rate Gen Prices VW'!Q$18</f>
        <v>253</v>
      </c>
      <c r="P13" s="21" t="str">
        <f>'Project BAF Rate Gen Prices VW'!R$18</f>
        <v>(13 - US GULF COAST - MIDDLE EAST, SOUTH ASIA, INDIAN OCEAN)</v>
      </c>
      <c r="Q13" s="46">
        <f>'Project BAF Rate Gen Prices VW'!G$18</f>
        <v>3</v>
      </c>
      <c r="R13" s="51">
        <f>'Project BAF Rate Gen Prices VW'!V$18</f>
        <v>44197</v>
      </c>
      <c r="S13" s="51">
        <f>'Project BAF Rate Gen Prices VW'!W$18</f>
        <v>44287</v>
      </c>
      <c r="T13" s="51">
        <f>'Project BAF Rate Gen Prices VW'!X$18</f>
        <v>44316.999989999997</v>
      </c>
      <c r="U13" s="52">
        <f>'Project BAF Rate Gen Prices VW'!Y$18</f>
        <v>764.5</v>
      </c>
      <c r="V13" s="47">
        <f>project_baf_technical_factor!A$12</f>
        <v>12345</v>
      </c>
      <c r="W13" s="50">
        <f>project_baf_technical_factor!B$12</f>
        <v>253</v>
      </c>
      <c r="X13" s="74" t="str">
        <f>route!E$5</f>
        <v>13 - US GULF COAST - MIDDLE EAST, SOUTH ASIA, INDIAN OCEAN</v>
      </c>
      <c r="Y13" s="46">
        <f>project_baf_technical_factor!D$12</f>
        <v>22</v>
      </c>
      <c r="Z13" s="46" t="str">
        <f>baf_freight_payable_unit!$B$3</f>
        <v>FEU</v>
      </c>
      <c r="AA13" s="17" t="str">
        <f>project_baf_technical_factor!F$12</f>
        <v>C</v>
      </c>
      <c r="AB13" s="46" t="str">
        <f>cargo_type!C2</f>
        <v>Container</v>
      </c>
      <c r="AC13" s="54">
        <f>project_baf_technical_factor!H$12</f>
        <v>0.47199999999999998</v>
      </c>
      <c r="AD13" s="46" t="str">
        <f t="shared" ref="AD13:AL13" si="14">IF($AL$21="Update",AD$73,TRIM(" "))</f>
        <v/>
      </c>
      <c r="AE13" s="46" t="str">
        <f t="shared" si="14"/>
        <v/>
      </c>
      <c r="AF13" s="21" t="str">
        <f t="shared" si="14"/>
        <v/>
      </c>
      <c r="AG13" s="46" t="str">
        <f t="shared" si="14"/>
        <v/>
      </c>
      <c r="AH13" s="21" t="str">
        <f t="shared" si="14"/>
        <v/>
      </c>
      <c r="AI13" s="46" t="str">
        <f t="shared" si="14"/>
        <v/>
      </c>
      <c r="AJ13" s="21" t="str">
        <f t="shared" si="14"/>
        <v/>
      </c>
      <c r="AK13" s="8" t="str">
        <f t="shared" si="14"/>
        <v/>
      </c>
      <c r="AL13" s="46" t="str">
        <f t="shared" si="14"/>
        <v/>
      </c>
      <c r="AM13" s="124" t="str">
        <f t="shared" si="3"/>
        <v>Insert</v>
      </c>
      <c r="AN13" s="52">
        <f t="shared" si="4"/>
        <v>53.49</v>
      </c>
      <c r="AO13" s="129">
        <f t="shared" si="5"/>
        <v>25.25</v>
      </c>
      <c r="AP13" s="130" t="s">
        <v>78</v>
      </c>
    </row>
    <row r="14" spans="1:42" ht="15.75" thickBot="1" x14ac:dyDescent="0.3">
      <c r="A14" s="116" t="s">
        <v>138</v>
      </c>
      <c r="B14" s="46" t="str">
        <f>'Project BAF Rate Gen Buffers VW'!B$17</f>
        <v>228b4088-8661-11eb-8dcd-0242ac130003</v>
      </c>
      <c r="C14" s="47">
        <f>'Project BAF Rate Gen Buffers VW'!K$17</f>
        <v>12345</v>
      </c>
      <c r="D14" s="43">
        <f>'Project BAF Rate Gen Buffers VW'!L$17</f>
        <v>253</v>
      </c>
      <c r="E14" s="21" t="str">
        <f>'Project BAF Rate Gen Buffers VW'!M$17</f>
        <v>13 - US GULF COAST - MIDDLE EAST, SOUTH ASIA, INDIAN OCEAN</v>
      </c>
      <c r="F14" s="49">
        <f>'Project BAF Rate Gen Buffers VW'!Q$17</f>
        <v>618.26666666666665</v>
      </c>
      <c r="G14" s="49">
        <f>'Project BAF Rate Gen Buffers VW'!D$17</f>
        <v>-0.15</v>
      </c>
      <c r="H14" s="49">
        <f>'Project BAF Rate Gen Buffers VW'!E$17</f>
        <v>0.15</v>
      </c>
      <c r="I14" s="49">
        <f>'Project BAF Rate Gen Buffers VW'!R$17</f>
        <v>525.52666666666664</v>
      </c>
      <c r="J14" s="49">
        <f>'Project BAF Rate Gen Buffers VW'!S$17</f>
        <v>711.00666666666655</v>
      </c>
      <c r="K14" s="49" t="str">
        <f>'Project BAF Rate Gen Prices VW'!C$18</f>
        <v>228b4088-8661-11eb-8dcd-0242ac130003</v>
      </c>
      <c r="L14" s="47">
        <f>'Project BAF Rate Gen Prices VW'!N$18</f>
        <v>12345</v>
      </c>
      <c r="M14" s="46">
        <f>'Project BAF Rate Gen Prices VW'!O$18</f>
        <v>72</v>
      </c>
      <c r="N14" s="46" t="str">
        <f>'BAF Location'!B$3</f>
        <v>Los Angeles</v>
      </c>
      <c r="O14" s="50">
        <f>'Project BAF Rate Gen Prices VW'!Q$18</f>
        <v>253</v>
      </c>
      <c r="P14" s="21" t="str">
        <f>'Project BAF Rate Gen Prices VW'!R$18</f>
        <v>(13 - US GULF COAST - MIDDLE EAST, SOUTH ASIA, INDIAN OCEAN)</v>
      </c>
      <c r="Q14" s="46">
        <f>'Project BAF Rate Gen Prices VW'!G$18</f>
        <v>3</v>
      </c>
      <c r="R14" s="51">
        <f>'Project BAF Rate Gen Prices VW'!V$18</f>
        <v>44197</v>
      </c>
      <c r="S14" s="51">
        <f>'Project BAF Rate Gen Prices VW'!W$18</f>
        <v>44287</v>
      </c>
      <c r="T14" s="51">
        <f>'Project BAF Rate Gen Prices VW'!X$18</f>
        <v>44316.999989999997</v>
      </c>
      <c r="U14" s="52">
        <f>'Project BAF Rate Gen Prices VW'!Y$18</f>
        <v>764.5</v>
      </c>
      <c r="V14" s="47">
        <f>project_baf_technical_factor!A$13</f>
        <v>12345</v>
      </c>
      <c r="W14" s="50">
        <f>project_baf_technical_factor!B$13</f>
        <v>253</v>
      </c>
      <c r="X14" s="74" t="str">
        <f>route!E$5</f>
        <v>13 - US GULF COAST - MIDDLE EAST, SOUTH ASIA, INDIAN OCEAN</v>
      </c>
      <c r="Y14" s="46">
        <f>project_baf_technical_factor!D$13</f>
        <v>23</v>
      </c>
      <c r="Z14" s="46" t="str">
        <f>baf_freight_payable_unit!$B$4</f>
        <v>MTON</v>
      </c>
      <c r="AA14" s="17" t="str">
        <f>project_baf_technical_factor!F$13</f>
        <v>B</v>
      </c>
      <c r="AB14" s="46" t="str">
        <f>cargo_type!C3</f>
        <v>Breakbulk</v>
      </c>
      <c r="AC14" s="54">
        <f>project_baf_technical_factor!H$13</f>
        <v>1.4999999999999999E-2</v>
      </c>
      <c r="AD14" s="46" t="str">
        <f t="shared" ref="AD14:AL14" si="15">IF($AL$21="Update",AD$74,TRIM(" "))</f>
        <v/>
      </c>
      <c r="AE14" s="46" t="str">
        <f t="shared" si="15"/>
        <v/>
      </c>
      <c r="AF14" s="21" t="str">
        <f t="shared" si="15"/>
        <v/>
      </c>
      <c r="AG14" s="46" t="str">
        <f t="shared" si="15"/>
        <v/>
      </c>
      <c r="AH14" s="21" t="str">
        <f t="shared" si="15"/>
        <v/>
      </c>
      <c r="AI14" s="46" t="str">
        <f t="shared" si="15"/>
        <v/>
      </c>
      <c r="AJ14" s="21" t="str">
        <f t="shared" si="15"/>
        <v/>
      </c>
      <c r="AK14" s="8" t="str">
        <f t="shared" si="15"/>
        <v/>
      </c>
      <c r="AL14" s="46" t="str">
        <f t="shared" si="15"/>
        <v/>
      </c>
      <c r="AM14" s="124" t="str">
        <f t="shared" si="3"/>
        <v>Insert</v>
      </c>
      <c r="AN14" s="52">
        <f t="shared" si="4"/>
        <v>53.49</v>
      </c>
      <c r="AO14" s="131">
        <f t="shared" si="5"/>
        <v>0.8</v>
      </c>
      <c r="AP14" s="132" t="s">
        <v>78</v>
      </c>
    </row>
    <row r="15" spans="1:42" x14ac:dyDescent="0.25"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spans="1:42" x14ac:dyDescent="0.25"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U16" s="61"/>
      <c r="V16" s="4"/>
      <c r="W16" s="4"/>
      <c r="X16" s="4"/>
      <c r="Y16" s="4"/>
      <c r="Z16" s="4"/>
      <c r="AA16" s="4"/>
      <c r="AB16" s="4"/>
      <c r="AC16" s="41"/>
      <c r="AD16" s="55"/>
      <c r="AE16" s="55"/>
      <c r="AF16" s="55"/>
      <c r="AG16" s="55"/>
      <c r="AH16" s="55"/>
      <c r="AI16" s="55"/>
      <c r="AJ16" s="55"/>
      <c r="AK16" s="55"/>
      <c r="AL16" s="62"/>
    </row>
    <row r="17" spans="1:42" x14ac:dyDescent="0.25">
      <c r="B17" s="73"/>
      <c r="C17" s="160"/>
      <c r="D17" s="161"/>
      <c r="E17" s="161"/>
      <c r="F17" s="72"/>
      <c r="G17" s="72"/>
      <c r="H17" s="72"/>
      <c r="I17" s="72"/>
      <c r="J17" s="72"/>
      <c r="K17" s="73"/>
      <c r="L17" s="161"/>
      <c r="M17" s="142"/>
      <c r="N17" s="142"/>
      <c r="O17" s="161"/>
      <c r="P17" s="161"/>
      <c r="Q17" s="72"/>
      <c r="R17" s="72"/>
      <c r="S17" s="72"/>
      <c r="T17" s="142"/>
      <c r="U17" s="142"/>
      <c r="V17" s="73"/>
      <c r="W17" s="72"/>
      <c r="X17" s="72"/>
      <c r="Y17" s="72"/>
      <c r="Z17" s="72"/>
      <c r="AA17" s="72"/>
      <c r="AB17" s="72"/>
      <c r="AC17" s="143"/>
      <c r="AD17" s="162"/>
      <c r="AE17" s="162"/>
      <c r="AF17" s="162"/>
      <c r="AG17" s="162"/>
      <c r="AH17" s="162"/>
      <c r="AI17" s="162"/>
      <c r="AJ17" s="162"/>
      <c r="AK17" s="162"/>
      <c r="AL17" s="142"/>
      <c r="AM17" s="142"/>
      <c r="AN17" s="142"/>
      <c r="AO17" s="73"/>
      <c r="AP17" s="73"/>
    </row>
    <row r="18" spans="1:42" x14ac:dyDescent="0.25">
      <c r="B18" s="14" t="s">
        <v>9</v>
      </c>
      <c r="D18" s="4"/>
      <c r="E18" s="4"/>
      <c r="F18" s="14" t="s">
        <v>9</v>
      </c>
      <c r="G18" s="14" t="s">
        <v>9</v>
      </c>
      <c r="H18" s="14" t="s">
        <v>9</v>
      </c>
      <c r="I18" s="14" t="s">
        <v>9</v>
      </c>
      <c r="J18" s="14" t="s">
        <v>9</v>
      </c>
      <c r="K18" s="2" t="s">
        <v>79</v>
      </c>
      <c r="L18" s="4"/>
      <c r="M18" s="14" t="s">
        <v>9</v>
      </c>
      <c r="N18" s="14" t="s">
        <v>9</v>
      </c>
      <c r="O18" s="4"/>
      <c r="P18" s="4"/>
      <c r="Q18" s="14" t="s">
        <v>9</v>
      </c>
      <c r="R18" s="14" t="s">
        <v>9</v>
      </c>
      <c r="S18" s="14" t="s">
        <v>9</v>
      </c>
      <c r="T18" s="14" t="s">
        <v>9</v>
      </c>
      <c r="U18" s="14" t="s">
        <v>9</v>
      </c>
      <c r="V18" s="14" t="s">
        <v>9</v>
      </c>
      <c r="W18" s="14" t="s">
        <v>9</v>
      </c>
      <c r="X18" s="14" t="s">
        <v>9</v>
      </c>
      <c r="Y18" s="14" t="s">
        <v>9</v>
      </c>
      <c r="Z18" s="14" t="s">
        <v>9</v>
      </c>
      <c r="AA18" s="14" t="s">
        <v>9</v>
      </c>
      <c r="AB18" s="14" t="s">
        <v>9</v>
      </c>
      <c r="AC18" s="14" t="s">
        <v>9</v>
      </c>
      <c r="AD18" s="67"/>
      <c r="AE18" s="67"/>
      <c r="AF18" s="67"/>
      <c r="AG18" s="67"/>
      <c r="AH18" s="67"/>
      <c r="AI18" s="67"/>
      <c r="AJ18" s="67"/>
      <c r="AK18" s="67"/>
      <c r="AL18" s="14" t="s">
        <v>9</v>
      </c>
      <c r="AM18" s="14" t="s">
        <v>9</v>
      </c>
      <c r="AN18" s="14" t="s">
        <v>9</v>
      </c>
      <c r="AO18" s="14" t="s">
        <v>9</v>
      </c>
      <c r="AP18" s="14" t="s">
        <v>9</v>
      </c>
    </row>
    <row r="19" spans="1:42" x14ac:dyDescent="0.25">
      <c r="B19" s="4"/>
      <c r="D19" s="4"/>
      <c r="E19" s="4"/>
      <c r="F19" s="4"/>
      <c r="G19" s="4"/>
      <c r="H19" s="4"/>
      <c r="I19" s="4"/>
      <c r="J19" s="4"/>
      <c r="K19" s="63" t="s">
        <v>80</v>
      </c>
      <c r="L19" s="4"/>
      <c r="M19" s="4"/>
      <c r="N19" s="4"/>
      <c r="O19" s="4"/>
      <c r="P19" s="4"/>
      <c r="S19" s="64" t="s">
        <v>9</v>
      </c>
      <c r="T19" s="64" t="s">
        <v>9</v>
      </c>
      <c r="V19" s="64" t="s">
        <v>9</v>
      </c>
      <c r="W19" s="64" t="s">
        <v>9</v>
      </c>
      <c r="X19" s="36"/>
      <c r="Y19" s="64" t="s">
        <v>9</v>
      </c>
      <c r="Z19" s="36"/>
      <c r="AA19" s="64" t="s">
        <v>9</v>
      </c>
      <c r="AD19" s="55"/>
      <c r="AE19" s="55"/>
      <c r="AF19" s="55"/>
      <c r="AG19" s="55"/>
      <c r="AH19" s="55"/>
      <c r="AI19" s="55"/>
      <c r="AJ19" s="55"/>
      <c r="AK19" s="55"/>
      <c r="AO19" s="64" t="s">
        <v>9</v>
      </c>
      <c r="AP19" s="64" t="s">
        <v>9</v>
      </c>
    </row>
    <row r="20" spans="1:42" x14ac:dyDescent="0.25">
      <c r="D20" s="4"/>
      <c r="E20" s="4"/>
      <c r="F20" s="4"/>
      <c r="G20" s="4"/>
      <c r="H20" s="4"/>
      <c r="I20" s="4"/>
      <c r="J20" s="4"/>
      <c r="K20" s="65" t="s">
        <v>81</v>
      </c>
      <c r="L20" s="4"/>
      <c r="M20" s="4"/>
      <c r="N20" s="4"/>
      <c r="O20" s="4"/>
      <c r="P20" s="4"/>
      <c r="AO20" s="66" t="s">
        <v>9</v>
      </c>
      <c r="AP20" s="66" t="s">
        <v>9</v>
      </c>
    </row>
    <row r="21" spans="1:42" x14ac:dyDescent="0.25">
      <c r="B21" s="57"/>
      <c r="C21" s="4"/>
      <c r="D21" s="4"/>
      <c r="E21" s="4"/>
      <c r="F21" s="72"/>
      <c r="G21" s="72"/>
      <c r="H21" s="72"/>
      <c r="I21" s="72"/>
      <c r="J21" s="72"/>
      <c r="K21" s="4"/>
      <c r="L21" s="4"/>
      <c r="M21" s="4"/>
      <c r="N21" s="4"/>
      <c r="O21" s="4"/>
      <c r="P21" s="4"/>
      <c r="Q21" s="72"/>
      <c r="R21" s="72"/>
      <c r="S21" s="72"/>
      <c r="T21" s="59"/>
      <c r="U21" s="59"/>
      <c r="V21" s="57"/>
      <c r="W21" s="58"/>
      <c r="X21" s="58"/>
      <c r="Y21" s="58"/>
      <c r="Z21" s="72"/>
      <c r="AA21" s="72"/>
      <c r="AB21" s="72"/>
      <c r="AC21" s="60"/>
      <c r="AL21" s="3" t="s">
        <v>283</v>
      </c>
      <c r="AM21" s="59"/>
      <c r="AN21" s="59"/>
      <c r="AO21" s="73"/>
      <c r="AP21" s="73"/>
    </row>
    <row r="22" spans="1:42" s="4" customFormat="1" x14ac:dyDescent="0.25">
      <c r="B22" s="60"/>
      <c r="F22" s="142"/>
      <c r="G22" s="142"/>
      <c r="H22" s="142"/>
      <c r="I22" s="142"/>
      <c r="J22" s="142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60"/>
      <c r="W22" s="59"/>
      <c r="X22" s="59"/>
      <c r="Y22" s="59"/>
      <c r="Z22" s="142"/>
      <c r="AA22" s="142"/>
      <c r="AB22" s="142"/>
      <c r="AC22" s="60"/>
      <c r="AD22" s="55"/>
      <c r="AE22" s="55"/>
      <c r="AF22" s="55"/>
      <c r="AG22" s="55"/>
      <c r="AH22" s="55"/>
      <c r="AI22" s="55"/>
      <c r="AJ22" s="55"/>
      <c r="AK22" s="55"/>
      <c r="AM22" s="59"/>
      <c r="AN22" s="59"/>
      <c r="AO22" s="143"/>
      <c r="AP22" s="143"/>
    </row>
    <row r="23" spans="1:42" x14ac:dyDescent="0.25">
      <c r="B23" s="43" t="str">
        <f>B1</f>
        <v>prjc_uuid</v>
      </c>
      <c r="C23" s="43" t="str">
        <f t="shared" ref="C23:AP23" si="16">C1</f>
        <v>prjc_id</v>
      </c>
      <c r="D23" s="43" t="str">
        <f t="shared" si="16"/>
        <v>rte_id</v>
      </c>
      <c r="E23" s="21" t="str">
        <f t="shared" si="16"/>
        <v>Derived Route Name</v>
      </c>
      <c r="F23" s="43" t="str">
        <f t="shared" si="16"/>
        <v>rte_bsln_usd</v>
      </c>
      <c r="G23" s="43" t="str">
        <f t="shared" si="16"/>
        <v>prjc_low_buffer_lmt_nb</v>
      </c>
      <c r="H23" s="43" t="str">
        <f t="shared" si="16"/>
        <v>prjc_high_buffer_lmt_nb</v>
      </c>
      <c r="I23" s="43" t="str">
        <f t="shared" si="16"/>
        <v>rte_buffer_low_usd</v>
      </c>
      <c r="J23" s="43" t="str">
        <f t="shared" si="16"/>
        <v>rte_buffer_high_usd</v>
      </c>
      <c r="K23" s="44" t="str">
        <f t="shared" si="16"/>
        <v>prjc_uuid</v>
      </c>
      <c r="L23" s="44" t="str">
        <f t="shared" si="16"/>
        <v>prjc_id</v>
      </c>
      <c r="M23" s="44" t="str">
        <f t="shared" si="16"/>
        <v>baf_loc_id</v>
      </c>
      <c r="N23" s="18" t="str">
        <f t="shared" si="16"/>
        <v>baf_loc_cd</v>
      </c>
      <c r="O23" s="44" t="str">
        <f t="shared" si="16"/>
        <v>rte_id</v>
      </c>
      <c r="P23" s="21" t="str">
        <f t="shared" si="16"/>
        <v>(Derived Route Name)</v>
      </c>
      <c r="Q23" s="44" t="str">
        <f t="shared" si="16"/>
        <v>prjc_prc_mth_ofst</v>
      </c>
      <c r="R23" s="44" t="str">
        <f t="shared" si="16"/>
        <v>prc_mth_dt</v>
      </c>
      <c r="S23" s="44" t="str">
        <f t="shared" si="16"/>
        <v>rt_eff_dt</v>
      </c>
      <c r="T23" s="44" t="str">
        <f t="shared" si="16"/>
        <v>rt_exprn_dt</v>
      </c>
      <c r="U23" s="44" t="str">
        <f t="shared" si="16"/>
        <v>mth_rte_prc_nb</v>
      </c>
      <c r="V23" s="26" t="str">
        <f t="shared" si="16"/>
        <v>prjc_id</v>
      </c>
      <c r="W23" s="26" t="str">
        <f t="shared" si="16"/>
        <v>rte_id</v>
      </c>
      <c r="X23" s="26" t="str">
        <f t="shared" si="16"/>
        <v>Derived Route Name</v>
      </c>
      <c r="Y23" s="26" t="str">
        <f t="shared" si="16"/>
        <v>baf_frght_payable_unt_id</v>
      </c>
      <c r="Z23" s="145" t="str">
        <f t="shared" si="16"/>
        <v>baf_frght_payable_unt_cd</v>
      </c>
      <c r="AA23" s="26" t="str">
        <f t="shared" si="16"/>
        <v>crgo_typ_cd</v>
      </c>
      <c r="AB23" s="23" t="str">
        <f t="shared" si="16"/>
        <v>crgo_typ_nm</v>
      </c>
      <c r="AC23" s="45" t="str">
        <f t="shared" si="16"/>
        <v>techl_fctr_nb</v>
      </c>
      <c r="AD23" s="68" t="str">
        <f>AD60</f>
        <v>prjc_id</v>
      </c>
      <c r="AE23" s="68" t="str">
        <f t="shared" ref="AE23:AL23" si="17">AE60</f>
        <v>rte_id</v>
      </c>
      <c r="AF23" s="71" t="str">
        <f t="shared" si="17"/>
        <v>(What Route?)</v>
      </c>
      <c r="AG23" s="68" t="str">
        <f t="shared" si="17"/>
        <v>baf_frght_payable_unt_id</v>
      </c>
      <c r="AH23" s="71" t="str">
        <f t="shared" si="17"/>
        <v>(What FPU?)</v>
      </c>
      <c r="AI23" s="68" t="str">
        <f t="shared" si="17"/>
        <v>crgo_typ_cd</v>
      </c>
      <c r="AJ23" s="71" t="str">
        <f t="shared" si="17"/>
        <v>(What Crgo Type?)</v>
      </c>
      <c r="AK23" s="68" t="str">
        <f t="shared" si="17"/>
        <v>eff_dt</v>
      </c>
      <c r="AL23" s="69" t="str">
        <f t="shared" si="17"/>
        <v>prjc_baf_rt_uuid</v>
      </c>
      <c r="AM23" s="48" t="str">
        <f t="shared" si="16"/>
        <v>iu_action</v>
      </c>
      <c r="AN23" s="48" t="str">
        <f t="shared" si="16"/>
        <v>outside_buffer_amount</v>
      </c>
      <c r="AO23" s="48" t="str">
        <f t="shared" si="16"/>
        <v>baf_rate_usd_amount</v>
      </c>
      <c r="AP23" s="48" t="str">
        <f t="shared" si="16"/>
        <v>inactive_date</v>
      </c>
    </row>
    <row r="24" spans="1:42" x14ac:dyDescent="0.25">
      <c r="A24" s="116" t="s">
        <v>140</v>
      </c>
      <c r="B24" s="46" t="str">
        <f>'Project BAF Rate Gen Buffers VW'!B$14</f>
        <v>228b4088-8661-11eb-8dcd-0242ac130003</v>
      </c>
      <c r="C24" s="47">
        <f>'Project BAF Rate Gen Buffers VW'!K$14</f>
        <v>12345</v>
      </c>
      <c r="D24" s="43">
        <f>'Project BAF Rate Gen Buffers VW'!L$14</f>
        <v>250</v>
      </c>
      <c r="E24" s="21" t="str">
        <f>'Project BAF Rate Gen Buffers VW'!M$14</f>
        <v>10 - US GULF COAST - SCANDINAVIA, BALTIC</v>
      </c>
      <c r="F24" s="49">
        <f>'Project BAF Rate Gen Buffers VW'!Q$14</f>
        <v>740</v>
      </c>
      <c r="G24" s="49">
        <f>'Project BAF Rate Gen Buffers VW'!D$14</f>
        <v>-0.15</v>
      </c>
      <c r="H24" s="49">
        <f>'Project BAF Rate Gen Buffers VW'!E$14</f>
        <v>0.15</v>
      </c>
      <c r="I24" s="49">
        <f>'Project BAF Rate Gen Buffers VW'!R$14</f>
        <v>629</v>
      </c>
      <c r="J24" s="49">
        <f>'Project BAF Rate Gen Buffers VW'!S$14</f>
        <v>851</v>
      </c>
      <c r="K24" s="49" t="str">
        <f>'Project BAF Rate Gen Prices VW'!C$32</f>
        <v>228b4088-8661-11eb-8dcd-0242ac130003</v>
      </c>
      <c r="L24" s="47">
        <f>'Project BAF Rate Gen Prices VW'!N$32</f>
        <v>12345</v>
      </c>
      <c r="M24" s="46">
        <f>'Project BAF Rate Gen Prices VW'!O$32</f>
        <v>71</v>
      </c>
      <c r="N24" s="46" t="str">
        <f>'BAF Location'!B$2</f>
        <v>Houston</v>
      </c>
      <c r="O24" s="50">
        <f>'Project BAF Rate Gen Prices VW'!Q$32</f>
        <v>250</v>
      </c>
      <c r="P24" s="21" t="str">
        <f>'Project BAF Rate Gen Prices VW'!R$32</f>
        <v>(10 - US GULF COAST - SCANDINAVIA, BALTIC)</v>
      </c>
      <c r="Q24" s="46">
        <f>'Project BAF Rate Gen Prices VW'!G$32</f>
        <v>3</v>
      </c>
      <c r="R24" s="51">
        <f>'Project BAF Rate Gen Prices VW'!V$32</f>
        <v>44228</v>
      </c>
      <c r="S24" s="51">
        <f>'Project BAF Rate Gen Prices VW'!W$32</f>
        <v>44317</v>
      </c>
      <c r="T24" s="51">
        <f>'Project BAF Rate Gen Prices VW'!X$32</f>
        <v>44347.999989999997</v>
      </c>
      <c r="U24" s="52">
        <f>'Project BAF Rate Gen Prices VW'!Y$32</f>
        <v>814.00000000000011</v>
      </c>
      <c r="V24" s="47">
        <f>project_baf_technical_factor!A$2</f>
        <v>12345</v>
      </c>
      <c r="W24" s="50">
        <f>project_baf_technical_factor!B$2</f>
        <v>250</v>
      </c>
      <c r="X24" s="74" t="str">
        <f>route!E$2</f>
        <v>10 - US GULF COAST - SCANDINAVIA, BALTIC</v>
      </c>
      <c r="Y24" s="46">
        <f>project_baf_technical_factor!D$2</f>
        <v>21</v>
      </c>
      <c r="Z24" s="46" t="str">
        <f>baf_freight_payable_unit!$B$2</f>
        <v>TEU</v>
      </c>
      <c r="AA24" s="46" t="str">
        <f>project_baf_technical_factor!F$2</f>
        <v>C</v>
      </c>
      <c r="AB24" s="46" t="str">
        <f>cargo_type!C2</f>
        <v>Container</v>
      </c>
      <c r="AC24" s="53">
        <f>project_baf_technical_factor!H$2</f>
        <v>0.24</v>
      </c>
      <c r="AD24" s="46" t="str">
        <f t="shared" ref="AD24:AL24" si="18">IF($AL$21="Update",AD$61,TRIM(" "))</f>
        <v/>
      </c>
      <c r="AE24" s="46" t="str">
        <f t="shared" si="18"/>
        <v/>
      </c>
      <c r="AF24" s="21" t="str">
        <f t="shared" si="18"/>
        <v/>
      </c>
      <c r="AG24" s="46" t="str">
        <f t="shared" si="18"/>
        <v/>
      </c>
      <c r="AH24" s="21" t="str">
        <f t="shared" si="18"/>
        <v/>
      </c>
      <c r="AI24" s="46" t="str">
        <f t="shared" si="18"/>
        <v/>
      </c>
      <c r="AJ24" s="21" t="str">
        <f t="shared" si="18"/>
        <v/>
      </c>
      <c r="AK24" s="8" t="str">
        <f t="shared" si="18"/>
        <v/>
      </c>
      <c r="AL24" s="46" t="str">
        <f t="shared" si="18"/>
        <v/>
      </c>
      <c r="AM24" s="46" t="str">
        <f>IF(LEN(AL24)=0,"Insert","Update")</f>
        <v>Insert</v>
      </c>
      <c r="AN24" s="52">
        <f t="shared" ref="AN24:AN35" si="19">IF(U24&gt;J24,U24-J24,IF(U24&lt;I24,U24-I24,0))</f>
        <v>0</v>
      </c>
      <c r="AO24" s="52">
        <f t="shared" ref="AO24:AO35" si="20">IF(U24&gt;J24,U24-J24,IF(U24&lt;I24,U24-I24,0))*AC24</f>
        <v>0</v>
      </c>
      <c r="AP24" s="46" t="s">
        <v>78</v>
      </c>
    </row>
    <row r="25" spans="1:42" x14ac:dyDescent="0.25">
      <c r="A25" s="116" t="s">
        <v>140</v>
      </c>
      <c r="B25" s="46" t="str">
        <f>'Project BAF Rate Gen Buffers VW'!B$14</f>
        <v>228b4088-8661-11eb-8dcd-0242ac130003</v>
      </c>
      <c r="C25" s="47">
        <f>'Project BAF Rate Gen Buffers VW'!K$14</f>
        <v>12345</v>
      </c>
      <c r="D25" s="43">
        <f>'Project BAF Rate Gen Buffers VW'!L$14</f>
        <v>250</v>
      </c>
      <c r="E25" s="21" t="str">
        <f>E24</f>
        <v>10 - US GULF COAST - SCANDINAVIA, BALTIC</v>
      </c>
      <c r="F25" s="49">
        <f>'Project BAF Rate Gen Buffers VW'!Q$14</f>
        <v>740</v>
      </c>
      <c r="G25" s="49">
        <f>'Project BAF Rate Gen Buffers VW'!D$14</f>
        <v>-0.15</v>
      </c>
      <c r="H25" s="49">
        <f>'Project BAF Rate Gen Buffers VW'!E$14</f>
        <v>0.15</v>
      </c>
      <c r="I25" s="49">
        <f>'Project BAF Rate Gen Buffers VW'!R$14</f>
        <v>629</v>
      </c>
      <c r="J25" s="49">
        <f>'Project BAF Rate Gen Buffers VW'!S$14</f>
        <v>851</v>
      </c>
      <c r="K25" s="49" t="str">
        <f>'Project BAF Rate Gen Prices VW'!C$32</f>
        <v>228b4088-8661-11eb-8dcd-0242ac130003</v>
      </c>
      <c r="L25" s="47">
        <f>'Project BAF Rate Gen Prices VW'!N$32</f>
        <v>12345</v>
      </c>
      <c r="M25" s="46">
        <f>'Project BAF Rate Gen Prices VW'!O$32</f>
        <v>71</v>
      </c>
      <c r="N25" s="46" t="str">
        <f>'BAF Location'!B$2</f>
        <v>Houston</v>
      </c>
      <c r="O25" s="50">
        <f>'Project BAF Rate Gen Prices VW'!Q$32</f>
        <v>250</v>
      </c>
      <c r="P25" s="21" t="str">
        <f>'Project BAF Rate Gen Prices VW'!R$32</f>
        <v>(10 - US GULF COAST - SCANDINAVIA, BALTIC)</v>
      </c>
      <c r="Q25" s="46">
        <f>'Project BAF Rate Gen Prices VW'!G$32</f>
        <v>3</v>
      </c>
      <c r="R25" s="51">
        <f>'Project BAF Rate Gen Prices VW'!V$32</f>
        <v>44228</v>
      </c>
      <c r="S25" s="51">
        <f>'Project BAF Rate Gen Prices VW'!W$32</f>
        <v>44317</v>
      </c>
      <c r="T25" s="51">
        <f>'Project BAF Rate Gen Prices VW'!X$32</f>
        <v>44347.999989999997</v>
      </c>
      <c r="U25" s="52">
        <f>'Project BAF Rate Gen Prices VW'!Y$32</f>
        <v>814.00000000000011</v>
      </c>
      <c r="V25" s="47">
        <f>project_baf_technical_factor!A$3</f>
        <v>12345</v>
      </c>
      <c r="W25" s="50">
        <f>project_baf_technical_factor!B$3</f>
        <v>250</v>
      </c>
      <c r="X25" s="74" t="str">
        <f>route!E$2</f>
        <v>10 - US GULF COAST - SCANDINAVIA, BALTIC</v>
      </c>
      <c r="Y25" s="46">
        <f>project_baf_technical_factor!D$3</f>
        <v>22</v>
      </c>
      <c r="Z25" s="46" t="str">
        <f>baf_freight_payable_unit!$B$3</f>
        <v>FEU</v>
      </c>
      <c r="AA25" s="46" t="str">
        <f>project_baf_technical_factor!F$3</f>
        <v>C</v>
      </c>
      <c r="AB25" s="46" t="str">
        <f>cargo_type!C2</f>
        <v>Container</v>
      </c>
      <c r="AC25" s="53">
        <f>project_baf_technical_factor!H$3</f>
        <v>0.47</v>
      </c>
      <c r="AD25" s="46" t="str">
        <f t="shared" ref="AD25:AL25" si="21">IF($AL$21="Update",AD$62,TRIM(" "))</f>
        <v/>
      </c>
      <c r="AE25" s="46" t="str">
        <f t="shared" si="21"/>
        <v/>
      </c>
      <c r="AF25" s="21" t="str">
        <f t="shared" si="21"/>
        <v/>
      </c>
      <c r="AG25" s="46" t="str">
        <f t="shared" si="21"/>
        <v/>
      </c>
      <c r="AH25" s="21" t="str">
        <f t="shared" si="21"/>
        <v/>
      </c>
      <c r="AI25" s="46" t="str">
        <f t="shared" si="21"/>
        <v/>
      </c>
      <c r="AJ25" s="21" t="str">
        <f t="shared" si="21"/>
        <v/>
      </c>
      <c r="AK25" s="8" t="str">
        <f t="shared" si="21"/>
        <v/>
      </c>
      <c r="AL25" s="46" t="str">
        <f t="shared" si="21"/>
        <v/>
      </c>
      <c r="AM25" s="46" t="str">
        <f t="shared" ref="AM25:AM35" si="22">IF(LEN(AL25)=0,"Insert","Update")</f>
        <v>Insert</v>
      </c>
      <c r="AN25" s="52">
        <f t="shared" si="19"/>
        <v>0</v>
      </c>
      <c r="AO25" s="52">
        <f t="shared" si="20"/>
        <v>0</v>
      </c>
      <c r="AP25" s="46" t="s">
        <v>78</v>
      </c>
    </row>
    <row r="26" spans="1:42" x14ac:dyDescent="0.25">
      <c r="A26" s="116" t="s">
        <v>140</v>
      </c>
      <c r="B26" s="46" t="str">
        <f>'Project BAF Rate Gen Buffers VW'!B$14</f>
        <v>228b4088-8661-11eb-8dcd-0242ac130003</v>
      </c>
      <c r="C26" s="47">
        <f>'Project BAF Rate Gen Buffers VW'!K$14</f>
        <v>12345</v>
      </c>
      <c r="D26" s="43">
        <f>'Project BAF Rate Gen Buffers VW'!L$14</f>
        <v>250</v>
      </c>
      <c r="E26" s="21" t="str">
        <f>E24</f>
        <v>10 - US GULF COAST - SCANDINAVIA, BALTIC</v>
      </c>
      <c r="F26" s="49">
        <f>'Project BAF Rate Gen Buffers VW'!Q$14</f>
        <v>740</v>
      </c>
      <c r="G26" s="49">
        <f>'Project BAF Rate Gen Buffers VW'!D$14</f>
        <v>-0.15</v>
      </c>
      <c r="H26" s="49">
        <f>'Project BAF Rate Gen Buffers VW'!E$14</f>
        <v>0.15</v>
      </c>
      <c r="I26" s="49">
        <f>'Project BAF Rate Gen Buffers VW'!R$14</f>
        <v>629</v>
      </c>
      <c r="J26" s="49">
        <f>'Project BAF Rate Gen Buffers VW'!S$14</f>
        <v>851</v>
      </c>
      <c r="K26" s="49" t="str">
        <f>'Project BAF Rate Gen Prices VW'!C$32</f>
        <v>228b4088-8661-11eb-8dcd-0242ac130003</v>
      </c>
      <c r="L26" s="47">
        <f>'Project BAF Rate Gen Prices VW'!N$32</f>
        <v>12345</v>
      </c>
      <c r="M26" s="46">
        <f>'Project BAF Rate Gen Prices VW'!O$32</f>
        <v>71</v>
      </c>
      <c r="N26" s="46" t="str">
        <f>'BAF Location'!B$2</f>
        <v>Houston</v>
      </c>
      <c r="O26" s="50">
        <f>'Project BAF Rate Gen Prices VW'!Q$32</f>
        <v>250</v>
      </c>
      <c r="P26" s="21" t="str">
        <f>'Project BAF Rate Gen Prices VW'!R$32</f>
        <v>(10 - US GULF COAST - SCANDINAVIA, BALTIC)</v>
      </c>
      <c r="Q26" s="46">
        <f>'Project BAF Rate Gen Prices VW'!G$32</f>
        <v>3</v>
      </c>
      <c r="R26" s="51">
        <f>'Project BAF Rate Gen Prices VW'!V$32</f>
        <v>44228</v>
      </c>
      <c r="S26" s="51">
        <f>'Project BAF Rate Gen Prices VW'!W$32</f>
        <v>44317</v>
      </c>
      <c r="T26" s="51">
        <f>'Project BAF Rate Gen Prices VW'!X$32</f>
        <v>44347.999989999997</v>
      </c>
      <c r="U26" s="52">
        <f>'Project BAF Rate Gen Prices VW'!Y$32</f>
        <v>814.00000000000011</v>
      </c>
      <c r="V26" s="47">
        <f>project_baf_technical_factor!A$4</f>
        <v>12345</v>
      </c>
      <c r="W26" s="50">
        <f>project_baf_technical_factor!B$4</f>
        <v>250</v>
      </c>
      <c r="X26" s="74" t="str">
        <f>route!E$2</f>
        <v>10 - US GULF COAST - SCANDINAVIA, BALTIC</v>
      </c>
      <c r="Y26" s="46">
        <f>project_baf_technical_factor!D$4</f>
        <v>23</v>
      </c>
      <c r="Z26" s="46" t="str">
        <f>baf_freight_payable_unit!$B$4</f>
        <v>MTON</v>
      </c>
      <c r="AA26" s="46" t="str">
        <f>project_baf_technical_factor!F$4</f>
        <v>B</v>
      </c>
      <c r="AB26" s="46" t="str">
        <f>cargo_type!C3</f>
        <v>Breakbulk</v>
      </c>
      <c r="AC26" s="53">
        <f>project_baf_technical_factor!H$4</f>
        <v>1.3000000000000001E-2</v>
      </c>
      <c r="AD26" s="46" t="str">
        <f t="shared" ref="AD26:AL26" si="23">IF($AL$21="Update",AD$63,TRIM(" "))</f>
        <v/>
      </c>
      <c r="AE26" s="46" t="str">
        <f t="shared" si="23"/>
        <v/>
      </c>
      <c r="AF26" s="21" t="str">
        <f t="shared" si="23"/>
        <v/>
      </c>
      <c r="AG26" s="46" t="str">
        <f t="shared" si="23"/>
        <v/>
      </c>
      <c r="AH26" s="21" t="str">
        <f t="shared" si="23"/>
        <v/>
      </c>
      <c r="AI26" s="46" t="str">
        <f t="shared" si="23"/>
        <v/>
      </c>
      <c r="AJ26" s="21" t="str">
        <f t="shared" si="23"/>
        <v/>
      </c>
      <c r="AK26" s="8" t="str">
        <f t="shared" si="23"/>
        <v/>
      </c>
      <c r="AL26" s="46" t="str">
        <f t="shared" si="23"/>
        <v/>
      </c>
      <c r="AM26" s="46" t="str">
        <f t="shared" si="22"/>
        <v>Insert</v>
      </c>
      <c r="AN26" s="52">
        <f t="shared" si="19"/>
        <v>0</v>
      </c>
      <c r="AO26" s="52">
        <f t="shared" si="20"/>
        <v>0</v>
      </c>
      <c r="AP26" s="46" t="s">
        <v>78</v>
      </c>
    </row>
    <row r="27" spans="1:42" x14ac:dyDescent="0.25">
      <c r="A27" s="116" t="s">
        <v>140</v>
      </c>
      <c r="B27" s="46" t="str">
        <f>'Project BAF Rate Gen Buffers VW'!B$15</f>
        <v>228b4088-8661-11eb-8dcd-0242ac130003</v>
      </c>
      <c r="C27" s="47">
        <f>'Project BAF Rate Gen Buffers VW'!K$15</f>
        <v>12345</v>
      </c>
      <c r="D27" s="43">
        <f>'Project BAF Rate Gen Buffers VW'!L$15</f>
        <v>251</v>
      </c>
      <c r="E27" s="21" t="str">
        <f>'Project BAF Rate Gen Buffers VW'!M$15</f>
        <v>11 - US GULF COAST - CONTINENTAL EUROPE, UNITED KINGDOM, IRELAND</v>
      </c>
      <c r="F27" s="49">
        <f>'Project BAF Rate Gen Buffers VW'!Q$15</f>
        <v>720</v>
      </c>
      <c r="G27" s="49">
        <f>'Project BAF Rate Gen Buffers VW'!D$15</f>
        <v>-0.15</v>
      </c>
      <c r="H27" s="49">
        <f>'Project BAF Rate Gen Buffers VW'!E$15</f>
        <v>0.15</v>
      </c>
      <c r="I27" s="49">
        <f>'Project BAF Rate Gen Buffers VW'!R$15</f>
        <v>612</v>
      </c>
      <c r="J27" s="49">
        <f>'Project BAF Rate Gen Buffers VW'!S$15</f>
        <v>828</v>
      </c>
      <c r="K27" s="49" t="str">
        <f>'Project BAF Rate Gen Prices VW'!C$33</f>
        <v>228b4088-8661-11eb-8dcd-0242ac130003</v>
      </c>
      <c r="L27" s="47">
        <f>'Project BAF Rate Gen Prices VW'!N$33</f>
        <v>12345</v>
      </c>
      <c r="M27" s="46">
        <f>'Project BAF Rate Gen Prices VW'!O$33</f>
        <v>71</v>
      </c>
      <c r="N27" s="46" t="str">
        <f>'BAF Location'!B$2</f>
        <v>Houston</v>
      </c>
      <c r="O27" s="50">
        <f>'Project BAF Rate Gen Prices VW'!Q$33</f>
        <v>251</v>
      </c>
      <c r="P27" s="21" t="str">
        <f>'Project BAF Rate Gen Prices VW'!R$33</f>
        <v>(11 - US GULF COAST - CONTINENTAL EUROPE, UNITED KINGDOM, IRELAND)</v>
      </c>
      <c r="Q27" s="46">
        <f>'Project BAF Rate Gen Prices VW'!G$33</f>
        <v>3</v>
      </c>
      <c r="R27" s="51">
        <f>'Project BAF Rate Gen Prices VW'!V$33</f>
        <v>44228</v>
      </c>
      <c r="S27" s="51">
        <f>'Project BAF Rate Gen Prices VW'!W$33</f>
        <v>44317</v>
      </c>
      <c r="T27" s="51">
        <f>'Project BAF Rate Gen Prices VW'!X$33</f>
        <v>44347.999989999997</v>
      </c>
      <c r="U27" s="52">
        <f>'Project BAF Rate Gen Prices VW'!Y$33</f>
        <v>792.00000000000011</v>
      </c>
      <c r="V27" s="47">
        <f>project_baf_technical_factor!A$5</f>
        <v>12345</v>
      </c>
      <c r="W27" s="50">
        <f>project_baf_technical_factor!B$5</f>
        <v>251</v>
      </c>
      <c r="X27" s="74" t="str">
        <f>route!E$3</f>
        <v>11 - US GULF COAST - CONTINENTAL EUROPE, UNITED KINGDOM, IRELAND</v>
      </c>
      <c r="Y27" s="46">
        <f>project_baf_technical_factor!D$5</f>
        <v>21</v>
      </c>
      <c r="Z27" s="46" t="str">
        <f>baf_freight_payable_unit!$B$2</f>
        <v>TEU</v>
      </c>
      <c r="AA27" s="46" t="str">
        <f>project_baf_technical_factor!F$5</f>
        <v>C</v>
      </c>
      <c r="AB27" s="46" t="str">
        <f>cargo_type!C2</f>
        <v>Container</v>
      </c>
      <c r="AC27" s="53">
        <f>project_baf_technical_factor!H$5</f>
        <v>0.26400000000000001</v>
      </c>
      <c r="AD27" s="46" t="str">
        <f t="shared" ref="AD27:AL27" si="24">IF($AL$21="Update",AD$64,TRIM(" "))</f>
        <v/>
      </c>
      <c r="AE27" s="46" t="str">
        <f t="shared" si="24"/>
        <v/>
      </c>
      <c r="AF27" s="21" t="str">
        <f t="shared" si="24"/>
        <v/>
      </c>
      <c r="AG27" s="46" t="str">
        <f t="shared" si="24"/>
        <v/>
      </c>
      <c r="AH27" s="21" t="str">
        <f t="shared" si="24"/>
        <v/>
      </c>
      <c r="AI27" s="46" t="str">
        <f t="shared" si="24"/>
        <v/>
      </c>
      <c r="AJ27" s="21" t="str">
        <f t="shared" si="24"/>
        <v/>
      </c>
      <c r="AK27" s="8" t="str">
        <f t="shared" si="24"/>
        <v/>
      </c>
      <c r="AL27" s="46" t="str">
        <f t="shared" si="24"/>
        <v/>
      </c>
      <c r="AM27" s="46" t="str">
        <f t="shared" si="22"/>
        <v>Insert</v>
      </c>
      <c r="AN27" s="52">
        <f t="shared" si="19"/>
        <v>0</v>
      </c>
      <c r="AO27" s="52">
        <f t="shared" si="20"/>
        <v>0</v>
      </c>
      <c r="AP27" s="46" t="s">
        <v>78</v>
      </c>
    </row>
    <row r="28" spans="1:42" x14ac:dyDescent="0.25">
      <c r="A28" s="116" t="s">
        <v>140</v>
      </c>
      <c r="B28" s="46" t="str">
        <f>'Project BAF Rate Gen Buffers VW'!B$15</f>
        <v>228b4088-8661-11eb-8dcd-0242ac130003</v>
      </c>
      <c r="C28" s="47">
        <f>'Project BAF Rate Gen Buffers VW'!K$15</f>
        <v>12345</v>
      </c>
      <c r="D28" s="43">
        <f>'Project BAF Rate Gen Buffers VW'!L$15</f>
        <v>251</v>
      </c>
      <c r="E28" s="21" t="str">
        <f>E27</f>
        <v>11 - US GULF COAST - CONTINENTAL EUROPE, UNITED KINGDOM, IRELAND</v>
      </c>
      <c r="F28" s="49">
        <f>'Project BAF Rate Gen Buffers VW'!Q$15</f>
        <v>720</v>
      </c>
      <c r="G28" s="49">
        <f>'Project BAF Rate Gen Buffers VW'!D$15</f>
        <v>-0.15</v>
      </c>
      <c r="H28" s="49">
        <f>'Project BAF Rate Gen Buffers VW'!E$15</f>
        <v>0.15</v>
      </c>
      <c r="I28" s="49">
        <f>'Project BAF Rate Gen Buffers VW'!R$15</f>
        <v>612</v>
      </c>
      <c r="J28" s="49">
        <f>'Project BAF Rate Gen Buffers VW'!S$15</f>
        <v>828</v>
      </c>
      <c r="K28" s="49" t="str">
        <f>'Project BAF Rate Gen Prices VW'!C$33</f>
        <v>228b4088-8661-11eb-8dcd-0242ac130003</v>
      </c>
      <c r="L28" s="47">
        <f>'Project BAF Rate Gen Prices VW'!N$33</f>
        <v>12345</v>
      </c>
      <c r="M28" s="46">
        <f>'Project BAF Rate Gen Prices VW'!O$33</f>
        <v>71</v>
      </c>
      <c r="N28" s="46" t="str">
        <f>'BAF Location'!B$2</f>
        <v>Houston</v>
      </c>
      <c r="O28" s="50">
        <f>'Project BAF Rate Gen Prices VW'!Q$33</f>
        <v>251</v>
      </c>
      <c r="P28" s="21" t="str">
        <f>'Project BAF Rate Gen Prices VW'!R$33</f>
        <v>(11 - US GULF COAST - CONTINENTAL EUROPE, UNITED KINGDOM, IRELAND)</v>
      </c>
      <c r="Q28" s="46">
        <f>'Project BAF Rate Gen Prices VW'!G$33</f>
        <v>3</v>
      </c>
      <c r="R28" s="51">
        <f>'Project BAF Rate Gen Prices VW'!V$33</f>
        <v>44228</v>
      </c>
      <c r="S28" s="51">
        <f>'Project BAF Rate Gen Prices VW'!W$33</f>
        <v>44317</v>
      </c>
      <c r="T28" s="51">
        <f>'Project BAF Rate Gen Prices VW'!X$33</f>
        <v>44347.999989999997</v>
      </c>
      <c r="U28" s="52">
        <f>'Project BAF Rate Gen Prices VW'!Y$33</f>
        <v>792.00000000000011</v>
      </c>
      <c r="V28" s="47">
        <f>project_baf_technical_factor!A$6</f>
        <v>12345</v>
      </c>
      <c r="W28" s="50">
        <f>project_baf_technical_factor!B$6</f>
        <v>251</v>
      </c>
      <c r="X28" s="74" t="str">
        <f>route!E$3</f>
        <v>11 - US GULF COAST - CONTINENTAL EUROPE, UNITED KINGDOM, IRELAND</v>
      </c>
      <c r="Y28" s="46">
        <f>project_baf_technical_factor!D$6</f>
        <v>22</v>
      </c>
      <c r="Z28" s="46" t="str">
        <f>baf_freight_payable_unit!$B$3</f>
        <v>FEU</v>
      </c>
      <c r="AA28" s="46" t="str">
        <f>project_baf_technical_factor!F$6</f>
        <v>C</v>
      </c>
      <c r="AB28" s="46" t="str">
        <f>cargo_type!C2</f>
        <v>Container</v>
      </c>
      <c r="AC28" s="53">
        <f>project_baf_technical_factor!H$6</f>
        <v>0.49399999999999999</v>
      </c>
      <c r="AD28" s="46" t="str">
        <f t="shared" ref="AD28:AL28" si="25">IF($AL$21="Update",AD$65,TRIM(" "))</f>
        <v/>
      </c>
      <c r="AE28" s="46" t="str">
        <f t="shared" si="25"/>
        <v/>
      </c>
      <c r="AF28" s="21" t="str">
        <f t="shared" si="25"/>
        <v/>
      </c>
      <c r="AG28" s="46" t="str">
        <f t="shared" si="25"/>
        <v/>
      </c>
      <c r="AH28" s="21" t="str">
        <f t="shared" si="25"/>
        <v/>
      </c>
      <c r="AI28" s="46" t="str">
        <f t="shared" si="25"/>
        <v/>
      </c>
      <c r="AJ28" s="21" t="str">
        <f t="shared" si="25"/>
        <v/>
      </c>
      <c r="AK28" s="8" t="str">
        <f t="shared" si="25"/>
        <v/>
      </c>
      <c r="AL28" s="46" t="str">
        <f t="shared" si="25"/>
        <v/>
      </c>
      <c r="AM28" s="46" t="str">
        <f t="shared" si="22"/>
        <v>Insert</v>
      </c>
      <c r="AN28" s="52">
        <f t="shared" si="19"/>
        <v>0</v>
      </c>
      <c r="AO28" s="52">
        <f t="shared" si="20"/>
        <v>0</v>
      </c>
      <c r="AP28" s="46" t="s">
        <v>78</v>
      </c>
    </row>
    <row r="29" spans="1:42" x14ac:dyDescent="0.25">
      <c r="A29" s="116" t="s">
        <v>140</v>
      </c>
      <c r="B29" s="46" t="str">
        <f>'Project BAF Rate Gen Buffers VW'!B$15</f>
        <v>228b4088-8661-11eb-8dcd-0242ac130003</v>
      </c>
      <c r="C29" s="47">
        <f>'Project BAF Rate Gen Buffers VW'!K$15</f>
        <v>12345</v>
      </c>
      <c r="D29" s="43">
        <f>'Project BAF Rate Gen Buffers VW'!L$15</f>
        <v>251</v>
      </c>
      <c r="E29" s="21" t="str">
        <f>E27</f>
        <v>11 - US GULF COAST - CONTINENTAL EUROPE, UNITED KINGDOM, IRELAND</v>
      </c>
      <c r="F29" s="49">
        <f>'Project BAF Rate Gen Buffers VW'!Q$15</f>
        <v>720</v>
      </c>
      <c r="G29" s="49">
        <f>'Project BAF Rate Gen Buffers VW'!D$15</f>
        <v>-0.15</v>
      </c>
      <c r="H29" s="49">
        <f>'Project BAF Rate Gen Buffers VW'!E$15</f>
        <v>0.15</v>
      </c>
      <c r="I29" s="49">
        <f>'Project BAF Rate Gen Buffers VW'!R$15</f>
        <v>612</v>
      </c>
      <c r="J29" s="49">
        <f>'Project BAF Rate Gen Buffers VW'!S$15</f>
        <v>828</v>
      </c>
      <c r="K29" s="49" t="str">
        <f>'Project BAF Rate Gen Prices VW'!C$33</f>
        <v>228b4088-8661-11eb-8dcd-0242ac130003</v>
      </c>
      <c r="L29" s="47">
        <f>'Project BAF Rate Gen Prices VW'!N$33</f>
        <v>12345</v>
      </c>
      <c r="M29" s="46">
        <f>'Project BAF Rate Gen Prices VW'!O$33</f>
        <v>71</v>
      </c>
      <c r="N29" s="46" t="str">
        <f>'BAF Location'!B$2</f>
        <v>Houston</v>
      </c>
      <c r="O29" s="50">
        <f>'Project BAF Rate Gen Prices VW'!Q$33</f>
        <v>251</v>
      </c>
      <c r="P29" s="21" t="str">
        <f>'Project BAF Rate Gen Prices VW'!R$33</f>
        <v>(11 - US GULF COAST - CONTINENTAL EUROPE, UNITED KINGDOM, IRELAND)</v>
      </c>
      <c r="Q29" s="46">
        <f>'Project BAF Rate Gen Prices VW'!G$33</f>
        <v>3</v>
      </c>
      <c r="R29" s="51">
        <f>'Project BAF Rate Gen Prices VW'!V$33</f>
        <v>44228</v>
      </c>
      <c r="S29" s="51">
        <f>'Project BAF Rate Gen Prices VW'!W$33</f>
        <v>44317</v>
      </c>
      <c r="T29" s="51">
        <f>'Project BAF Rate Gen Prices VW'!X$33</f>
        <v>44347.999989999997</v>
      </c>
      <c r="U29" s="52">
        <f>'Project BAF Rate Gen Prices VW'!Y$33</f>
        <v>792.00000000000011</v>
      </c>
      <c r="V29" s="47">
        <f>project_baf_technical_factor!A$7</f>
        <v>12345</v>
      </c>
      <c r="W29" s="50">
        <f>project_baf_technical_factor!B$7</f>
        <v>251</v>
      </c>
      <c r="X29" s="74" t="str">
        <f>route!E$3</f>
        <v>11 - US GULF COAST - CONTINENTAL EUROPE, UNITED KINGDOM, IRELAND</v>
      </c>
      <c r="Y29" s="46">
        <f>project_baf_technical_factor!D$7</f>
        <v>23</v>
      </c>
      <c r="Z29" s="46" t="str">
        <f>baf_freight_payable_unit!$B$4</f>
        <v>MTON</v>
      </c>
      <c r="AA29" s="46" t="str">
        <f>project_baf_technical_factor!F$7</f>
        <v>B</v>
      </c>
      <c r="AB29" s="46" t="str">
        <f>cargo_type!C3</f>
        <v>Breakbulk</v>
      </c>
      <c r="AC29" s="53">
        <f>project_baf_technical_factor!H$7</f>
        <v>3.7000000000000005E-2</v>
      </c>
      <c r="AD29" s="46" t="str">
        <f t="shared" ref="AD29:AL29" si="26">IF($AL$21="Update",AD$66,TRIM(" "))</f>
        <v/>
      </c>
      <c r="AE29" s="46" t="str">
        <f t="shared" si="26"/>
        <v/>
      </c>
      <c r="AF29" s="21" t="str">
        <f t="shared" si="26"/>
        <v/>
      </c>
      <c r="AG29" s="46" t="str">
        <f t="shared" si="26"/>
        <v/>
      </c>
      <c r="AH29" s="21" t="str">
        <f t="shared" si="26"/>
        <v/>
      </c>
      <c r="AI29" s="46" t="str">
        <f t="shared" si="26"/>
        <v/>
      </c>
      <c r="AJ29" s="21" t="str">
        <f t="shared" si="26"/>
        <v/>
      </c>
      <c r="AK29" s="8" t="str">
        <f t="shared" si="26"/>
        <v/>
      </c>
      <c r="AL29" s="46" t="str">
        <f t="shared" si="26"/>
        <v/>
      </c>
      <c r="AM29" s="46" t="str">
        <f t="shared" si="22"/>
        <v>Insert</v>
      </c>
      <c r="AN29" s="52">
        <f t="shared" si="19"/>
        <v>0</v>
      </c>
      <c r="AO29" s="52">
        <f t="shared" si="20"/>
        <v>0</v>
      </c>
      <c r="AP29" s="46" t="s">
        <v>78</v>
      </c>
    </row>
    <row r="30" spans="1:42" x14ac:dyDescent="0.25">
      <c r="A30" s="116" t="s">
        <v>140</v>
      </c>
      <c r="B30" s="46" t="str">
        <f>'Project BAF Rate Gen Buffers VW'!B$16</f>
        <v>228b4088-8661-11eb-8dcd-0242ac130003</v>
      </c>
      <c r="C30" s="47">
        <f>'Project BAF Rate Gen Buffers VW'!K$16</f>
        <v>12345</v>
      </c>
      <c r="D30" s="43">
        <f>'Project BAF Rate Gen Buffers VW'!L$16</f>
        <v>252</v>
      </c>
      <c r="E30" s="21" t="str">
        <f>'Project BAF Rate Gen Buffers VW'!M$16</f>
        <v>12 - US GULF COAST - MEDITERRANEAN</v>
      </c>
      <c r="F30" s="49">
        <f>'Project BAF Rate Gen Buffers VW'!Q$16</f>
        <v>620.66666666666663</v>
      </c>
      <c r="G30" s="49">
        <f>'Project BAF Rate Gen Buffers VW'!D$16</f>
        <v>-0.15</v>
      </c>
      <c r="H30" s="49">
        <f>'Project BAF Rate Gen Buffers VW'!E$16</f>
        <v>0.15</v>
      </c>
      <c r="I30" s="49">
        <f>'Project BAF Rate Gen Buffers VW'!R$16</f>
        <v>527.56666666666661</v>
      </c>
      <c r="J30" s="49">
        <f>'Project BAF Rate Gen Buffers VW'!S$16</f>
        <v>713.76666666666665</v>
      </c>
      <c r="K30" s="49" t="str">
        <f>'Project BAF Rate Gen Prices VW'!C$34</f>
        <v>228b4088-8661-11eb-8dcd-0242ac130003</v>
      </c>
      <c r="L30" s="47">
        <f>'Project BAF Rate Gen Prices VW'!N$34</f>
        <v>12345</v>
      </c>
      <c r="M30" s="46">
        <f>'Project BAF Rate Gen Prices VW'!O$34</f>
        <v>72</v>
      </c>
      <c r="N30" s="46" t="str">
        <f>'BAF Location'!B$3</f>
        <v>Los Angeles</v>
      </c>
      <c r="O30" s="50">
        <f>'Project BAF Rate Gen Prices VW'!Q$34</f>
        <v>252</v>
      </c>
      <c r="P30" s="21" t="str">
        <f>'Project BAF Rate Gen Prices VW'!R$34</f>
        <v>(12 - US GULF COAST - MEDITERRANEAN)</v>
      </c>
      <c r="Q30" s="46">
        <f>'Project BAF Rate Gen Prices VW'!G$34</f>
        <v>3</v>
      </c>
      <c r="R30" s="51">
        <f>'Project BAF Rate Gen Prices VW'!V$34</f>
        <v>44228</v>
      </c>
      <c r="S30" s="51">
        <f>'Project BAF Rate Gen Prices VW'!W$34</f>
        <v>44317</v>
      </c>
      <c r="T30" s="51">
        <f>'Project BAF Rate Gen Prices VW'!X$34</f>
        <v>44347.999989999997</v>
      </c>
      <c r="U30" s="52">
        <f>'Project BAF Rate Gen Prices VW'!Y$34</f>
        <v>558.6</v>
      </c>
      <c r="V30" s="47">
        <f>project_baf_technical_factor!A$8</f>
        <v>12345</v>
      </c>
      <c r="W30" s="50">
        <f>project_baf_technical_factor!B$8</f>
        <v>252</v>
      </c>
      <c r="X30" s="74" t="str">
        <f>route!E$4</f>
        <v>12 - US GULF COAST - MEDITERRANEAN</v>
      </c>
      <c r="Y30" s="46">
        <f>project_baf_technical_factor!D$8</f>
        <v>21</v>
      </c>
      <c r="Z30" s="46" t="str">
        <f>baf_freight_payable_unit!$B$2</f>
        <v>TEU</v>
      </c>
      <c r="AA30" s="46" t="str">
        <f>project_baf_technical_factor!F$8</f>
        <v>C</v>
      </c>
      <c r="AB30" s="46" t="str">
        <f>cargo_type!C2</f>
        <v>Container</v>
      </c>
      <c r="AC30" s="53">
        <f>project_baf_technical_factor!H$8</f>
        <v>0.253</v>
      </c>
      <c r="AD30" s="46" t="str">
        <f t="shared" ref="AD30:AL30" si="27">IF($AL$21="Update",AD$67,TRIM(" "))</f>
        <v/>
      </c>
      <c r="AE30" s="46" t="str">
        <f t="shared" si="27"/>
        <v/>
      </c>
      <c r="AF30" s="21" t="str">
        <f t="shared" si="27"/>
        <v/>
      </c>
      <c r="AG30" s="46" t="str">
        <f t="shared" si="27"/>
        <v/>
      </c>
      <c r="AH30" s="21" t="str">
        <f t="shared" si="27"/>
        <v/>
      </c>
      <c r="AI30" s="46" t="str">
        <f t="shared" si="27"/>
        <v/>
      </c>
      <c r="AJ30" s="21" t="str">
        <f t="shared" si="27"/>
        <v/>
      </c>
      <c r="AK30" s="8" t="str">
        <f t="shared" si="27"/>
        <v/>
      </c>
      <c r="AL30" s="46" t="str">
        <f t="shared" si="27"/>
        <v/>
      </c>
      <c r="AM30" s="46" t="str">
        <f t="shared" si="22"/>
        <v>Insert</v>
      </c>
      <c r="AN30" s="52">
        <f t="shared" si="19"/>
        <v>0</v>
      </c>
      <c r="AO30" s="52">
        <f t="shared" si="20"/>
        <v>0</v>
      </c>
      <c r="AP30" s="46" t="s">
        <v>78</v>
      </c>
    </row>
    <row r="31" spans="1:42" x14ac:dyDescent="0.25">
      <c r="A31" s="116" t="s">
        <v>140</v>
      </c>
      <c r="B31" s="46" t="str">
        <f>'Project BAF Rate Gen Buffers VW'!B$16</f>
        <v>228b4088-8661-11eb-8dcd-0242ac130003</v>
      </c>
      <c r="C31" s="47">
        <f>'Project BAF Rate Gen Buffers VW'!K$16</f>
        <v>12345</v>
      </c>
      <c r="D31" s="43">
        <f>'Project BAF Rate Gen Buffers VW'!L$16</f>
        <v>252</v>
      </c>
      <c r="E31" s="21" t="str">
        <f>E30</f>
        <v>12 - US GULF COAST - MEDITERRANEAN</v>
      </c>
      <c r="F31" s="49">
        <f>'Project BAF Rate Gen Buffers VW'!Q$16</f>
        <v>620.66666666666663</v>
      </c>
      <c r="G31" s="49">
        <f>'Project BAF Rate Gen Buffers VW'!D$16</f>
        <v>-0.15</v>
      </c>
      <c r="H31" s="49">
        <f>'Project BAF Rate Gen Buffers VW'!E$16</f>
        <v>0.15</v>
      </c>
      <c r="I31" s="49">
        <f>'Project BAF Rate Gen Buffers VW'!R$16</f>
        <v>527.56666666666661</v>
      </c>
      <c r="J31" s="49">
        <f>'Project BAF Rate Gen Buffers VW'!S$16</f>
        <v>713.76666666666665</v>
      </c>
      <c r="K31" s="49" t="str">
        <f>'Project BAF Rate Gen Prices VW'!C$34</f>
        <v>228b4088-8661-11eb-8dcd-0242ac130003</v>
      </c>
      <c r="L31" s="47">
        <f>'Project BAF Rate Gen Prices VW'!N$34</f>
        <v>12345</v>
      </c>
      <c r="M31" s="46">
        <f>'Project BAF Rate Gen Prices VW'!O$34</f>
        <v>72</v>
      </c>
      <c r="N31" s="46" t="str">
        <f>'BAF Location'!B$3</f>
        <v>Los Angeles</v>
      </c>
      <c r="O31" s="50">
        <f>'Project BAF Rate Gen Prices VW'!Q$34</f>
        <v>252</v>
      </c>
      <c r="P31" s="21" t="str">
        <f>'Project BAF Rate Gen Prices VW'!R$34</f>
        <v>(12 - US GULF COAST - MEDITERRANEAN)</v>
      </c>
      <c r="Q31" s="46">
        <f>'Project BAF Rate Gen Prices VW'!G$34</f>
        <v>3</v>
      </c>
      <c r="R31" s="51">
        <f>'Project BAF Rate Gen Prices VW'!V$34</f>
        <v>44228</v>
      </c>
      <c r="S31" s="51">
        <f>'Project BAF Rate Gen Prices VW'!W$34</f>
        <v>44317</v>
      </c>
      <c r="T31" s="51">
        <f>'Project BAF Rate Gen Prices VW'!X$34</f>
        <v>44347.999989999997</v>
      </c>
      <c r="U31" s="52">
        <f>'Project BAF Rate Gen Prices VW'!Y$34</f>
        <v>558.6</v>
      </c>
      <c r="V31" s="47">
        <f>project_baf_technical_factor!A$9</f>
        <v>12345</v>
      </c>
      <c r="W31" s="50">
        <f>project_baf_technical_factor!B$9</f>
        <v>252</v>
      </c>
      <c r="X31" s="74" t="str">
        <f>route!E$4</f>
        <v>12 - US GULF COAST - MEDITERRANEAN</v>
      </c>
      <c r="Y31" s="46">
        <f>project_baf_technical_factor!D$9</f>
        <v>22</v>
      </c>
      <c r="Z31" s="46" t="str">
        <f>baf_freight_payable_unit!$B$3</f>
        <v>FEU</v>
      </c>
      <c r="AA31" s="46" t="str">
        <f>project_baf_technical_factor!F$9</f>
        <v>C</v>
      </c>
      <c r="AB31" s="46" t="str">
        <f>cargo_type!C2</f>
        <v>Container</v>
      </c>
      <c r="AC31" s="53">
        <f>project_baf_technical_factor!H$9</f>
        <v>0.48299999999999998</v>
      </c>
      <c r="AD31" s="46" t="str">
        <f t="shared" ref="AD31:AL31" si="28">IF($AL$21="Update",AD$68,TRIM(" "))</f>
        <v/>
      </c>
      <c r="AE31" s="46" t="str">
        <f t="shared" si="28"/>
        <v/>
      </c>
      <c r="AF31" s="21" t="str">
        <f t="shared" si="28"/>
        <v/>
      </c>
      <c r="AG31" s="46" t="str">
        <f t="shared" si="28"/>
        <v/>
      </c>
      <c r="AH31" s="21" t="str">
        <f t="shared" si="28"/>
        <v/>
      </c>
      <c r="AI31" s="46" t="str">
        <f t="shared" si="28"/>
        <v/>
      </c>
      <c r="AJ31" s="21" t="str">
        <f t="shared" si="28"/>
        <v/>
      </c>
      <c r="AK31" s="8" t="str">
        <f t="shared" si="28"/>
        <v/>
      </c>
      <c r="AL31" s="46" t="str">
        <f t="shared" si="28"/>
        <v/>
      </c>
      <c r="AM31" s="46" t="str">
        <f t="shared" si="22"/>
        <v>Insert</v>
      </c>
      <c r="AN31" s="52">
        <f t="shared" si="19"/>
        <v>0</v>
      </c>
      <c r="AO31" s="52">
        <f t="shared" si="20"/>
        <v>0</v>
      </c>
      <c r="AP31" s="46" t="s">
        <v>78</v>
      </c>
    </row>
    <row r="32" spans="1:42" ht="15.75" thickBot="1" x14ac:dyDescent="0.3">
      <c r="A32" s="116" t="s">
        <v>140</v>
      </c>
      <c r="B32" s="46" t="str">
        <f>'Project BAF Rate Gen Buffers VW'!B$16</f>
        <v>228b4088-8661-11eb-8dcd-0242ac130003</v>
      </c>
      <c r="C32" s="47">
        <f>'Project BAF Rate Gen Buffers VW'!K$16</f>
        <v>12345</v>
      </c>
      <c r="D32" s="43">
        <f>'Project BAF Rate Gen Buffers VW'!L$16</f>
        <v>252</v>
      </c>
      <c r="E32" s="21" t="str">
        <f>E30</f>
        <v>12 - US GULF COAST - MEDITERRANEAN</v>
      </c>
      <c r="F32" s="49">
        <f>'Project BAF Rate Gen Buffers VW'!Q$16</f>
        <v>620.66666666666663</v>
      </c>
      <c r="G32" s="49">
        <f>'Project BAF Rate Gen Buffers VW'!D$16</f>
        <v>-0.15</v>
      </c>
      <c r="H32" s="49">
        <f>'Project BAF Rate Gen Buffers VW'!E$16</f>
        <v>0.15</v>
      </c>
      <c r="I32" s="49">
        <f>'Project BAF Rate Gen Buffers VW'!R$16</f>
        <v>527.56666666666661</v>
      </c>
      <c r="J32" s="49">
        <f>'Project BAF Rate Gen Buffers VW'!S$16</f>
        <v>713.76666666666665</v>
      </c>
      <c r="K32" s="49" t="str">
        <f>'Project BAF Rate Gen Prices VW'!C$34</f>
        <v>228b4088-8661-11eb-8dcd-0242ac130003</v>
      </c>
      <c r="L32" s="47">
        <f>'Project BAF Rate Gen Prices VW'!N$34</f>
        <v>12345</v>
      </c>
      <c r="M32" s="46">
        <f>'Project BAF Rate Gen Prices VW'!O$34</f>
        <v>72</v>
      </c>
      <c r="N32" s="46" t="str">
        <f>'BAF Location'!B$3</f>
        <v>Los Angeles</v>
      </c>
      <c r="O32" s="50">
        <f>'Project BAF Rate Gen Prices VW'!Q$34</f>
        <v>252</v>
      </c>
      <c r="P32" s="21" t="str">
        <f>'Project BAF Rate Gen Prices VW'!R$34</f>
        <v>(12 - US GULF COAST - MEDITERRANEAN)</v>
      </c>
      <c r="Q32" s="46">
        <f>'Project BAF Rate Gen Prices VW'!G$34</f>
        <v>3</v>
      </c>
      <c r="R32" s="51">
        <f>'Project BAF Rate Gen Prices VW'!V$34</f>
        <v>44228</v>
      </c>
      <c r="S32" s="51">
        <f>'Project BAF Rate Gen Prices VW'!W$34</f>
        <v>44317</v>
      </c>
      <c r="T32" s="51">
        <f>'Project BAF Rate Gen Prices VW'!X$34</f>
        <v>44347.999989999997</v>
      </c>
      <c r="U32" s="52">
        <f>'Project BAF Rate Gen Prices VW'!Y$34</f>
        <v>558.6</v>
      </c>
      <c r="V32" s="47">
        <f>project_baf_technical_factor!A$10</f>
        <v>12345</v>
      </c>
      <c r="W32" s="50">
        <f>project_baf_technical_factor!B$10</f>
        <v>252</v>
      </c>
      <c r="X32" s="74" t="str">
        <f>route!E$4</f>
        <v>12 - US GULF COAST - MEDITERRANEAN</v>
      </c>
      <c r="Y32" s="46">
        <f>project_baf_technical_factor!D$10</f>
        <v>23</v>
      </c>
      <c r="Z32" s="46" t="str">
        <f>baf_freight_payable_unit!$B$4</f>
        <v>MTON</v>
      </c>
      <c r="AA32" s="46" t="str">
        <f>project_baf_technical_factor!F$10</f>
        <v>B</v>
      </c>
      <c r="AB32" s="46" t="str">
        <f>cargo_type!C3</f>
        <v>Breakbulk</v>
      </c>
      <c r="AC32" s="53">
        <f>project_baf_technical_factor!H$10</f>
        <v>2.6000000000000006E-2</v>
      </c>
      <c r="AD32" s="46" t="str">
        <f t="shared" ref="AD32:AL32" si="29">IF($AL$21="Update",AD$69,TRIM(" "))</f>
        <v/>
      </c>
      <c r="AE32" s="46" t="str">
        <f t="shared" si="29"/>
        <v/>
      </c>
      <c r="AF32" s="21" t="str">
        <f t="shared" si="29"/>
        <v/>
      </c>
      <c r="AG32" s="46" t="str">
        <f t="shared" si="29"/>
        <v/>
      </c>
      <c r="AH32" s="21" t="str">
        <f t="shared" si="29"/>
        <v/>
      </c>
      <c r="AI32" s="46" t="str">
        <f t="shared" si="29"/>
        <v/>
      </c>
      <c r="AJ32" s="21" t="str">
        <f t="shared" si="29"/>
        <v/>
      </c>
      <c r="AK32" s="8" t="str">
        <f t="shared" si="29"/>
        <v/>
      </c>
      <c r="AL32" s="46" t="str">
        <f t="shared" si="29"/>
        <v/>
      </c>
      <c r="AM32" s="46" t="str">
        <f t="shared" si="22"/>
        <v>Insert</v>
      </c>
      <c r="AN32" s="52">
        <f t="shared" si="19"/>
        <v>0</v>
      </c>
      <c r="AO32" s="125">
        <f t="shared" si="20"/>
        <v>0</v>
      </c>
      <c r="AP32" s="126" t="s">
        <v>78</v>
      </c>
    </row>
    <row r="33" spans="1:42" x14ac:dyDescent="0.25">
      <c r="A33" s="116" t="s">
        <v>140</v>
      </c>
      <c r="B33" s="46" t="str">
        <f>'Project BAF Rate Gen Buffers VW'!B$17</f>
        <v>228b4088-8661-11eb-8dcd-0242ac130003</v>
      </c>
      <c r="C33" s="47">
        <f>'Project BAF Rate Gen Buffers VW'!K$17</f>
        <v>12345</v>
      </c>
      <c r="D33" s="43">
        <f>'Project BAF Rate Gen Buffers VW'!L$17</f>
        <v>253</v>
      </c>
      <c r="E33" s="21" t="str">
        <f>'Project BAF Rate Gen Buffers VW'!M$17</f>
        <v>13 - US GULF COAST - MIDDLE EAST, SOUTH ASIA, INDIAN OCEAN</v>
      </c>
      <c r="F33" s="49">
        <f>'Project BAF Rate Gen Buffers VW'!Q$17</f>
        <v>618.26666666666665</v>
      </c>
      <c r="G33" s="49">
        <f>'Project BAF Rate Gen Buffers VW'!D$17</f>
        <v>-0.15</v>
      </c>
      <c r="H33" s="49">
        <f>'Project BAF Rate Gen Buffers VW'!E$17</f>
        <v>0.15</v>
      </c>
      <c r="I33" s="49">
        <f>'Project BAF Rate Gen Buffers VW'!R$17</f>
        <v>525.52666666666664</v>
      </c>
      <c r="J33" s="49">
        <f>'Project BAF Rate Gen Buffers VW'!S$17</f>
        <v>711.00666666666655</v>
      </c>
      <c r="K33" s="49" t="str">
        <f>'Project BAF Rate Gen Prices VW'!C$35</f>
        <v>228b4088-8661-11eb-8dcd-0242ac130003</v>
      </c>
      <c r="L33" s="47">
        <f>'Project BAF Rate Gen Prices VW'!N$35</f>
        <v>12345</v>
      </c>
      <c r="M33" s="46">
        <f>'Project BAF Rate Gen Prices VW'!O$35</f>
        <v>72</v>
      </c>
      <c r="N33" s="46" t="str">
        <f>'BAF Location'!B$3</f>
        <v>Los Angeles</v>
      </c>
      <c r="O33" s="50">
        <f>'Project BAF Rate Gen Prices VW'!Q$35</f>
        <v>253</v>
      </c>
      <c r="P33" s="21" t="str">
        <f>'Project BAF Rate Gen Prices VW'!R$35</f>
        <v>(13 - US GULF COAST - MIDDLE EAST, SOUTH ASIA, INDIAN OCEAN)</v>
      </c>
      <c r="Q33" s="46">
        <f>'Project BAF Rate Gen Prices VW'!G$35</f>
        <v>3</v>
      </c>
      <c r="R33" s="51">
        <f>'Project BAF Rate Gen Prices VW'!V$35</f>
        <v>44228</v>
      </c>
      <c r="S33" s="51">
        <f>'Project BAF Rate Gen Prices VW'!W$35</f>
        <v>44317</v>
      </c>
      <c r="T33" s="51">
        <f>'Project BAF Rate Gen Prices VW'!X$35</f>
        <v>44347.999989999997</v>
      </c>
      <c r="U33" s="52">
        <f>'Project BAF Rate Gen Prices VW'!Y$35</f>
        <v>556.43999999999994</v>
      </c>
      <c r="V33" s="47">
        <f>project_baf_technical_factor!A$11</f>
        <v>12345</v>
      </c>
      <c r="W33" s="50">
        <f>project_baf_technical_factor!B$11</f>
        <v>253</v>
      </c>
      <c r="X33" s="74" t="str">
        <f>route!E$5</f>
        <v>13 - US GULF COAST - MIDDLE EAST, SOUTH ASIA, INDIAN OCEAN</v>
      </c>
      <c r="Y33" s="46">
        <f>project_baf_technical_factor!D$11</f>
        <v>21</v>
      </c>
      <c r="Z33" s="46" t="str">
        <f>baf_freight_payable_unit!$B$2</f>
        <v>TEU</v>
      </c>
      <c r="AA33" s="17" t="str">
        <f>project_baf_technical_factor!F$11</f>
        <v>C</v>
      </c>
      <c r="AB33" s="46" t="str">
        <f>cargo_type!C2</f>
        <v>Container</v>
      </c>
      <c r="AC33" s="54">
        <f>project_baf_technical_factor!H$11</f>
        <v>0.24199999999999999</v>
      </c>
      <c r="AD33" s="46" t="str">
        <f t="shared" ref="AD33:AL33" si="30">IF($AL$21="Update",AD$72,TRIM(" "))</f>
        <v/>
      </c>
      <c r="AE33" s="46" t="str">
        <f t="shared" si="30"/>
        <v/>
      </c>
      <c r="AF33" s="21" t="str">
        <f t="shared" si="30"/>
        <v/>
      </c>
      <c r="AG33" s="46" t="str">
        <f t="shared" si="30"/>
        <v/>
      </c>
      <c r="AH33" s="21" t="str">
        <f t="shared" si="30"/>
        <v/>
      </c>
      <c r="AI33" s="46" t="str">
        <f t="shared" si="30"/>
        <v/>
      </c>
      <c r="AJ33" s="21" t="str">
        <f t="shared" si="30"/>
        <v/>
      </c>
      <c r="AK33" s="8" t="str">
        <f t="shared" si="30"/>
        <v/>
      </c>
      <c r="AL33" s="46" t="str">
        <f t="shared" si="30"/>
        <v/>
      </c>
      <c r="AM33" s="124" t="str">
        <f t="shared" si="22"/>
        <v>Insert</v>
      </c>
      <c r="AN33" s="52">
        <f t="shared" si="19"/>
        <v>0</v>
      </c>
      <c r="AO33" s="127">
        <f t="shared" si="20"/>
        <v>0</v>
      </c>
      <c r="AP33" s="128" t="s">
        <v>78</v>
      </c>
    </row>
    <row r="34" spans="1:42" x14ac:dyDescent="0.25">
      <c r="A34" s="116" t="s">
        <v>140</v>
      </c>
      <c r="B34" s="46" t="str">
        <f>'Project BAF Rate Gen Buffers VW'!B$17</f>
        <v>228b4088-8661-11eb-8dcd-0242ac130003</v>
      </c>
      <c r="C34" s="47">
        <f>'Project BAF Rate Gen Buffers VW'!K$17</f>
        <v>12345</v>
      </c>
      <c r="D34" s="43">
        <f>'Project BAF Rate Gen Buffers VW'!L$17</f>
        <v>253</v>
      </c>
      <c r="E34" s="21" t="str">
        <f>E33</f>
        <v>13 - US GULF COAST - MIDDLE EAST, SOUTH ASIA, INDIAN OCEAN</v>
      </c>
      <c r="F34" s="49">
        <f>'Project BAF Rate Gen Buffers VW'!Q$17</f>
        <v>618.26666666666665</v>
      </c>
      <c r="G34" s="49">
        <f>'Project BAF Rate Gen Buffers VW'!D$17</f>
        <v>-0.15</v>
      </c>
      <c r="H34" s="49">
        <f>'Project BAF Rate Gen Buffers VW'!E$17</f>
        <v>0.15</v>
      </c>
      <c r="I34" s="49">
        <f>'Project BAF Rate Gen Buffers VW'!R$17</f>
        <v>525.52666666666664</v>
      </c>
      <c r="J34" s="49">
        <f>'Project BAF Rate Gen Buffers VW'!S$17</f>
        <v>711.00666666666655</v>
      </c>
      <c r="K34" s="49" t="str">
        <f>'Project BAF Rate Gen Prices VW'!C$35</f>
        <v>228b4088-8661-11eb-8dcd-0242ac130003</v>
      </c>
      <c r="L34" s="47">
        <f>'Project BAF Rate Gen Prices VW'!N$35</f>
        <v>12345</v>
      </c>
      <c r="M34" s="46">
        <f>'Project BAF Rate Gen Prices VW'!O$35</f>
        <v>72</v>
      </c>
      <c r="N34" s="46" t="str">
        <f>'BAF Location'!B$3</f>
        <v>Los Angeles</v>
      </c>
      <c r="O34" s="50">
        <f>'Project BAF Rate Gen Prices VW'!Q$35</f>
        <v>253</v>
      </c>
      <c r="P34" s="21" t="str">
        <f>'Project BAF Rate Gen Prices VW'!R$35</f>
        <v>(13 - US GULF COAST - MIDDLE EAST, SOUTH ASIA, INDIAN OCEAN)</v>
      </c>
      <c r="Q34" s="46">
        <f>'Project BAF Rate Gen Prices VW'!G$35</f>
        <v>3</v>
      </c>
      <c r="R34" s="51">
        <f>'Project BAF Rate Gen Prices VW'!V$35</f>
        <v>44228</v>
      </c>
      <c r="S34" s="51">
        <f>'Project BAF Rate Gen Prices VW'!W$35</f>
        <v>44317</v>
      </c>
      <c r="T34" s="51">
        <f>'Project BAF Rate Gen Prices VW'!X$35</f>
        <v>44347.999989999997</v>
      </c>
      <c r="U34" s="52">
        <f>'Project BAF Rate Gen Prices VW'!Y$35</f>
        <v>556.43999999999994</v>
      </c>
      <c r="V34" s="47">
        <f>project_baf_technical_factor!A$12</f>
        <v>12345</v>
      </c>
      <c r="W34" s="50">
        <f>project_baf_technical_factor!B$12</f>
        <v>253</v>
      </c>
      <c r="X34" s="74" t="str">
        <f>route!E$5</f>
        <v>13 - US GULF COAST - MIDDLE EAST, SOUTH ASIA, INDIAN OCEAN</v>
      </c>
      <c r="Y34" s="46">
        <f>project_baf_technical_factor!D$12</f>
        <v>22</v>
      </c>
      <c r="Z34" s="46" t="str">
        <f>baf_freight_payable_unit!$B$3</f>
        <v>FEU</v>
      </c>
      <c r="AA34" s="17" t="str">
        <f>project_baf_technical_factor!F$12</f>
        <v>C</v>
      </c>
      <c r="AB34" s="46" t="str">
        <f>cargo_type!C2</f>
        <v>Container</v>
      </c>
      <c r="AC34" s="54">
        <f>project_baf_technical_factor!H$12</f>
        <v>0.47199999999999998</v>
      </c>
      <c r="AD34" s="46" t="str">
        <f t="shared" ref="AD34:AL34" si="31">IF($AL$21="Update",AD$73,TRIM(" "))</f>
        <v/>
      </c>
      <c r="AE34" s="46" t="str">
        <f t="shared" si="31"/>
        <v/>
      </c>
      <c r="AF34" s="21" t="str">
        <f t="shared" si="31"/>
        <v/>
      </c>
      <c r="AG34" s="46" t="str">
        <f t="shared" si="31"/>
        <v/>
      </c>
      <c r="AH34" s="21" t="str">
        <f t="shared" si="31"/>
        <v/>
      </c>
      <c r="AI34" s="46" t="str">
        <f t="shared" si="31"/>
        <v/>
      </c>
      <c r="AJ34" s="21" t="str">
        <f t="shared" si="31"/>
        <v/>
      </c>
      <c r="AK34" s="8" t="str">
        <f t="shared" si="31"/>
        <v/>
      </c>
      <c r="AL34" s="46" t="str">
        <f t="shared" si="31"/>
        <v/>
      </c>
      <c r="AM34" s="124" t="str">
        <f t="shared" si="22"/>
        <v>Insert</v>
      </c>
      <c r="AN34" s="52">
        <f t="shared" si="19"/>
        <v>0</v>
      </c>
      <c r="AO34" s="129">
        <f t="shared" si="20"/>
        <v>0</v>
      </c>
      <c r="AP34" s="130" t="s">
        <v>78</v>
      </c>
    </row>
    <row r="35" spans="1:42" ht="15.75" thickBot="1" x14ac:dyDescent="0.3">
      <c r="A35" s="116" t="s">
        <v>140</v>
      </c>
      <c r="B35" s="46" t="str">
        <f>'Project BAF Rate Gen Buffers VW'!B$17</f>
        <v>228b4088-8661-11eb-8dcd-0242ac130003</v>
      </c>
      <c r="C35" s="47">
        <f>'Project BAF Rate Gen Buffers VW'!K$17</f>
        <v>12345</v>
      </c>
      <c r="D35" s="43">
        <f>'Project BAF Rate Gen Buffers VW'!L$17</f>
        <v>253</v>
      </c>
      <c r="E35" s="21" t="str">
        <f>E33</f>
        <v>13 - US GULF COAST - MIDDLE EAST, SOUTH ASIA, INDIAN OCEAN</v>
      </c>
      <c r="F35" s="49">
        <f>'Project BAF Rate Gen Buffers VW'!Q$17</f>
        <v>618.26666666666665</v>
      </c>
      <c r="G35" s="49">
        <f>'Project BAF Rate Gen Buffers VW'!D$17</f>
        <v>-0.15</v>
      </c>
      <c r="H35" s="49">
        <f>'Project BAF Rate Gen Buffers VW'!E$17</f>
        <v>0.15</v>
      </c>
      <c r="I35" s="49">
        <f>'Project BAF Rate Gen Buffers VW'!R$17</f>
        <v>525.52666666666664</v>
      </c>
      <c r="J35" s="49">
        <f>'Project BAF Rate Gen Buffers VW'!S$17</f>
        <v>711.00666666666655</v>
      </c>
      <c r="K35" s="49" t="str">
        <f>'Project BAF Rate Gen Prices VW'!C$35</f>
        <v>228b4088-8661-11eb-8dcd-0242ac130003</v>
      </c>
      <c r="L35" s="47">
        <f>'Project BAF Rate Gen Prices VW'!N$35</f>
        <v>12345</v>
      </c>
      <c r="M35" s="46">
        <f>'Project BAF Rate Gen Prices VW'!O$35</f>
        <v>72</v>
      </c>
      <c r="N35" s="46" t="str">
        <f>'BAF Location'!B$3</f>
        <v>Los Angeles</v>
      </c>
      <c r="O35" s="50">
        <f>'Project BAF Rate Gen Prices VW'!Q$35</f>
        <v>253</v>
      </c>
      <c r="P35" s="21" t="str">
        <f>'Project BAF Rate Gen Prices VW'!R$35</f>
        <v>(13 - US GULF COAST - MIDDLE EAST, SOUTH ASIA, INDIAN OCEAN)</v>
      </c>
      <c r="Q35" s="46">
        <f>'Project BAF Rate Gen Prices VW'!G$35</f>
        <v>3</v>
      </c>
      <c r="R35" s="51">
        <f>'Project BAF Rate Gen Prices VW'!V$35</f>
        <v>44228</v>
      </c>
      <c r="S35" s="51">
        <f>'Project BAF Rate Gen Prices VW'!W$35</f>
        <v>44317</v>
      </c>
      <c r="T35" s="51">
        <f>'Project BAF Rate Gen Prices VW'!X$35</f>
        <v>44347.999989999997</v>
      </c>
      <c r="U35" s="52">
        <f>'Project BAF Rate Gen Prices VW'!Y$35</f>
        <v>556.43999999999994</v>
      </c>
      <c r="V35" s="47">
        <f>project_baf_technical_factor!A$13</f>
        <v>12345</v>
      </c>
      <c r="W35" s="50">
        <f>project_baf_technical_factor!B$13</f>
        <v>253</v>
      </c>
      <c r="X35" s="74" t="str">
        <f>route!E$5</f>
        <v>13 - US GULF COAST - MIDDLE EAST, SOUTH ASIA, INDIAN OCEAN</v>
      </c>
      <c r="Y35" s="46">
        <f>project_baf_technical_factor!D$13</f>
        <v>23</v>
      </c>
      <c r="Z35" s="46" t="str">
        <f>baf_freight_payable_unit!$B$4</f>
        <v>MTON</v>
      </c>
      <c r="AA35" s="17" t="str">
        <f>project_baf_technical_factor!F$13</f>
        <v>B</v>
      </c>
      <c r="AB35" s="46" t="str">
        <f>cargo_type!C3</f>
        <v>Breakbulk</v>
      </c>
      <c r="AC35" s="54">
        <f>project_baf_technical_factor!H$13</f>
        <v>1.4999999999999999E-2</v>
      </c>
      <c r="AD35" s="46" t="str">
        <f t="shared" ref="AD35:AL35" si="32">IF($AL$21="Update",AD$74,TRIM(" "))</f>
        <v/>
      </c>
      <c r="AE35" s="46" t="str">
        <f t="shared" si="32"/>
        <v/>
      </c>
      <c r="AF35" s="21" t="str">
        <f t="shared" si="32"/>
        <v/>
      </c>
      <c r="AG35" s="46" t="str">
        <f t="shared" si="32"/>
        <v/>
      </c>
      <c r="AH35" s="21" t="str">
        <f t="shared" si="32"/>
        <v/>
      </c>
      <c r="AI35" s="46" t="str">
        <f t="shared" si="32"/>
        <v/>
      </c>
      <c r="AJ35" s="21" t="str">
        <f t="shared" si="32"/>
        <v/>
      </c>
      <c r="AK35" s="8" t="str">
        <f t="shared" si="32"/>
        <v/>
      </c>
      <c r="AL35" s="46" t="str">
        <f t="shared" si="32"/>
        <v/>
      </c>
      <c r="AM35" s="124" t="str">
        <f t="shared" si="22"/>
        <v>Insert</v>
      </c>
      <c r="AN35" s="52">
        <f t="shared" si="19"/>
        <v>0</v>
      </c>
      <c r="AO35" s="131">
        <f t="shared" si="20"/>
        <v>0</v>
      </c>
      <c r="AP35" s="132" t="s">
        <v>78</v>
      </c>
    </row>
    <row r="36" spans="1:42" x14ac:dyDescent="0.25"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 spans="1:42" x14ac:dyDescent="0.25">
      <c r="B37" s="14" t="str">
        <f>B18</f>
        <v>Yes</v>
      </c>
      <c r="D37" s="4"/>
      <c r="E37" s="4"/>
      <c r="F37" s="14" t="str">
        <f t="shared" ref="F37:AP37" si="33">F18</f>
        <v>Yes</v>
      </c>
      <c r="G37" s="14" t="str">
        <f t="shared" si="33"/>
        <v>Yes</v>
      </c>
      <c r="H37" s="14" t="str">
        <f t="shared" si="33"/>
        <v>Yes</v>
      </c>
      <c r="I37" s="14" t="str">
        <f t="shared" si="33"/>
        <v>Yes</v>
      </c>
      <c r="J37" s="14" t="str">
        <f t="shared" si="33"/>
        <v>Yes</v>
      </c>
      <c r="K37" s="2" t="str">
        <f>K18</f>
        <v>Column in view</v>
      </c>
      <c r="L37" s="4"/>
      <c r="M37" s="14" t="s">
        <v>9</v>
      </c>
      <c r="N37" s="14" t="s">
        <v>9</v>
      </c>
      <c r="O37" s="4"/>
      <c r="P37" s="4"/>
      <c r="Q37" s="14" t="str">
        <f t="shared" si="33"/>
        <v>Yes</v>
      </c>
      <c r="R37" s="14" t="str">
        <f t="shared" si="33"/>
        <v>Yes</v>
      </c>
      <c r="S37" s="14" t="str">
        <f t="shared" si="33"/>
        <v>Yes</v>
      </c>
      <c r="T37" s="14" t="str">
        <f t="shared" si="33"/>
        <v>Yes</v>
      </c>
      <c r="U37" s="14" t="str">
        <f t="shared" si="33"/>
        <v>Yes</v>
      </c>
      <c r="V37" s="14" t="str">
        <f t="shared" si="33"/>
        <v>Yes</v>
      </c>
      <c r="W37" s="14" t="str">
        <f t="shared" si="33"/>
        <v>Yes</v>
      </c>
      <c r="X37" s="14" t="str">
        <f t="shared" si="33"/>
        <v>Yes</v>
      </c>
      <c r="Y37" s="14" t="str">
        <f t="shared" si="33"/>
        <v>Yes</v>
      </c>
      <c r="Z37" s="14" t="str">
        <f t="shared" si="33"/>
        <v>Yes</v>
      </c>
      <c r="AA37" s="14" t="str">
        <f t="shared" si="33"/>
        <v>Yes</v>
      </c>
      <c r="AB37" s="14" t="str">
        <f t="shared" si="33"/>
        <v>Yes</v>
      </c>
      <c r="AC37" s="14" t="str">
        <f t="shared" si="33"/>
        <v>Yes</v>
      </c>
      <c r="AD37" s="67"/>
      <c r="AE37" s="67"/>
      <c r="AF37" s="67"/>
      <c r="AG37" s="67"/>
      <c r="AH37" s="67"/>
      <c r="AI37" s="67"/>
      <c r="AJ37" s="67"/>
      <c r="AK37" s="67"/>
      <c r="AL37" s="14" t="str">
        <f t="shared" si="33"/>
        <v>Yes</v>
      </c>
      <c r="AM37" s="14" t="str">
        <f t="shared" si="33"/>
        <v>Yes</v>
      </c>
      <c r="AN37" s="14"/>
      <c r="AO37" s="14" t="str">
        <f t="shared" si="33"/>
        <v>Yes</v>
      </c>
      <c r="AP37" s="14" t="str">
        <f t="shared" si="33"/>
        <v>Yes</v>
      </c>
    </row>
    <row r="38" spans="1:42" x14ac:dyDescent="0.25">
      <c r="C38" s="4"/>
      <c r="D38" s="4"/>
      <c r="E38" s="4"/>
      <c r="F38" s="4"/>
      <c r="G38" s="4"/>
      <c r="H38" s="4"/>
      <c r="I38" s="4"/>
      <c r="J38" s="4"/>
      <c r="K38" s="63" t="s">
        <v>80</v>
      </c>
      <c r="L38" s="4"/>
      <c r="M38" s="4"/>
      <c r="N38" s="4"/>
      <c r="O38" s="4"/>
      <c r="P38" s="4"/>
      <c r="S38" s="64" t="s">
        <v>9</v>
      </c>
      <c r="T38" s="64" t="s">
        <v>9</v>
      </c>
      <c r="V38" s="64" t="s">
        <v>9</v>
      </c>
      <c r="W38" s="64" t="s">
        <v>9</v>
      </c>
      <c r="X38" s="36"/>
      <c r="Y38" s="64" t="s">
        <v>9</v>
      </c>
      <c r="Z38" s="36"/>
      <c r="AA38" s="64" t="s">
        <v>9</v>
      </c>
      <c r="AO38" s="64" t="s">
        <v>9</v>
      </c>
      <c r="AP38" s="64" t="s">
        <v>9</v>
      </c>
    </row>
    <row r="39" spans="1:42" x14ac:dyDescent="0.25">
      <c r="C39" s="4"/>
      <c r="D39" s="4"/>
      <c r="E39" s="4"/>
      <c r="F39" s="4"/>
      <c r="G39" s="4"/>
      <c r="H39" s="4"/>
      <c r="I39" s="4"/>
      <c r="J39" s="4"/>
      <c r="K39" s="65" t="s">
        <v>81</v>
      </c>
      <c r="L39" s="4"/>
      <c r="M39" s="4"/>
      <c r="N39" s="4"/>
      <c r="O39" s="4"/>
      <c r="P39" s="4"/>
      <c r="S39" s="36"/>
      <c r="T39" s="36"/>
      <c r="U39" s="4"/>
      <c r="V39" s="36"/>
      <c r="W39" s="36"/>
      <c r="X39" s="36"/>
      <c r="Y39" s="36"/>
      <c r="Z39" s="36"/>
      <c r="AA39" s="36"/>
      <c r="AO39" s="66" t="s">
        <v>9</v>
      </c>
      <c r="AP39" s="66" t="s">
        <v>9</v>
      </c>
    </row>
    <row r="40" spans="1:42" x14ac:dyDescent="0.25">
      <c r="C40" s="4"/>
      <c r="D40" s="4"/>
      <c r="E40" s="4"/>
      <c r="F40" s="4"/>
      <c r="G40" s="4"/>
      <c r="H40" s="4"/>
      <c r="I40" s="4"/>
      <c r="J40" s="4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</row>
    <row r="41" spans="1:42" x14ac:dyDescent="0.25">
      <c r="B41" s="43" t="str">
        <f>B1</f>
        <v>prjc_uuid</v>
      </c>
      <c r="C41" s="43" t="str">
        <f t="shared" ref="C41:AP41" si="34">C1</f>
        <v>prjc_id</v>
      </c>
      <c r="D41" s="43" t="str">
        <f t="shared" si="34"/>
        <v>rte_id</v>
      </c>
      <c r="E41" s="21" t="str">
        <f t="shared" si="34"/>
        <v>Derived Route Name</v>
      </c>
      <c r="F41" s="43" t="str">
        <f t="shared" si="34"/>
        <v>rte_bsln_usd</v>
      </c>
      <c r="G41" s="43" t="str">
        <f t="shared" si="34"/>
        <v>prjc_low_buffer_lmt_nb</v>
      </c>
      <c r="H41" s="43" t="str">
        <f t="shared" si="34"/>
        <v>prjc_high_buffer_lmt_nb</v>
      </c>
      <c r="I41" s="43" t="str">
        <f t="shared" si="34"/>
        <v>rte_buffer_low_usd</v>
      </c>
      <c r="J41" s="43" t="str">
        <f t="shared" si="34"/>
        <v>rte_buffer_high_usd</v>
      </c>
      <c r="K41" s="44" t="str">
        <f t="shared" si="34"/>
        <v>prjc_uuid</v>
      </c>
      <c r="L41" s="44" t="str">
        <f t="shared" si="34"/>
        <v>prjc_id</v>
      </c>
      <c r="M41" s="44" t="str">
        <f t="shared" si="34"/>
        <v>baf_loc_id</v>
      </c>
      <c r="N41" s="18" t="str">
        <f t="shared" si="34"/>
        <v>baf_loc_cd</v>
      </c>
      <c r="O41" s="44" t="str">
        <f t="shared" si="34"/>
        <v>rte_id</v>
      </c>
      <c r="P41" s="21" t="str">
        <f t="shared" si="34"/>
        <v>(Derived Route Name)</v>
      </c>
      <c r="Q41" s="44" t="str">
        <f t="shared" si="34"/>
        <v>prjc_prc_mth_ofst</v>
      </c>
      <c r="R41" s="44" t="str">
        <f t="shared" si="34"/>
        <v>prc_mth_dt</v>
      </c>
      <c r="S41" s="44" t="str">
        <f t="shared" si="34"/>
        <v>rt_eff_dt</v>
      </c>
      <c r="T41" s="44" t="str">
        <f t="shared" si="34"/>
        <v>rt_exprn_dt</v>
      </c>
      <c r="U41" s="44" t="str">
        <f t="shared" si="34"/>
        <v>mth_rte_prc_nb</v>
      </c>
      <c r="V41" s="26" t="str">
        <f t="shared" si="34"/>
        <v>prjc_id</v>
      </c>
      <c r="W41" s="26" t="str">
        <f t="shared" si="34"/>
        <v>rte_id</v>
      </c>
      <c r="X41" s="26" t="str">
        <f t="shared" si="34"/>
        <v>Derived Route Name</v>
      </c>
      <c r="Y41" s="26" t="str">
        <f t="shared" si="34"/>
        <v>baf_frght_payable_unt_id</v>
      </c>
      <c r="Z41" s="145" t="str">
        <f t="shared" si="34"/>
        <v>baf_frght_payable_unt_cd</v>
      </c>
      <c r="AA41" s="26" t="str">
        <f t="shared" si="34"/>
        <v>crgo_typ_cd</v>
      </c>
      <c r="AB41" s="23" t="str">
        <f t="shared" si="34"/>
        <v>crgo_typ_nm</v>
      </c>
      <c r="AC41" s="45" t="str">
        <f t="shared" si="34"/>
        <v>techl_fctr_nb</v>
      </c>
      <c r="AD41" s="68" t="str">
        <f>AD60</f>
        <v>prjc_id</v>
      </c>
      <c r="AE41" s="68" t="str">
        <f t="shared" ref="AE41:AL41" si="35">AE60</f>
        <v>rte_id</v>
      </c>
      <c r="AF41" s="68" t="str">
        <f t="shared" si="35"/>
        <v>(What Route?)</v>
      </c>
      <c r="AG41" s="68" t="str">
        <f t="shared" si="35"/>
        <v>baf_frght_payable_unt_id</v>
      </c>
      <c r="AH41" s="68" t="str">
        <f t="shared" si="35"/>
        <v>(What FPU?)</v>
      </c>
      <c r="AI41" s="68" t="str">
        <f t="shared" si="35"/>
        <v>crgo_typ_cd</v>
      </c>
      <c r="AJ41" s="68" t="str">
        <f t="shared" si="35"/>
        <v>(What Crgo Type?)</v>
      </c>
      <c r="AK41" s="68" t="str">
        <f t="shared" si="35"/>
        <v>eff_dt</v>
      </c>
      <c r="AL41" s="68" t="str">
        <f t="shared" si="35"/>
        <v>prjc_baf_rt_uuid</v>
      </c>
      <c r="AM41" s="48" t="str">
        <f t="shared" si="34"/>
        <v>iu_action</v>
      </c>
      <c r="AN41" s="48" t="str">
        <f t="shared" si="34"/>
        <v>outside_buffer_amount</v>
      </c>
      <c r="AO41" s="48" t="str">
        <f t="shared" si="34"/>
        <v>baf_rate_usd_amount</v>
      </c>
      <c r="AP41" s="48" t="str">
        <f t="shared" si="34"/>
        <v>inactive_date</v>
      </c>
    </row>
    <row r="42" spans="1:42" x14ac:dyDescent="0.25">
      <c r="A42" s="116" t="s">
        <v>139</v>
      </c>
      <c r="B42" s="46" t="str">
        <f>'Project BAF Rate Gen Buffers VW'!B$14</f>
        <v>228b4088-8661-11eb-8dcd-0242ac130003</v>
      </c>
      <c r="C42" s="47">
        <f>'Project BAF Rate Gen Buffers VW'!K$14</f>
        <v>12345</v>
      </c>
      <c r="D42" s="43">
        <f>'Project BAF Rate Gen Buffers VW'!L$14</f>
        <v>250</v>
      </c>
      <c r="E42" s="21" t="str">
        <f>'Project BAF Rate Gen Buffers VW'!M$14</f>
        <v>10 - US GULF COAST - SCANDINAVIA, BALTIC</v>
      </c>
      <c r="F42" s="49">
        <f>'Project BAF Rate Gen Buffers VW'!Q$14</f>
        <v>740</v>
      </c>
      <c r="G42" s="49">
        <f>'Project BAF Rate Gen Buffers VW'!D$14</f>
        <v>-0.15</v>
      </c>
      <c r="H42" s="49">
        <f>'Project BAF Rate Gen Buffers VW'!E$14</f>
        <v>0.15</v>
      </c>
      <c r="I42" s="49">
        <f>'Project BAF Rate Gen Buffers VW'!R$14</f>
        <v>629</v>
      </c>
      <c r="J42" s="49">
        <f>'Project BAF Rate Gen Buffers VW'!S$14</f>
        <v>851</v>
      </c>
      <c r="K42" s="49" t="str">
        <f>'Project BAF Rate Gen Prices VW'!C$49</f>
        <v>228b4088-8661-11eb-8dcd-0242ac130003</v>
      </c>
      <c r="L42" s="47">
        <f>'Project BAF Rate Gen Prices VW'!N$49</f>
        <v>12345</v>
      </c>
      <c r="M42" s="46">
        <f>'Project BAF Rate Gen Prices VW'!O$49</f>
        <v>71</v>
      </c>
      <c r="N42" s="46" t="str">
        <f>'BAF Location'!B$2</f>
        <v>Houston</v>
      </c>
      <c r="O42" s="50">
        <f>'Project BAF Rate Gen Prices VW'!Q$49</f>
        <v>250</v>
      </c>
      <c r="P42" s="21" t="str">
        <f>'Project BAF Rate Gen Prices VW'!R$49</f>
        <v>(10 - US GULF COAST - SCANDINAVIA, BALTIC)</v>
      </c>
      <c r="Q42" s="46">
        <f>'Project BAF Rate Gen Prices VW'!G$49</f>
        <v>3</v>
      </c>
      <c r="R42" s="51">
        <f>'Project BAF Rate Gen Prices VW'!V$49</f>
        <v>44256</v>
      </c>
      <c r="S42" s="51">
        <f>'Project BAF Rate Gen Prices VW'!W$49</f>
        <v>44348</v>
      </c>
      <c r="T42" s="51">
        <f>'Project BAF Rate Gen Prices VW'!X$49</f>
        <v>44377.999989999997</v>
      </c>
      <c r="U42" s="52">
        <f>'Project BAF Rate Gen Prices VW'!Y$49</f>
        <v>569.79999999999995</v>
      </c>
      <c r="V42" s="47">
        <f>project_baf_technical_factor!A$2</f>
        <v>12345</v>
      </c>
      <c r="W42" s="50">
        <f>project_baf_technical_factor!B$2</f>
        <v>250</v>
      </c>
      <c r="X42" s="74" t="str">
        <f>route!E$2</f>
        <v>10 - US GULF COAST - SCANDINAVIA, BALTIC</v>
      </c>
      <c r="Y42" s="46">
        <f>project_baf_technical_factor!D$2</f>
        <v>21</v>
      </c>
      <c r="Z42" s="46" t="str">
        <f>baf_freight_payable_unit!$B$2</f>
        <v>TEU</v>
      </c>
      <c r="AA42" s="46" t="str">
        <f>project_baf_technical_factor!F$2</f>
        <v>C</v>
      </c>
      <c r="AB42" s="46" t="str">
        <f>cargo_type!C2</f>
        <v>Container</v>
      </c>
      <c r="AC42" s="53">
        <f>project_baf_technical_factor!H$2</f>
        <v>0.24</v>
      </c>
      <c r="AD42" s="46" t="str">
        <f t="shared" ref="AD42:AL42" si="36">IF($AL$21="Update",AD$61,TRIM(" "))</f>
        <v/>
      </c>
      <c r="AE42" s="46" t="str">
        <f t="shared" si="36"/>
        <v/>
      </c>
      <c r="AF42" s="21" t="str">
        <f t="shared" si="36"/>
        <v/>
      </c>
      <c r="AG42" s="46" t="str">
        <f t="shared" si="36"/>
        <v/>
      </c>
      <c r="AH42" s="21" t="str">
        <f t="shared" si="36"/>
        <v/>
      </c>
      <c r="AI42" s="46" t="str">
        <f t="shared" si="36"/>
        <v/>
      </c>
      <c r="AJ42" s="21" t="str">
        <f t="shared" si="36"/>
        <v/>
      </c>
      <c r="AK42" s="8" t="str">
        <f t="shared" si="36"/>
        <v/>
      </c>
      <c r="AL42" s="46" t="str">
        <f t="shared" si="36"/>
        <v/>
      </c>
      <c r="AM42" s="46" t="str">
        <f>IF(LEN(AL42)=0,"Insert","Update")</f>
        <v>Insert</v>
      </c>
      <c r="AN42" s="52">
        <f t="shared" ref="AN42:AN53" si="37">IF(U42&gt;J42,U42-J42,IF(U42&lt;I42,U42-I42,0))</f>
        <v>-59.200000000000045</v>
      </c>
      <c r="AO42" s="52">
        <f t="shared" ref="AO42:AO53" si="38">IF(U42&gt;J42,U42-J42,IF(U42&lt;I42,U42-I42,0))*AC42</f>
        <v>-14.208000000000011</v>
      </c>
      <c r="AP42" s="46" t="s">
        <v>78</v>
      </c>
    </row>
    <row r="43" spans="1:42" x14ac:dyDescent="0.25">
      <c r="A43" s="116" t="s">
        <v>139</v>
      </c>
      <c r="B43" s="46" t="str">
        <f>'Project BAF Rate Gen Buffers VW'!B$14</f>
        <v>228b4088-8661-11eb-8dcd-0242ac130003</v>
      </c>
      <c r="C43" s="47">
        <f>'Project BAF Rate Gen Buffers VW'!K$14</f>
        <v>12345</v>
      </c>
      <c r="D43" s="43">
        <f>'Project BAF Rate Gen Buffers VW'!L$14</f>
        <v>250</v>
      </c>
      <c r="E43" s="21" t="str">
        <f>E42</f>
        <v>10 - US GULF COAST - SCANDINAVIA, BALTIC</v>
      </c>
      <c r="F43" s="49">
        <f>'Project BAF Rate Gen Buffers VW'!Q$14</f>
        <v>740</v>
      </c>
      <c r="G43" s="49">
        <f>'Project BAF Rate Gen Buffers VW'!D$14</f>
        <v>-0.15</v>
      </c>
      <c r="H43" s="49">
        <f>'Project BAF Rate Gen Buffers VW'!E$14</f>
        <v>0.15</v>
      </c>
      <c r="I43" s="49">
        <f>'Project BAF Rate Gen Buffers VW'!R$14</f>
        <v>629</v>
      </c>
      <c r="J43" s="49">
        <f>'Project BAF Rate Gen Buffers VW'!S$14</f>
        <v>851</v>
      </c>
      <c r="K43" s="49" t="str">
        <f>'Project BAF Rate Gen Prices VW'!C$49</f>
        <v>228b4088-8661-11eb-8dcd-0242ac130003</v>
      </c>
      <c r="L43" s="47">
        <f>'Project BAF Rate Gen Prices VW'!N$49</f>
        <v>12345</v>
      </c>
      <c r="M43" s="46">
        <f>'Project BAF Rate Gen Prices VW'!O$49</f>
        <v>71</v>
      </c>
      <c r="N43" s="46" t="str">
        <f>'BAF Location'!B$2</f>
        <v>Houston</v>
      </c>
      <c r="O43" s="50">
        <f>'Project BAF Rate Gen Prices VW'!Q$49</f>
        <v>250</v>
      </c>
      <c r="P43" s="21" t="str">
        <f>'Project BAF Rate Gen Prices VW'!R$49</f>
        <v>(10 - US GULF COAST - SCANDINAVIA, BALTIC)</v>
      </c>
      <c r="Q43" s="46">
        <f>'Project BAF Rate Gen Prices VW'!G$49</f>
        <v>3</v>
      </c>
      <c r="R43" s="51">
        <f>'Project BAF Rate Gen Prices VW'!V$49</f>
        <v>44256</v>
      </c>
      <c r="S43" s="51">
        <f>'Project BAF Rate Gen Prices VW'!W$49</f>
        <v>44348</v>
      </c>
      <c r="T43" s="51">
        <f>'Project BAF Rate Gen Prices VW'!X$49</f>
        <v>44377.999989999997</v>
      </c>
      <c r="U43" s="52">
        <f>'Project BAF Rate Gen Prices VW'!Y$49</f>
        <v>569.79999999999995</v>
      </c>
      <c r="V43" s="47">
        <f>project_baf_technical_factor!A$3</f>
        <v>12345</v>
      </c>
      <c r="W43" s="50">
        <f>project_baf_technical_factor!B$3</f>
        <v>250</v>
      </c>
      <c r="X43" s="74" t="str">
        <f>route!E$2</f>
        <v>10 - US GULF COAST - SCANDINAVIA, BALTIC</v>
      </c>
      <c r="Y43" s="46">
        <f>project_baf_technical_factor!D$3</f>
        <v>22</v>
      </c>
      <c r="Z43" s="46" t="str">
        <f>baf_freight_payable_unit!$B$3</f>
        <v>FEU</v>
      </c>
      <c r="AA43" s="46" t="str">
        <f>project_baf_technical_factor!F$3</f>
        <v>C</v>
      </c>
      <c r="AB43" s="46" t="str">
        <f>cargo_type!C2</f>
        <v>Container</v>
      </c>
      <c r="AC43" s="53">
        <f>project_baf_technical_factor!H$3</f>
        <v>0.47</v>
      </c>
      <c r="AD43" s="46" t="str">
        <f t="shared" ref="AD43:AL43" si="39">IF($AL$21="Update",AD$62,TRIM(" "))</f>
        <v/>
      </c>
      <c r="AE43" s="46" t="str">
        <f t="shared" si="39"/>
        <v/>
      </c>
      <c r="AF43" s="21" t="str">
        <f t="shared" si="39"/>
        <v/>
      </c>
      <c r="AG43" s="46" t="str">
        <f t="shared" si="39"/>
        <v/>
      </c>
      <c r="AH43" s="21" t="str">
        <f t="shared" si="39"/>
        <v/>
      </c>
      <c r="AI43" s="46" t="str">
        <f t="shared" si="39"/>
        <v/>
      </c>
      <c r="AJ43" s="21" t="str">
        <f t="shared" si="39"/>
        <v/>
      </c>
      <c r="AK43" s="8" t="str">
        <f t="shared" si="39"/>
        <v/>
      </c>
      <c r="AL43" s="46" t="str">
        <f t="shared" si="39"/>
        <v/>
      </c>
      <c r="AM43" s="46" t="str">
        <f t="shared" ref="AM43:AM53" si="40">IF(LEN(AL43)=0,"Insert","Update")</f>
        <v>Insert</v>
      </c>
      <c r="AN43" s="52">
        <f t="shared" si="37"/>
        <v>-59.200000000000045</v>
      </c>
      <c r="AO43" s="52">
        <f t="shared" si="38"/>
        <v>-27.824000000000019</v>
      </c>
      <c r="AP43" s="46" t="s">
        <v>78</v>
      </c>
    </row>
    <row r="44" spans="1:42" x14ac:dyDescent="0.25">
      <c r="A44" s="116" t="s">
        <v>139</v>
      </c>
      <c r="B44" s="46" t="str">
        <f>'Project BAF Rate Gen Buffers VW'!B$14</f>
        <v>228b4088-8661-11eb-8dcd-0242ac130003</v>
      </c>
      <c r="C44" s="47">
        <f>'Project BAF Rate Gen Buffers VW'!K$14</f>
        <v>12345</v>
      </c>
      <c r="D44" s="43">
        <f>'Project BAF Rate Gen Buffers VW'!L$14</f>
        <v>250</v>
      </c>
      <c r="E44" s="21" t="str">
        <f>E42</f>
        <v>10 - US GULF COAST - SCANDINAVIA, BALTIC</v>
      </c>
      <c r="F44" s="49">
        <f>'Project BAF Rate Gen Buffers VW'!Q$14</f>
        <v>740</v>
      </c>
      <c r="G44" s="49">
        <f>'Project BAF Rate Gen Buffers VW'!D$14</f>
        <v>-0.15</v>
      </c>
      <c r="H44" s="49">
        <f>'Project BAF Rate Gen Buffers VW'!E$14</f>
        <v>0.15</v>
      </c>
      <c r="I44" s="49">
        <f>'Project BAF Rate Gen Buffers VW'!R$14</f>
        <v>629</v>
      </c>
      <c r="J44" s="49">
        <f>'Project BAF Rate Gen Buffers VW'!S$14</f>
        <v>851</v>
      </c>
      <c r="K44" s="49" t="str">
        <f>'Project BAF Rate Gen Prices VW'!C$49</f>
        <v>228b4088-8661-11eb-8dcd-0242ac130003</v>
      </c>
      <c r="L44" s="47">
        <f>'Project BAF Rate Gen Prices VW'!N$49</f>
        <v>12345</v>
      </c>
      <c r="M44" s="46">
        <f>'Project BAF Rate Gen Prices VW'!O$49</f>
        <v>71</v>
      </c>
      <c r="N44" s="46" t="str">
        <f>'BAF Location'!B$2</f>
        <v>Houston</v>
      </c>
      <c r="O44" s="50">
        <f>'Project BAF Rate Gen Prices VW'!Q$49</f>
        <v>250</v>
      </c>
      <c r="P44" s="21" t="str">
        <f>'Project BAF Rate Gen Prices VW'!R$49</f>
        <v>(10 - US GULF COAST - SCANDINAVIA, BALTIC)</v>
      </c>
      <c r="Q44" s="46">
        <f>'Project BAF Rate Gen Prices VW'!G$49</f>
        <v>3</v>
      </c>
      <c r="R44" s="51">
        <f>'Project BAF Rate Gen Prices VW'!V$49</f>
        <v>44256</v>
      </c>
      <c r="S44" s="51">
        <f>'Project BAF Rate Gen Prices VW'!W$49</f>
        <v>44348</v>
      </c>
      <c r="T44" s="51">
        <f>'Project BAF Rate Gen Prices VW'!X$49</f>
        <v>44377.999989999997</v>
      </c>
      <c r="U44" s="52">
        <f>'Project BAF Rate Gen Prices VW'!Y$49</f>
        <v>569.79999999999995</v>
      </c>
      <c r="V44" s="47">
        <f>project_baf_technical_factor!A$4</f>
        <v>12345</v>
      </c>
      <c r="W44" s="50">
        <f>project_baf_technical_factor!B$4</f>
        <v>250</v>
      </c>
      <c r="X44" s="74" t="str">
        <f>route!E$2</f>
        <v>10 - US GULF COAST - SCANDINAVIA, BALTIC</v>
      </c>
      <c r="Y44" s="46">
        <f>project_baf_technical_factor!D$4</f>
        <v>23</v>
      </c>
      <c r="Z44" s="46" t="str">
        <f>baf_freight_payable_unit!$B$4</f>
        <v>MTON</v>
      </c>
      <c r="AA44" s="46" t="str">
        <f>project_baf_technical_factor!F$4</f>
        <v>B</v>
      </c>
      <c r="AB44" s="46" t="str">
        <f>cargo_type!C3</f>
        <v>Breakbulk</v>
      </c>
      <c r="AC44" s="53">
        <f>project_baf_technical_factor!H$4</f>
        <v>1.3000000000000001E-2</v>
      </c>
      <c r="AD44" s="46" t="str">
        <f t="shared" ref="AD44:AL44" si="41">IF($AL$21="Update",AD$63,TRIM(" "))</f>
        <v/>
      </c>
      <c r="AE44" s="46" t="str">
        <f t="shared" si="41"/>
        <v/>
      </c>
      <c r="AF44" s="21" t="str">
        <f t="shared" si="41"/>
        <v/>
      </c>
      <c r="AG44" s="46" t="str">
        <f t="shared" si="41"/>
        <v/>
      </c>
      <c r="AH44" s="21" t="str">
        <f t="shared" si="41"/>
        <v/>
      </c>
      <c r="AI44" s="46" t="str">
        <f t="shared" si="41"/>
        <v/>
      </c>
      <c r="AJ44" s="21" t="str">
        <f t="shared" si="41"/>
        <v/>
      </c>
      <c r="AK44" s="8" t="str">
        <f t="shared" si="41"/>
        <v/>
      </c>
      <c r="AL44" s="46" t="str">
        <f t="shared" si="41"/>
        <v/>
      </c>
      <c r="AM44" s="46" t="str">
        <f t="shared" si="40"/>
        <v>Insert</v>
      </c>
      <c r="AN44" s="52">
        <f t="shared" si="37"/>
        <v>-59.200000000000045</v>
      </c>
      <c r="AO44" s="52">
        <f t="shared" si="38"/>
        <v>-0.76960000000000062</v>
      </c>
      <c r="AP44" s="46" t="s">
        <v>78</v>
      </c>
    </row>
    <row r="45" spans="1:42" x14ac:dyDescent="0.25">
      <c r="A45" s="116" t="s">
        <v>139</v>
      </c>
      <c r="B45" s="46" t="str">
        <f>'Project BAF Rate Gen Buffers VW'!B$15</f>
        <v>228b4088-8661-11eb-8dcd-0242ac130003</v>
      </c>
      <c r="C45" s="47">
        <f>'Project BAF Rate Gen Buffers VW'!K$15</f>
        <v>12345</v>
      </c>
      <c r="D45" s="43">
        <f>'Project BAF Rate Gen Buffers VW'!L$15</f>
        <v>251</v>
      </c>
      <c r="E45" s="21" t="str">
        <f>'Project BAF Rate Gen Buffers VW'!M$15</f>
        <v>11 - US GULF COAST - CONTINENTAL EUROPE, UNITED KINGDOM, IRELAND</v>
      </c>
      <c r="F45" s="49">
        <f>'Project BAF Rate Gen Buffers VW'!Q$15</f>
        <v>720</v>
      </c>
      <c r="G45" s="49">
        <f>'Project BAF Rate Gen Buffers VW'!D$15</f>
        <v>-0.15</v>
      </c>
      <c r="H45" s="49">
        <f>'Project BAF Rate Gen Buffers VW'!E$15</f>
        <v>0.15</v>
      </c>
      <c r="I45" s="49">
        <f>'Project BAF Rate Gen Buffers VW'!R$15</f>
        <v>612</v>
      </c>
      <c r="J45" s="49">
        <f>'Project BAF Rate Gen Buffers VW'!S$15</f>
        <v>828</v>
      </c>
      <c r="K45" s="49" t="str">
        <f>'Project BAF Rate Gen Prices VW'!C$50</f>
        <v>228b4088-8661-11eb-8dcd-0242ac130003</v>
      </c>
      <c r="L45" s="47">
        <f>'Project BAF Rate Gen Prices VW'!N$50</f>
        <v>12345</v>
      </c>
      <c r="M45" s="46">
        <f>'Project BAF Rate Gen Prices VW'!O$50</f>
        <v>71</v>
      </c>
      <c r="N45" s="46" t="str">
        <f>'BAF Location'!B$2</f>
        <v>Houston</v>
      </c>
      <c r="O45" s="50">
        <f>'Project BAF Rate Gen Prices VW'!Q$50</f>
        <v>251</v>
      </c>
      <c r="P45" s="21" t="str">
        <f>'Project BAF Rate Gen Prices VW'!R$50</f>
        <v>(11 - US GULF COAST - CONTINENTAL EUROPE, UNITED KINGDOM, IRELAND)</v>
      </c>
      <c r="Q45" s="46">
        <f>'Project BAF Rate Gen Prices VW'!G$50</f>
        <v>3</v>
      </c>
      <c r="R45" s="51">
        <f>'Project BAF Rate Gen Prices VW'!V$50</f>
        <v>44256</v>
      </c>
      <c r="S45" s="51">
        <f>'Project BAF Rate Gen Prices VW'!W$50</f>
        <v>44348</v>
      </c>
      <c r="T45" s="51">
        <f>'Project BAF Rate Gen Prices VW'!X$50</f>
        <v>44377.999989999997</v>
      </c>
      <c r="U45" s="52">
        <f>'Project BAF Rate Gen Prices VW'!Y$50</f>
        <v>554.40000000000009</v>
      </c>
      <c r="V45" s="47">
        <f>project_baf_technical_factor!A$5</f>
        <v>12345</v>
      </c>
      <c r="W45" s="50">
        <f>project_baf_technical_factor!B$5</f>
        <v>251</v>
      </c>
      <c r="X45" s="74" t="str">
        <f>route!E$3</f>
        <v>11 - US GULF COAST - CONTINENTAL EUROPE, UNITED KINGDOM, IRELAND</v>
      </c>
      <c r="Y45" s="46">
        <f>project_baf_technical_factor!D$5</f>
        <v>21</v>
      </c>
      <c r="Z45" s="46" t="str">
        <f>baf_freight_payable_unit!$B$2</f>
        <v>TEU</v>
      </c>
      <c r="AA45" s="46" t="str">
        <f>project_baf_technical_factor!F$5</f>
        <v>C</v>
      </c>
      <c r="AB45" s="46" t="str">
        <f>cargo_type!C2</f>
        <v>Container</v>
      </c>
      <c r="AC45" s="53">
        <f>project_baf_technical_factor!H$5</f>
        <v>0.26400000000000001</v>
      </c>
      <c r="AD45" s="46" t="str">
        <f t="shared" ref="AD45:AL45" si="42">IF($AL$21="Update",AD$64,TRIM(" "))</f>
        <v/>
      </c>
      <c r="AE45" s="46" t="str">
        <f t="shared" si="42"/>
        <v/>
      </c>
      <c r="AF45" s="21" t="str">
        <f t="shared" si="42"/>
        <v/>
      </c>
      <c r="AG45" s="46" t="str">
        <f t="shared" si="42"/>
        <v/>
      </c>
      <c r="AH45" s="21" t="str">
        <f t="shared" si="42"/>
        <v/>
      </c>
      <c r="AI45" s="46" t="str">
        <f t="shared" si="42"/>
        <v/>
      </c>
      <c r="AJ45" s="21" t="str">
        <f t="shared" si="42"/>
        <v/>
      </c>
      <c r="AK45" s="8" t="str">
        <f t="shared" si="42"/>
        <v/>
      </c>
      <c r="AL45" s="46" t="str">
        <f t="shared" si="42"/>
        <v/>
      </c>
      <c r="AM45" s="46" t="str">
        <f t="shared" si="40"/>
        <v>Insert</v>
      </c>
      <c r="AN45" s="52">
        <f t="shared" si="37"/>
        <v>-57.599999999999909</v>
      </c>
      <c r="AO45" s="52">
        <f t="shared" si="38"/>
        <v>-15.206399999999977</v>
      </c>
      <c r="AP45" s="46" t="s">
        <v>78</v>
      </c>
    </row>
    <row r="46" spans="1:42" x14ac:dyDescent="0.25">
      <c r="A46" s="116" t="s">
        <v>139</v>
      </c>
      <c r="B46" s="46" t="str">
        <f>'Project BAF Rate Gen Buffers VW'!B$15</f>
        <v>228b4088-8661-11eb-8dcd-0242ac130003</v>
      </c>
      <c r="C46" s="47">
        <f>'Project BAF Rate Gen Buffers VW'!K$15</f>
        <v>12345</v>
      </c>
      <c r="D46" s="43">
        <f>'Project BAF Rate Gen Buffers VW'!L$15</f>
        <v>251</v>
      </c>
      <c r="E46" s="21" t="str">
        <f>E45</f>
        <v>11 - US GULF COAST - CONTINENTAL EUROPE, UNITED KINGDOM, IRELAND</v>
      </c>
      <c r="F46" s="49">
        <f>'Project BAF Rate Gen Buffers VW'!Q$15</f>
        <v>720</v>
      </c>
      <c r="G46" s="49">
        <f>'Project BAF Rate Gen Buffers VW'!D$15</f>
        <v>-0.15</v>
      </c>
      <c r="H46" s="49">
        <f>'Project BAF Rate Gen Buffers VW'!E$15</f>
        <v>0.15</v>
      </c>
      <c r="I46" s="49">
        <f>'Project BAF Rate Gen Buffers VW'!R$15</f>
        <v>612</v>
      </c>
      <c r="J46" s="49">
        <f>'Project BAF Rate Gen Buffers VW'!S$15</f>
        <v>828</v>
      </c>
      <c r="K46" s="49" t="str">
        <f>'Project BAF Rate Gen Prices VW'!C$50</f>
        <v>228b4088-8661-11eb-8dcd-0242ac130003</v>
      </c>
      <c r="L46" s="47">
        <f>'Project BAF Rate Gen Prices VW'!N$50</f>
        <v>12345</v>
      </c>
      <c r="M46" s="46">
        <f>'Project BAF Rate Gen Prices VW'!O$50</f>
        <v>71</v>
      </c>
      <c r="N46" s="46" t="str">
        <f>'BAF Location'!B$2</f>
        <v>Houston</v>
      </c>
      <c r="O46" s="50">
        <f>'Project BAF Rate Gen Prices VW'!Q$50</f>
        <v>251</v>
      </c>
      <c r="P46" s="21" t="str">
        <f>'Project BAF Rate Gen Prices VW'!R$50</f>
        <v>(11 - US GULF COAST - CONTINENTAL EUROPE, UNITED KINGDOM, IRELAND)</v>
      </c>
      <c r="Q46" s="46">
        <f>'Project BAF Rate Gen Prices VW'!G$50</f>
        <v>3</v>
      </c>
      <c r="R46" s="51">
        <f>'Project BAF Rate Gen Prices VW'!V$50</f>
        <v>44256</v>
      </c>
      <c r="S46" s="51">
        <f>'Project BAF Rate Gen Prices VW'!W$50</f>
        <v>44348</v>
      </c>
      <c r="T46" s="51">
        <f>'Project BAF Rate Gen Prices VW'!X$50</f>
        <v>44377.999989999997</v>
      </c>
      <c r="U46" s="52">
        <f>'Project BAF Rate Gen Prices VW'!Y$50</f>
        <v>554.40000000000009</v>
      </c>
      <c r="V46" s="47">
        <f>project_baf_technical_factor!A$6</f>
        <v>12345</v>
      </c>
      <c r="W46" s="50">
        <f>project_baf_technical_factor!B$6</f>
        <v>251</v>
      </c>
      <c r="X46" s="74" t="str">
        <f>route!E$3</f>
        <v>11 - US GULF COAST - CONTINENTAL EUROPE, UNITED KINGDOM, IRELAND</v>
      </c>
      <c r="Y46" s="46">
        <f>project_baf_technical_factor!D$6</f>
        <v>22</v>
      </c>
      <c r="Z46" s="46" t="str">
        <f>baf_freight_payable_unit!$B$3</f>
        <v>FEU</v>
      </c>
      <c r="AA46" s="46" t="str">
        <f>project_baf_technical_factor!F$6</f>
        <v>C</v>
      </c>
      <c r="AB46" s="46" t="str">
        <f>cargo_type!C2</f>
        <v>Container</v>
      </c>
      <c r="AC46" s="53">
        <f>project_baf_technical_factor!H$6</f>
        <v>0.49399999999999999</v>
      </c>
      <c r="AD46" s="46" t="str">
        <f t="shared" ref="AD46:AL46" si="43">IF($AL$21="Update",AD$65,TRIM(" "))</f>
        <v/>
      </c>
      <c r="AE46" s="46" t="str">
        <f t="shared" si="43"/>
        <v/>
      </c>
      <c r="AF46" s="21" t="str">
        <f t="shared" si="43"/>
        <v/>
      </c>
      <c r="AG46" s="46" t="str">
        <f t="shared" si="43"/>
        <v/>
      </c>
      <c r="AH46" s="21" t="str">
        <f t="shared" si="43"/>
        <v/>
      </c>
      <c r="AI46" s="46" t="str">
        <f t="shared" si="43"/>
        <v/>
      </c>
      <c r="AJ46" s="21" t="str">
        <f t="shared" si="43"/>
        <v/>
      </c>
      <c r="AK46" s="8" t="str">
        <f t="shared" si="43"/>
        <v/>
      </c>
      <c r="AL46" s="46" t="str">
        <f t="shared" si="43"/>
        <v/>
      </c>
      <c r="AM46" s="46" t="str">
        <f t="shared" si="40"/>
        <v>Insert</v>
      </c>
      <c r="AN46" s="52">
        <f t="shared" si="37"/>
        <v>-57.599999999999909</v>
      </c>
      <c r="AO46" s="52">
        <f t="shared" si="38"/>
        <v>-28.454399999999954</v>
      </c>
      <c r="AP46" s="46" t="s">
        <v>78</v>
      </c>
    </row>
    <row r="47" spans="1:42" x14ac:dyDescent="0.25">
      <c r="A47" s="116" t="s">
        <v>139</v>
      </c>
      <c r="B47" s="46" t="str">
        <f>'Project BAF Rate Gen Buffers VW'!B$15</f>
        <v>228b4088-8661-11eb-8dcd-0242ac130003</v>
      </c>
      <c r="C47" s="47">
        <f>'Project BAF Rate Gen Buffers VW'!K$15</f>
        <v>12345</v>
      </c>
      <c r="D47" s="43">
        <f>'Project BAF Rate Gen Buffers VW'!L$15</f>
        <v>251</v>
      </c>
      <c r="E47" s="21" t="str">
        <f>E45</f>
        <v>11 - US GULF COAST - CONTINENTAL EUROPE, UNITED KINGDOM, IRELAND</v>
      </c>
      <c r="F47" s="49">
        <f>'Project BAF Rate Gen Buffers VW'!Q$15</f>
        <v>720</v>
      </c>
      <c r="G47" s="49">
        <f>'Project BAF Rate Gen Buffers VW'!D$15</f>
        <v>-0.15</v>
      </c>
      <c r="H47" s="49">
        <f>'Project BAF Rate Gen Buffers VW'!E$15</f>
        <v>0.15</v>
      </c>
      <c r="I47" s="49">
        <f>'Project BAF Rate Gen Buffers VW'!R$15</f>
        <v>612</v>
      </c>
      <c r="J47" s="49">
        <f>'Project BAF Rate Gen Buffers VW'!S$15</f>
        <v>828</v>
      </c>
      <c r="K47" s="49" t="str">
        <f>'Project BAF Rate Gen Prices VW'!C$50</f>
        <v>228b4088-8661-11eb-8dcd-0242ac130003</v>
      </c>
      <c r="L47" s="47">
        <f>'Project BAF Rate Gen Prices VW'!N$50</f>
        <v>12345</v>
      </c>
      <c r="M47" s="46">
        <f>'Project BAF Rate Gen Prices VW'!O$50</f>
        <v>71</v>
      </c>
      <c r="N47" s="46" t="str">
        <f>'BAF Location'!B$2</f>
        <v>Houston</v>
      </c>
      <c r="O47" s="50">
        <f>'Project BAF Rate Gen Prices VW'!Q$50</f>
        <v>251</v>
      </c>
      <c r="P47" s="21" t="str">
        <f>'Project BAF Rate Gen Prices VW'!R$50</f>
        <v>(11 - US GULF COAST - CONTINENTAL EUROPE, UNITED KINGDOM, IRELAND)</v>
      </c>
      <c r="Q47" s="46">
        <f>'Project BAF Rate Gen Prices VW'!G$50</f>
        <v>3</v>
      </c>
      <c r="R47" s="51">
        <f>'Project BAF Rate Gen Prices VW'!V$50</f>
        <v>44256</v>
      </c>
      <c r="S47" s="51">
        <f>'Project BAF Rate Gen Prices VW'!W$50</f>
        <v>44348</v>
      </c>
      <c r="T47" s="51">
        <f>'Project BAF Rate Gen Prices VW'!X$50</f>
        <v>44377.999989999997</v>
      </c>
      <c r="U47" s="52">
        <f>'Project BAF Rate Gen Prices VW'!Y$50</f>
        <v>554.40000000000009</v>
      </c>
      <c r="V47" s="47">
        <f>project_baf_technical_factor!A$7</f>
        <v>12345</v>
      </c>
      <c r="W47" s="50">
        <f>project_baf_technical_factor!B$7</f>
        <v>251</v>
      </c>
      <c r="X47" s="74" t="str">
        <f>route!E$3</f>
        <v>11 - US GULF COAST - CONTINENTAL EUROPE, UNITED KINGDOM, IRELAND</v>
      </c>
      <c r="Y47" s="46">
        <f>project_baf_technical_factor!D$7</f>
        <v>23</v>
      </c>
      <c r="Z47" s="46" t="str">
        <f>baf_freight_payable_unit!$B$4</f>
        <v>MTON</v>
      </c>
      <c r="AA47" s="46" t="str">
        <f>project_baf_technical_factor!F$7</f>
        <v>B</v>
      </c>
      <c r="AB47" s="46" t="str">
        <f>cargo_type!C3</f>
        <v>Breakbulk</v>
      </c>
      <c r="AC47" s="53">
        <f>project_baf_technical_factor!H$7</f>
        <v>3.7000000000000005E-2</v>
      </c>
      <c r="AD47" s="46" t="str">
        <f t="shared" ref="AD47:AL47" si="44">IF($AL$21="Update",AD$66,TRIM(" "))</f>
        <v/>
      </c>
      <c r="AE47" s="46" t="str">
        <f t="shared" si="44"/>
        <v/>
      </c>
      <c r="AF47" s="21" t="str">
        <f t="shared" si="44"/>
        <v/>
      </c>
      <c r="AG47" s="46" t="str">
        <f t="shared" si="44"/>
        <v/>
      </c>
      <c r="AH47" s="21" t="str">
        <f t="shared" si="44"/>
        <v/>
      </c>
      <c r="AI47" s="46" t="str">
        <f t="shared" si="44"/>
        <v/>
      </c>
      <c r="AJ47" s="21" t="str">
        <f t="shared" si="44"/>
        <v/>
      </c>
      <c r="AK47" s="8" t="str">
        <f t="shared" si="44"/>
        <v/>
      </c>
      <c r="AL47" s="46" t="str">
        <f t="shared" si="44"/>
        <v/>
      </c>
      <c r="AM47" s="46" t="str">
        <f t="shared" si="40"/>
        <v>Insert</v>
      </c>
      <c r="AN47" s="52">
        <f t="shared" si="37"/>
        <v>-57.599999999999909</v>
      </c>
      <c r="AO47" s="52">
        <f t="shared" si="38"/>
        <v>-2.1311999999999971</v>
      </c>
      <c r="AP47" s="46" t="s">
        <v>78</v>
      </c>
    </row>
    <row r="48" spans="1:42" x14ac:dyDescent="0.25">
      <c r="A48" s="116" t="s">
        <v>139</v>
      </c>
      <c r="B48" s="46" t="str">
        <f>'Project BAF Rate Gen Buffers VW'!B$16</f>
        <v>228b4088-8661-11eb-8dcd-0242ac130003</v>
      </c>
      <c r="C48" s="47">
        <f>'Project BAF Rate Gen Buffers VW'!K$16</f>
        <v>12345</v>
      </c>
      <c r="D48" s="43">
        <f>'Project BAF Rate Gen Buffers VW'!L$16</f>
        <v>252</v>
      </c>
      <c r="E48" s="21" t="str">
        <f>'Project BAF Rate Gen Buffers VW'!M$16</f>
        <v>12 - US GULF COAST - MEDITERRANEAN</v>
      </c>
      <c r="F48" s="49">
        <f>'Project BAF Rate Gen Buffers VW'!Q$16</f>
        <v>620.66666666666663</v>
      </c>
      <c r="G48" s="49">
        <f>'Project BAF Rate Gen Buffers VW'!D$16</f>
        <v>-0.15</v>
      </c>
      <c r="H48" s="49">
        <f>'Project BAF Rate Gen Buffers VW'!E$16</f>
        <v>0.15</v>
      </c>
      <c r="I48" s="49">
        <f>'Project BAF Rate Gen Buffers VW'!R$16</f>
        <v>527.56666666666661</v>
      </c>
      <c r="J48" s="49">
        <f>'Project BAF Rate Gen Buffers VW'!S$16</f>
        <v>713.76666666666665</v>
      </c>
      <c r="K48" s="49" t="str">
        <f>'Project BAF Rate Gen Prices VW'!C$51</f>
        <v>228b4088-8661-11eb-8dcd-0242ac130003</v>
      </c>
      <c r="L48" s="47">
        <f>'Project BAF Rate Gen Prices VW'!N$51</f>
        <v>12345</v>
      </c>
      <c r="M48" s="46">
        <f>'Project BAF Rate Gen Prices VW'!O$51</f>
        <v>72</v>
      </c>
      <c r="N48" s="46" t="str">
        <f>'BAF Location'!B$3</f>
        <v>Los Angeles</v>
      </c>
      <c r="O48" s="50">
        <f>'Project BAF Rate Gen Prices VW'!Q$51</f>
        <v>252</v>
      </c>
      <c r="P48" s="21" t="str">
        <f>'Project BAF Rate Gen Prices VW'!R$51</f>
        <v>(12 - US GULF COAST - MEDITERRANEAN)</v>
      </c>
      <c r="Q48" s="46">
        <f>'Project BAF Rate Gen Prices VW'!G$51</f>
        <v>3</v>
      </c>
      <c r="R48" s="51">
        <f>'Project BAF Rate Gen Prices VW'!V$51</f>
        <v>44256</v>
      </c>
      <c r="S48" s="51">
        <f>'Project BAF Rate Gen Prices VW'!W$51</f>
        <v>44348</v>
      </c>
      <c r="T48" s="51">
        <f>'Project BAF Rate Gen Prices VW'!X$51</f>
        <v>44377.999989999997</v>
      </c>
      <c r="U48" s="52">
        <f>'Project BAF Rate Gen Prices VW'!Y$51</f>
        <v>517.5</v>
      </c>
      <c r="V48" s="47">
        <f>project_baf_technical_factor!A$8</f>
        <v>12345</v>
      </c>
      <c r="W48" s="50">
        <f>project_baf_technical_factor!B$8</f>
        <v>252</v>
      </c>
      <c r="X48" s="74" t="str">
        <f>route!E$4</f>
        <v>12 - US GULF COAST - MEDITERRANEAN</v>
      </c>
      <c r="Y48" s="46">
        <f>project_baf_technical_factor!D$8</f>
        <v>21</v>
      </c>
      <c r="Z48" s="46" t="str">
        <f>baf_freight_payable_unit!$B$2</f>
        <v>TEU</v>
      </c>
      <c r="AA48" s="46" t="str">
        <f>project_baf_technical_factor!F$8</f>
        <v>C</v>
      </c>
      <c r="AB48" s="46" t="str">
        <f>cargo_type!C2</f>
        <v>Container</v>
      </c>
      <c r="AC48" s="53">
        <f>project_baf_technical_factor!H$8</f>
        <v>0.253</v>
      </c>
      <c r="AD48" s="46" t="str">
        <f t="shared" ref="AD48:AL48" si="45">IF($AL$21="Update",AD$67,TRIM(" "))</f>
        <v/>
      </c>
      <c r="AE48" s="46" t="str">
        <f t="shared" si="45"/>
        <v/>
      </c>
      <c r="AF48" s="21" t="str">
        <f t="shared" si="45"/>
        <v/>
      </c>
      <c r="AG48" s="46" t="str">
        <f t="shared" si="45"/>
        <v/>
      </c>
      <c r="AH48" s="21" t="str">
        <f t="shared" si="45"/>
        <v/>
      </c>
      <c r="AI48" s="46" t="str">
        <f t="shared" si="45"/>
        <v/>
      </c>
      <c r="AJ48" s="21" t="str">
        <f t="shared" si="45"/>
        <v/>
      </c>
      <c r="AK48" s="8" t="str">
        <f t="shared" si="45"/>
        <v/>
      </c>
      <c r="AL48" s="46" t="str">
        <f t="shared" si="45"/>
        <v/>
      </c>
      <c r="AM48" s="46" t="str">
        <f t="shared" si="40"/>
        <v>Insert</v>
      </c>
      <c r="AN48" s="52">
        <f t="shared" si="37"/>
        <v>-10.066666666666606</v>
      </c>
      <c r="AO48" s="52">
        <f t="shared" si="38"/>
        <v>-2.5468666666666513</v>
      </c>
      <c r="AP48" s="46" t="s">
        <v>78</v>
      </c>
    </row>
    <row r="49" spans="1:42" x14ac:dyDescent="0.25">
      <c r="A49" s="116" t="s">
        <v>139</v>
      </c>
      <c r="B49" s="46" t="str">
        <f>'Project BAF Rate Gen Buffers VW'!B$16</f>
        <v>228b4088-8661-11eb-8dcd-0242ac130003</v>
      </c>
      <c r="C49" s="47">
        <f>'Project BAF Rate Gen Buffers VW'!K$16</f>
        <v>12345</v>
      </c>
      <c r="D49" s="43">
        <f>'Project BAF Rate Gen Buffers VW'!L$16</f>
        <v>252</v>
      </c>
      <c r="E49" s="21" t="str">
        <f>E48</f>
        <v>12 - US GULF COAST - MEDITERRANEAN</v>
      </c>
      <c r="F49" s="49">
        <f>'Project BAF Rate Gen Buffers VW'!Q$16</f>
        <v>620.66666666666663</v>
      </c>
      <c r="G49" s="49">
        <f>'Project BAF Rate Gen Buffers VW'!D$16</f>
        <v>-0.15</v>
      </c>
      <c r="H49" s="49">
        <f>'Project BAF Rate Gen Buffers VW'!E$16</f>
        <v>0.15</v>
      </c>
      <c r="I49" s="49">
        <f>'Project BAF Rate Gen Buffers VW'!R$16</f>
        <v>527.56666666666661</v>
      </c>
      <c r="J49" s="49">
        <f>'Project BAF Rate Gen Buffers VW'!S$16</f>
        <v>713.76666666666665</v>
      </c>
      <c r="K49" s="49" t="str">
        <f>'Project BAF Rate Gen Prices VW'!C$51</f>
        <v>228b4088-8661-11eb-8dcd-0242ac130003</v>
      </c>
      <c r="L49" s="47">
        <f>'Project BAF Rate Gen Prices VW'!N$51</f>
        <v>12345</v>
      </c>
      <c r="M49" s="46">
        <f>'Project BAF Rate Gen Prices VW'!O$51</f>
        <v>72</v>
      </c>
      <c r="N49" s="46" t="str">
        <f>'BAF Location'!B$3</f>
        <v>Los Angeles</v>
      </c>
      <c r="O49" s="50">
        <f>'Project BAF Rate Gen Prices VW'!Q$51</f>
        <v>252</v>
      </c>
      <c r="P49" s="21" t="str">
        <f>'Project BAF Rate Gen Prices VW'!R$51</f>
        <v>(12 - US GULF COAST - MEDITERRANEAN)</v>
      </c>
      <c r="Q49" s="46">
        <f>'Project BAF Rate Gen Prices VW'!G$51</f>
        <v>3</v>
      </c>
      <c r="R49" s="51">
        <f>'Project BAF Rate Gen Prices VW'!V$51</f>
        <v>44256</v>
      </c>
      <c r="S49" s="51">
        <f>'Project BAF Rate Gen Prices VW'!W$51</f>
        <v>44348</v>
      </c>
      <c r="T49" s="51">
        <f>'Project BAF Rate Gen Prices VW'!X$51</f>
        <v>44377.999989999997</v>
      </c>
      <c r="U49" s="52">
        <f>'Project BAF Rate Gen Prices VW'!Y$51</f>
        <v>517.5</v>
      </c>
      <c r="V49" s="47">
        <f>project_baf_technical_factor!A$9</f>
        <v>12345</v>
      </c>
      <c r="W49" s="50">
        <f>project_baf_technical_factor!B$9</f>
        <v>252</v>
      </c>
      <c r="X49" s="74" t="str">
        <f>route!E$4</f>
        <v>12 - US GULF COAST - MEDITERRANEAN</v>
      </c>
      <c r="Y49" s="46">
        <f>project_baf_technical_factor!D$9</f>
        <v>22</v>
      </c>
      <c r="Z49" s="46" t="str">
        <f>baf_freight_payable_unit!$B$3</f>
        <v>FEU</v>
      </c>
      <c r="AA49" s="46" t="str">
        <f>project_baf_technical_factor!F$9</f>
        <v>C</v>
      </c>
      <c r="AB49" s="46" t="str">
        <f>cargo_type!C2</f>
        <v>Container</v>
      </c>
      <c r="AC49" s="53">
        <f>project_baf_technical_factor!H$9</f>
        <v>0.48299999999999998</v>
      </c>
      <c r="AD49" s="46" t="str">
        <f t="shared" ref="AD49:AL49" si="46">IF($AL$21="Update",AD$68,TRIM(" "))</f>
        <v/>
      </c>
      <c r="AE49" s="46" t="str">
        <f t="shared" si="46"/>
        <v/>
      </c>
      <c r="AF49" s="21" t="str">
        <f t="shared" si="46"/>
        <v/>
      </c>
      <c r="AG49" s="46" t="str">
        <f t="shared" si="46"/>
        <v/>
      </c>
      <c r="AH49" s="21" t="str">
        <f t="shared" si="46"/>
        <v/>
      </c>
      <c r="AI49" s="46" t="str">
        <f t="shared" si="46"/>
        <v/>
      </c>
      <c r="AJ49" s="21" t="str">
        <f t="shared" si="46"/>
        <v/>
      </c>
      <c r="AK49" s="8" t="str">
        <f t="shared" si="46"/>
        <v/>
      </c>
      <c r="AL49" s="46" t="str">
        <f t="shared" si="46"/>
        <v/>
      </c>
      <c r="AM49" s="46" t="str">
        <f t="shared" si="40"/>
        <v>Insert</v>
      </c>
      <c r="AN49" s="52">
        <f t="shared" si="37"/>
        <v>-10.066666666666606</v>
      </c>
      <c r="AO49" s="52">
        <f t="shared" si="38"/>
        <v>-4.8621999999999703</v>
      </c>
      <c r="AP49" s="46" t="s">
        <v>78</v>
      </c>
    </row>
    <row r="50" spans="1:42" ht="15.75" thickBot="1" x14ac:dyDescent="0.3">
      <c r="A50" s="116" t="s">
        <v>139</v>
      </c>
      <c r="B50" s="46" t="str">
        <f>'Project BAF Rate Gen Buffers VW'!B$16</f>
        <v>228b4088-8661-11eb-8dcd-0242ac130003</v>
      </c>
      <c r="C50" s="47">
        <f>'Project BAF Rate Gen Buffers VW'!K$16</f>
        <v>12345</v>
      </c>
      <c r="D50" s="43">
        <f>'Project BAF Rate Gen Buffers VW'!L$16</f>
        <v>252</v>
      </c>
      <c r="E50" s="21" t="str">
        <f>E48</f>
        <v>12 - US GULF COAST - MEDITERRANEAN</v>
      </c>
      <c r="F50" s="49">
        <f>'Project BAF Rate Gen Buffers VW'!Q$16</f>
        <v>620.66666666666663</v>
      </c>
      <c r="G50" s="49">
        <f>'Project BAF Rate Gen Buffers VW'!D$16</f>
        <v>-0.15</v>
      </c>
      <c r="H50" s="49">
        <f>'Project BAF Rate Gen Buffers VW'!E$16</f>
        <v>0.15</v>
      </c>
      <c r="I50" s="49">
        <f>'Project BAF Rate Gen Buffers VW'!R$16</f>
        <v>527.56666666666661</v>
      </c>
      <c r="J50" s="49">
        <f>'Project BAF Rate Gen Buffers VW'!S$16</f>
        <v>713.76666666666665</v>
      </c>
      <c r="K50" s="49" t="str">
        <f>'Project BAF Rate Gen Prices VW'!C$51</f>
        <v>228b4088-8661-11eb-8dcd-0242ac130003</v>
      </c>
      <c r="L50" s="47">
        <f>'Project BAF Rate Gen Prices VW'!N$51</f>
        <v>12345</v>
      </c>
      <c r="M50" s="46">
        <f>'Project BAF Rate Gen Prices VW'!O$51</f>
        <v>72</v>
      </c>
      <c r="N50" s="46" t="str">
        <f>'BAF Location'!B$3</f>
        <v>Los Angeles</v>
      </c>
      <c r="O50" s="50">
        <f>'Project BAF Rate Gen Prices VW'!Q$51</f>
        <v>252</v>
      </c>
      <c r="P50" s="21" t="str">
        <f>'Project BAF Rate Gen Prices VW'!R$51</f>
        <v>(12 - US GULF COAST - MEDITERRANEAN)</v>
      </c>
      <c r="Q50" s="46">
        <f>'Project BAF Rate Gen Prices VW'!G$51</f>
        <v>3</v>
      </c>
      <c r="R50" s="51">
        <f>'Project BAF Rate Gen Prices VW'!V$51</f>
        <v>44256</v>
      </c>
      <c r="S50" s="51">
        <f>'Project BAF Rate Gen Prices VW'!W$51</f>
        <v>44348</v>
      </c>
      <c r="T50" s="51">
        <f>'Project BAF Rate Gen Prices VW'!X$51</f>
        <v>44377.999989999997</v>
      </c>
      <c r="U50" s="52">
        <f>'Project BAF Rate Gen Prices VW'!Y$51</f>
        <v>517.5</v>
      </c>
      <c r="V50" s="47">
        <f>project_baf_technical_factor!A$10</f>
        <v>12345</v>
      </c>
      <c r="W50" s="50">
        <f>project_baf_technical_factor!B$10</f>
        <v>252</v>
      </c>
      <c r="X50" s="74" t="str">
        <f>route!E$4</f>
        <v>12 - US GULF COAST - MEDITERRANEAN</v>
      </c>
      <c r="Y50" s="46">
        <f>project_baf_technical_factor!D$10</f>
        <v>23</v>
      </c>
      <c r="Z50" s="46" t="str">
        <f>baf_freight_payable_unit!$B$4</f>
        <v>MTON</v>
      </c>
      <c r="AA50" s="46" t="str">
        <f>project_baf_technical_factor!F$10</f>
        <v>B</v>
      </c>
      <c r="AB50" s="46" t="str">
        <f>cargo_type!C3</f>
        <v>Breakbulk</v>
      </c>
      <c r="AC50" s="53">
        <f>project_baf_technical_factor!H$10</f>
        <v>2.6000000000000006E-2</v>
      </c>
      <c r="AD50" s="46" t="str">
        <f t="shared" ref="AD50:AL50" si="47">IF($AL$21="Update",AD$69,TRIM(" "))</f>
        <v/>
      </c>
      <c r="AE50" s="46" t="str">
        <f t="shared" si="47"/>
        <v/>
      </c>
      <c r="AF50" s="21" t="str">
        <f t="shared" si="47"/>
        <v/>
      </c>
      <c r="AG50" s="46" t="str">
        <f t="shared" si="47"/>
        <v/>
      </c>
      <c r="AH50" s="21" t="str">
        <f t="shared" si="47"/>
        <v/>
      </c>
      <c r="AI50" s="46" t="str">
        <f t="shared" si="47"/>
        <v/>
      </c>
      <c r="AJ50" s="21" t="str">
        <f t="shared" si="47"/>
        <v/>
      </c>
      <c r="AK50" s="8" t="str">
        <f t="shared" si="47"/>
        <v/>
      </c>
      <c r="AL50" s="46" t="str">
        <f t="shared" si="47"/>
        <v/>
      </c>
      <c r="AM50" s="46" t="str">
        <f t="shared" si="40"/>
        <v>Insert</v>
      </c>
      <c r="AN50" s="52">
        <f t="shared" si="37"/>
        <v>-10.066666666666606</v>
      </c>
      <c r="AO50" s="125">
        <f t="shared" si="38"/>
        <v>-0.26173333333333182</v>
      </c>
      <c r="AP50" s="126" t="s">
        <v>78</v>
      </c>
    </row>
    <row r="51" spans="1:42" x14ac:dyDescent="0.25">
      <c r="A51" s="116" t="s">
        <v>139</v>
      </c>
      <c r="B51" s="46" t="str">
        <f>'Project BAF Rate Gen Buffers VW'!B$17</f>
        <v>228b4088-8661-11eb-8dcd-0242ac130003</v>
      </c>
      <c r="C51" s="47">
        <f>'Project BAF Rate Gen Buffers VW'!K$17</f>
        <v>12345</v>
      </c>
      <c r="D51" s="43">
        <f>'Project BAF Rate Gen Buffers VW'!L$17</f>
        <v>253</v>
      </c>
      <c r="E51" s="21" t="str">
        <f>'Project BAF Rate Gen Buffers VW'!M$17</f>
        <v>13 - US GULF COAST - MIDDLE EAST, SOUTH ASIA, INDIAN OCEAN</v>
      </c>
      <c r="F51" s="49">
        <f>'Project BAF Rate Gen Buffers VW'!Q$17</f>
        <v>618.26666666666665</v>
      </c>
      <c r="G51" s="49">
        <f>'Project BAF Rate Gen Buffers VW'!D$17</f>
        <v>-0.15</v>
      </c>
      <c r="H51" s="49">
        <f>'Project BAF Rate Gen Buffers VW'!E$17</f>
        <v>0.15</v>
      </c>
      <c r="I51" s="49">
        <f>'Project BAF Rate Gen Buffers VW'!R$17</f>
        <v>525.52666666666664</v>
      </c>
      <c r="J51" s="49">
        <f>'Project BAF Rate Gen Buffers VW'!S$17</f>
        <v>711.00666666666655</v>
      </c>
      <c r="K51" s="49" t="str">
        <f>'Project BAF Rate Gen Prices VW'!C$52</f>
        <v>228b4088-8661-11eb-8dcd-0242ac130003</v>
      </c>
      <c r="L51" s="47">
        <f>'Project BAF Rate Gen Prices VW'!N$52</f>
        <v>12345</v>
      </c>
      <c r="M51" s="46">
        <f>'Project BAF Rate Gen Prices VW'!O$52</f>
        <v>72</v>
      </c>
      <c r="N51" s="46" t="str">
        <f>'BAF Location'!B$3</f>
        <v>Los Angeles</v>
      </c>
      <c r="O51" s="50">
        <f>'Project BAF Rate Gen Prices VW'!Q$52</f>
        <v>253</v>
      </c>
      <c r="P51" s="21" t="str">
        <f>'Project BAF Rate Gen Prices VW'!R$52</f>
        <v>(13 - US GULF COAST - MIDDLE EAST, SOUTH ASIA, INDIAN OCEAN)</v>
      </c>
      <c r="Q51" s="46">
        <f>'Project BAF Rate Gen Prices VW'!G$52</f>
        <v>3</v>
      </c>
      <c r="R51" s="51">
        <f>'Project BAF Rate Gen Prices VW'!V$52</f>
        <v>44256</v>
      </c>
      <c r="S51" s="51">
        <f>'Project BAF Rate Gen Prices VW'!W$52</f>
        <v>44348</v>
      </c>
      <c r="T51" s="51">
        <f>'Project BAF Rate Gen Prices VW'!X$52</f>
        <v>44377.999989999997</v>
      </c>
      <c r="U51" s="52">
        <f>'Project BAF Rate Gen Prices VW'!Y$52</f>
        <v>514.5</v>
      </c>
      <c r="V51" s="47">
        <f>project_baf_technical_factor!A$11</f>
        <v>12345</v>
      </c>
      <c r="W51" s="50">
        <f>project_baf_technical_factor!B$11</f>
        <v>253</v>
      </c>
      <c r="X51" s="74" t="str">
        <f>route!E$5</f>
        <v>13 - US GULF COAST - MIDDLE EAST, SOUTH ASIA, INDIAN OCEAN</v>
      </c>
      <c r="Y51" s="46">
        <f>project_baf_technical_factor!D$11</f>
        <v>21</v>
      </c>
      <c r="Z51" s="46" t="str">
        <f>baf_freight_payable_unit!$B$2</f>
        <v>TEU</v>
      </c>
      <c r="AA51" s="17" t="str">
        <f>project_baf_technical_factor!F$11</f>
        <v>C</v>
      </c>
      <c r="AB51" s="46" t="str">
        <f>cargo_type!C2</f>
        <v>Container</v>
      </c>
      <c r="AC51" s="54">
        <f>project_baf_technical_factor!H$11</f>
        <v>0.24199999999999999</v>
      </c>
      <c r="AD51" s="46" t="str">
        <f t="shared" ref="AD51:AL51" si="48">IF($AL$21="Update",AD$72,TRIM(" "))</f>
        <v/>
      </c>
      <c r="AE51" s="46" t="str">
        <f t="shared" si="48"/>
        <v/>
      </c>
      <c r="AF51" s="21" t="str">
        <f t="shared" si="48"/>
        <v/>
      </c>
      <c r="AG51" s="46" t="str">
        <f t="shared" si="48"/>
        <v/>
      </c>
      <c r="AH51" s="21" t="str">
        <f t="shared" si="48"/>
        <v/>
      </c>
      <c r="AI51" s="46" t="str">
        <f t="shared" si="48"/>
        <v/>
      </c>
      <c r="AJ51" s="21" t="str">
        <f t="shared" si="48"/>
        <v/>
      </c>
      <c r="AK51" s="8" t="str">
        <f t="shared" si="48"/>
        <v/>
      </c>
      <c r="AL51" s="46" t="str">
        <f t="shared" si="48"/>
        <v/>
      </c>
      <c r="AM51" s="124" t="str">
        <f t="shared" si="40"/>
        <v>Insert</v>
      </c>
      <c r="AN51" s="52">
        <f t="shared" si="37"/>
        <v>-11.026666666666642</v>
      </c>
      <c r="AO51" s="127">
        <f t="shared" si="38"/>
        <v>-2.6684533333333276</v>
      </c>
      <c r="AP51" s="128" t="s">
        <v>78</v>
      </c>
    </row>
    <row r="52" spans="1:42" x14ac:dyDescent="0.25">
      <c r="A52" s="116" t="s">
        <v>139</v>
      </c>
      <c r="B52" s="46" t="str">
        <f>'Project BAF Rate Gen Buffers VW'!B$17</f>
        <v>228b4088-8661-11eb-8dcd-0242ac130003</v>
      </c>
      <c r="C52" s="47">
        <f>'Project BAF Rate Gen Buffers VW'!K$17</f>
        <v>12345</v>
      </c>
      <c r="D52" s="43">
        <f>'Project BAF Rate Gen Buffers VW'!L$17</f>
        <v>253</v>
      </c>
      <c r="E52" s="21" t="str">
        <f>E51</f>
        <v>13 - US GULF COAST - MIDDLE EAST, SOUTH ASIA, INDIAN OCEAN</v>
      </c>
      <c r="F52" s="49">
        <f>'Project BAF Rate Gen Buffers VW'!Q$17</f>
        <v>618.26666666666665</v>
      </c>
      <c r="G52" s="49">
        <f>'Project BAF Rate Gen Buffers VW'!D$17</f>
        <v>-0.15</v>
      </c>
      <c r="H52" s="49">
        <f>'Project BAF Rate Gen Buffers VW'!E$17</f>
        <v>0.15</v>
      </c>
      <c r="I52" s="49">
        <f>'Project BAF Rate Gen Buffers VW'!R$17</f>
        <v>525.52666666666664</v>
      </c>
      <c r="J52" s="49">
        <f>'Project BAF Rate Gen Buffers VW'!S$17</f>
        <v>711.00666666666655</v>
      </c>
      <c r="K52" s="49" t="str">
        <f>'Project BAF Rate Gen Prices VW'!C$52</f>
        <v>228b4088-8661-11eb-8dcd-0242ac130003</v>
      </c>
      <c r="L52" s="47">
        <f>'Project BAF Rate Gen Prices VW'!N$52</f>
        <v>12345</v>
      </c>
      <c r="M52" s="46">
        <f>'Project BAF Rate Gen Prices VW'!O$52</f>
        <v>72</v>
      </c>
      <c r="N52" s="46" t="str">
        <f>'BAF Location'!B$3</f>
        <v>Los Angeles</v>
      </c>
      <c r="O52" s="50">
        <f>'Project BAF Rate Gen Prices VW'!Q$52</f>
        <v>253</v>
      </c>
      <c r="P52" s="21" t="str">
        <f>'Project BAF Rate Gen Prices VW'!R$52</f>
        <v>(13 - US GULF COAST - MIDDLE EAST, SOUTH ASIA, INDIAN OCEAN)</v>
      </c>
      <c r="Q52" s="46">
        <f>'Project BAF Rate Gen Prices VW'!G$52</f>
        <v>3</v>
      </c>
      <c r="R52" s="51">
        <f>'Project BAF Rate Gen Prices VW'!V$52</f>
        <v>44256</v>
      </c>
      <c r="S52" s="51">
        <f>'Project BAF Rate Gen Prices VW'!W$52</f>
        <v>44348</v>
      </c>
      <c r="T52" s="51">
        <f>'Project BAF Rate Gen Prices VW'!X$52</f>
        <v>44377.999989999997</v>
      </c>
      <c r="U52" s="52">
        <f>'Project BAF Rate Gen Prices VW'!Y$52</f>
        <v>514.5</v>
      </c>
      <c r="V52" s="47">
        <f>project_baf_technical_factor!A$12</f>
        <v>12345</v>
      </c>
      <c r="W52" s="50">
        <f>project_baf_technical_factor!B$12</f>
        <v>253</v>
      </c>
      <c r="X52" s="74" t="str">
        <f>route!E$5</f>
        <v>13 - US GULF COAST - MIDDLE EAST, SOUTH ASIA, INDIAN OCEAN</v>
      </c>
      <c r="Y52" s="46">
        <f>project_baf_technical_factor!D$12</f>
        <v>22</v>
      </c>
      <c r="Z52" s="46" t="str">
        <f>baf_freight_payable_unit!$B$3</f>
        <v>FEU</v>
      </c>
      <c r="AA52" s="17" t="str">
        <f>project_baf_technical_factor!F$12</f>
        <v>C</v>
      </c>
      <c r="AB52" s="46" t="str">
        <f>cargo_type!C2</f>
        <v>Container</v>
      </c>
      <c r="AC52" s="54">
        <f>project_baf_technical_factor!H$12</f>
        <v>0.47199999999999998</v>
      </c>
      <c r="AD52" s="46" t="str">
        <f t="shared" ref="AD52:AL52" si="49">IF($AL$21="Update",AD$73,TRIM(" "))</f>
        <v/>
      </c>
      <c r="AE52" s="46" t="str">
        <f t="shared" si="49"/>
        <v/>
      </c>
      <c r="AF52" s="21" t="str">
        <f t="shared" si="49"/>
        <v/>
      </c>
      <c r="AG52" s="46" t="str">
        <f t="shared" si="49"/>
        <v/>
      </c>
      <c r="AH52" s="21" t="str">
        <f t="shared" si="49"/>
        <v/>
      </c>
      <c r="AI52" s="46" t="str">
        <f t="shared" si="49"/>
        <v/>
      </c>
      <c r="AJ52" s="21" t="str">
        <f t="shared" si="49"/>
        <v/>
      </c>
      <c r="AK52" s="8" t="str">
        <f t="shared" si="49"/>
        <v/>
      </c>
      <c r="AL52" s="46" t="str">
        <f t="shared" si="49"/>
        <v/>
      </c>
      <c r="AM52" s="124" t="str">
        <f t="shared" si="40"/>
        <v>Insert</v>
      </c>
      <c r="AN52" s="52">
        <f t="shared" si="37"/>
        <v>-11.026666666666642</v>
      </c>
      <c r="AO52" s="129">
        <f t="shared" si="38"/>
        <v>-5.2045866666666551</v>
      </c>
      <c r="AP52" s="130" t="s">
        <v>78</v>
      </c>
    </row>
    <row r="53" spans="1:42" ht="15.75" thickBot="1" x14ac:dyDescent="0.3">
      <c r="A53" s="116" t="s">
        <v>139</v>
      </c>
      <c r="B53" s="46" t="str">
        <f>'Project BAF Rate Gen Buffers VW'!B$17</f>
        <v>228b4088-8661-11eb-8dcd-0242ac130003</v>
      </c>
      <c r="C53" s="47">
        <f>'Project BAF Rate Gen Buffers VW'!K$17</f>
        <v>12345</v>
      </c>
      <c r="D53" s="43">
        <f>'Project BAF Rate Gen Buffers VW'!L$17</f>
        <v>253</v>
      </c>
      <c r="E53" s="21" t="str">
        <f>E51</f>
        <v>13 - US GULF COAST - MIDDLE EAST, SOUTH ASIA, INDIAN OCEAN</v>
      </c>
      <c r="F53" s="49">
        <f>'Project BAF Rate Gen Buffers VW'!Q$17</f>
        <v>618.26666666666665</v>
      </c>
      <c r="G53" s="49">
        <f>'Project BAF Rate Gen Buffers VW'!D$17</f>
        <v>-0.15</v>
      </c>
      <c r="H53" s="49">
        <f>'Project BAF Rate Gen Buffers VW'!E$17</f>
        <v>0.15</v>
      </c>
      <c r="I53" s="49">
        <f>'Project BAF Rate Gen Buffers VW'!R$17</f>
        <v>525.52666666666664</v>
      </c>
      <c r="J53" s="49">
        <f>'Project BAF Rate Gen Buffers VW'!S$17</f>
        <v>711.00666666666655</v>
      </c>
      <c r="K53" s="49" t="str">
        <f>'Project BAF Rate Gen Prices VW'!C$52</f>
        <v>228b4088-8661-11eb-8dcd-0242ac130003</v>
      </c>
      <c r="L53" s="47">
        <f>'Project BAF Rate Gen Prices VW'!N$52</f>
        <v>12345</v>
      </c>
      <c r="M53" s="46">
        <f>'Project BAF Rate Gen Prices VW'!O$52</f>
        <v>72</v>
      </c>
      <c r="N53" s="46" t="str">
        <f>'BAF Location'!B$3</f>
        <v>Los Angeles</v>
      </c>
      <c r="O53" s="50">
        <f>'Project BAF Rate Gen Prices VW'!Q$52</f>
        <v>253</v>
      </c>
      <c r="P53" s="21" t="str">
        <f>'Project BAF Rate Gen Prices VW'!R$52</f>
        <v>(13 - US GULF COAST - MIDDLE EAST, SOUTH ASIA, INDIAN OCEAN)</v>
      </c>
      <c r="Q53" s="46">
        <f>'Project BAF Rate Gen Prices VW'!G$52</f>
        <v>3</v>
      </c>
      <c r="R53" s="51">
        <f>'Project BAF Rate Gen Prices VW'!V$52</f>
        <v>44256</v>
      </c>
      <c r="S53" s="51">
        <f>'Project BAF Rate Gen Prices VW'!W$52</f>
        <v>44348</v>
      </c>
      <c r="T53" s="51">
        <f>'Project BAF Rate Gen Prices VW'!X$52</f>
        <v>44377.999989999997</v>
      </c>
      <c r="U53" s="52">
        <f>'Project BAF Rate Gen Prices VW'!Y$52</f>
        <v>514.5</v>
      </c>
      <c r="V53" s="47">
        <f>project_baf_technical_factor!A$13</f>
        <v>12345</v>
      </c>
      <c r="W53" s="50">
        <f>project_baf_technical_factor!B$13</f>
        <v>253</v>
      </c>
      <c r="X53" s="74" t="str">
        <f>route!E$5</f>
        <v>13 - US GULF COAST - MIDDLE EAST, SOUTH ASIA, INDIAN OCEAN</v>
      </c>
      <c r="Y53" s="46">
        <f>project_baf_technical_factor!D$13</f>
        <v>23</v>
      </c>
      <c r="Z53" s="46" t="str">
        <f>baf_freight_payable_unit!$B$4</f>
        <v>MTON</v>
      </c>
      <c r="AA53" s="17" t="str">
        <f>project_baf_technical_factor!F$13</f>
        <v>B</v>
      </c>
      <c r="AB53" s="46" t="str">
        <f>cargo_type!C3</f>
        <v>Breakbulk</v>
      </c>
      <c r="AC53" s="54">
        <f>project_baf_technical_factor!H$13</f>
        <v>1.4999999999999999E-2</v>
      </c>
      <c r="AD53" s="46" t="str">
        <f t="shared" ref="AD53:AL53" si="50">IF($AL$21="Update",AD$74,TRIM(" "))</f>
        <v/>
      </c>
      <c r="AE53" s="46" t="str">
        <f t="shared" si="50"/>
        <v/>
      </c>
      <c r="AF53" s="21" t="str">
        <f t="shared" si="50"/>
        <v/>
      </c>
      <c r="AG53" s="46" t="str">
        <f t="shared" si="50"/>
        <v/>
      </c>
      <c r="AH53" s="21" t="str">
        <f t="shared" si="50"/>
        <v/>
      </c>
      <c r="AI53" s="46" t="str">
        <f t="shared" si="50"/>
        <v/>
      </c>
      <c r="AJ53" s="21" t="str">
        <f t="shared" si="50"/>
        <v/>
      </c>
      <c r="AK53" s="8" t="str">
        <f t="shared" si="50"/>
        <v/>
      </c>
      <c r="AL53" s="46" t="str">
        <f t="shared" si="50"/>
        <v/>
      </c>
      <c r="AM53" s="124" t="str">
        <f t="shared" si="40"/>
        <v>Insert</v>
      </c>
      <c r="AN53" s="52">
        <f t="shared" si="37"/>
        <v>-11.026666666666642</v>
      </c>
      <c r="AO53" s="131">
        <f t="shared" si="38"/>
        <v>-0.16539999999999963</v>
      </c>
      <c r="AP53" s="132" t="s">
        <v>78</v>
      </c>
    </row>
    <row r="54" spans="1:42" x14ac:dyDescent="0.25">
      <c r="C54" s="57"/>
      <c r="D54" s="57"/>
      <c r="E54" s="57" t="s">
        <v>68</v>
      </c>
      <c r="AC54"/>
      <c r="AD54" s="42"/>
      <c r="AL54" s="56"/>
    </row>
    <row r="55" spans="1:42" x14ac:dyDescent="0.25">
      <c r="B55" s="57" t="s">
        <v>232</v>
      </c>
      <c r="C55" s="4"/>
      <c r="D55" s="4"/>
      <c r="E55" s="4"/>
      <c r="F55" s="58" t="s">
        <v>233</v>
      </c>
      <c r="G55" s="58" t="s">
        <v>277</v>
      </c>
      <c r="H55" s="58" t="s">
        <v>278</v>
      </c>
      <c r="I55" s="58" t="s">
        <v>234</v>
      </c>
      <c r="J55" s="58" t="s">
        <v>235</v>
      </c>
      <c r="L55" s="4"/>
      <c r="M55" s="59" t="s">
        <v>236</v>
      </c>
      <c r="N55" s="59" t="s">
        <v>237</v>
      </c>
      <c r="O55" s="4"/>
      <c r="P55" s="4"/>
      <c r="Q55" s="58" t="s">
        <v>238</v>
      </c>
      <c r="R55" s="58" t="s">
        <v>239</v>
      </c>
      <c r="S55" s="58" t="s">
        <v>240</v>
      </c>
      <c r="T55" s="59" t="s">
        <v>241</v>
      </c>
      <c r="U55" s="59" t="s">
        <v>242</v>
      </c>
      <c r="V55" s="57" t="s">
        <v>243</v>
      </c>
      <c r="W55" s="58" t="s">
        <v>244</v>
      </c>
      <c r="X55" s="58" t="s">
        <v>245</v>
      </c>
      <c r="Y55" s="58" t="s">
        <v>246</v>
      </c>
      <c r="Z55" s="58" t="s">
        <v>247</v>
      </c>
      <c r="AA55" s="58" t="s">
        <v>248</v>
      </c>
      <c r="AB55" s="58" t="s">
        <v>249</v>
      </c>
      <c r="AC55" s="60" t="s">
        <v>250</v>
      </c>
      <c r="AL55" s="59" t="s">
        <v>251</v>
      </c>
      <c r="AM55" s="59" t="s">
        <v>88</v>
      </c>
      <c r="AN55" s="59" t="s">
        <v>69</v>
      </c>
      <c r="AO55" s="59" t="s">
        <v>69</v>
      </c>
      <c r="AP55" s="57" t="s">
        <v>264</v>
      </c>
    </row>
    <row r="56" spans="1:42" x14ac:dyDescent="0.25">
      <c r="C56" s="4"/>
      <c r="D56" s="4"/>
      <c r="E56" s="4"/>
      <c r="J56" s="4"/>
      <c r="L56" s="4"/>
      <c r="M56" s="4"/>
      <c r="N56" s="4"/>
      <c r="O56" s="4"/>
      <c r="P56" s="4"/>
      <c r="AM56" s="59" t="s">
        <v>89</v>
      </c>
      <c r="AN56" s="59" t="s">
        <v>107</v>
      </c>
      <c r="AO56" s="59" t="s">
        <v>107</v>
      </c>
    </row>
    <row r="57" spans="1:42" x14ac:dyDescent="0.25">
      <c r="B57" t="s">
        <v>268</v>
      </c>
      <c r="AM57" s="59" t="s">
        <v>91</v>
      </c>
      <c r="AN57" s="58" t="s">
        <v>216</v>
      </c>
      <c r="AO57" s="58" t="s">
        <v>218</v>
      </c>
    </row>
    <row r="58" spans="1:42" x14ac:dyDescent="0.25">
      <c r="B58" s="57" t="s">
        <v>15</v>
      </c>
      <c r="AD58" s="158" t="s">
        <v>84</v>
      </c>
      <c r="AE58" s="158"/>
      <c r="AF58" s="158"/>
      <c r="AG58" s="55"/>
      <c r="AH58" s="55"/>
      <c r="AI58" s="55"/>
      <c r="AJ58" s="55"/>
      <c r="AK58" s="55"/>
      <c r="AL58" s="4"/>
      <c r="AM58" s="59" t="s">
        <v>92</v>
      </c>
      <c r="AN58" s="58" t="s">
        <v>108</v>
      </c>
      <c r="AO58" s="58" t="s">
        <v>108</v>
      </c>
    </row>
    <row r="59" spans="1:42" x14ac:dyDescent="0.25">
      <c r="B59" s="57" t="s">
        <v>223</v>
      </c>
      <c r="AD59" s="159"/>
      <c r="AE59" s="55"/>
      <c r="AF59" s="55"/>
      <c r="AG59" s="55"/>
      <c r="AH59" s="55"/>
      <c r="AI59" s="55"/>
      <c r="AJ59" s="55"/>
      <c r="AK59" s="55"/>
      <c r="AL59" s="4"/>
      <c r="AM59" s="59" t="s">
        <v>90</v>
      </c>
      <c r="AN59" s="58" t="s">
        <v>217</v>
      </c>
      <c r="AO59" s="58" t="s">
        <v>219</v>
      </c>
    </row>
    <row r="60" spans="1:42" x14ac:dyDescent="0.25">
      <c r="B60" s="57" t="s">
        <v>224</v>
      </c>
      <c r="AD60" s="68" t="s">
        <v>0</v>
      </c>
      <c r="AE60" s="68" t="s">
        <v>23</v>
      </c>
      <c r="AF60" s="71" t="s">
        <v>24</v>
      </c>
      <c r="AG60" s="68" t="s">
        <v>33</v>
      </c>
      <c r="AH60" s="71" t="s">
        <v>37</v>
      </c>
      <c r="AI60" s="68" t="s">
        <v>36</v>
      </c>
      <c r="AJ60" s="71" t="s">
        <v>38</v>
      </c>
      <c r="AK60" s="68" t="s">
        <v>82</v>
      </c>
      <c r="AL60" s="69" t="s">
        <v>83</v>
      </c>
      <c r="AN60" s="57" t="s">
        <v>70</v>
      </c>
      <c r="AO60" s="57" t="s">
        <v>70</v>
      </c>
    </row>
    <row r="61" spans="1:42" x14ac:dyDescent="0.25">
      <c r="B61" s="58" t="s">
        <v>225</v>
      </c>
      <c r="AD61" s="56">
        <f t="shared" ref="AD61:AD69" si="51">V3</f>
        <v>12345</v>
      </c>
      <c r="AE61" s="56">
        <f t="shared" ref="AE61:AE69" si="52">W3</f>
        <v>250</v>
      </c>
      <c r="AF61" s="70" t="str">
        <f t="shared" ref="AF61:AF69" si="53">X3</f>
        <v>10 - US GULF COAST - SCANDINAVIA, BALTIC</v>
      </c>
      <c r="AG61" s="56">
        <f t="shared" ref="AG61:AG69" si="54">Y3</f>
        <v>21</v>
      </c>
      <c r="AH61" s="70" t="str">
        <f t="shared" ref="AH61:AH69" si="55">Z3</f>
        <v>TEU</v>
      </c>
      <c r="AI61" s="56" t="str">
        <f t="shared" ref="AI61:AI69" si="56">AA3</f>
        <v>C</v>
      </c>
      <c r="AJ61" s="70" t="str">
        <f t="shared" ref="AJ61:AJ69" si="57">AB3</f>
        <v>Container</v>
      </c>
      <c r="AK61" s="8">
        <f t="shared" ref="AK61:AK69" si="58">S3</f>
        <v>44287</v>
      </c>
      <c r="AL61" s="4" t="s">
        <v>53</v>
      </c>
      <c r="AN61" s="57" t="s">
        <v>260</v>
      </c>
      <c r="AO61" s="57" t="s">
        <v>262</v>
      </c>
    </row>
    <row r="62" spans="1:42" x14ac:dyDescent="0.25">
      <c r="B62" s="58" t="s">
        <v>226</v>
      </c>
      <c r="AD62" s="56">
        <f t="shared" si="51"/>
        <v>12345</v>
      </c>
      <c r="AE62" s="56">
        <f t="shared" si="52"/>
        <v>250</v>
      </c>
      <c r="AF62" s="70" t="str">
        <f t="shared" si="53"/>
        <v>10 - US GULF COAST - SCANDINAVIA, BALTIC</v>
      </c>
      <c r="AG62" s="56">
        <f t="shared" si="54"/>
        <v>22</v>
      </c>
      <c r="AH62" s="70" t="str">
        <f t="shared" si="55"/>
        <v>FEU</v>
      </c>
      <c r="AI62" s="56" t="str">
        <f t="shared" si="56"/>
        <v>C</v>
      </c>
      <c r="AJ62" s="70" t="str">
        <f t="shared" si="57"/>
        <v>Container</v>
      </c>
      <c r="AK62" s="8">
        <f t="shared" si="58"/>
        <v>44287</v>
      </c>
      <c r="AL62" s="4" t="s">
        <v>54</v>
      </c>
    </row>
    <row r="63" spans="1:42" x14ac:dyDescent="0.25">
      <c r="B63" s="58" t="s">
        <v>269</v>
      </c>
      <c r="AD63" s="56">
        <f t="shared" si="51"/>
        <v>12345</v>
      </c>
      <c r="AE63" s="56">
        <f t="shared" si="52"/>
        <v>250</v>
      </c>
      <c r="AF63" s="70" t="str">
        <f t="shared" si="53"/>
        <v>10 - US GULF COAST - SCANDINAVIA, BALTIC</v>
      </c>
      <c r="AG63" s="56">
        <f t="shared" si="54"/>
        <v>23</v>
      </c>
      <c r="AH63" s="70" t="str">
        <f t="shared" si="55"/>
        <v>MTON</v>
      </c>
      <c r="AI63" s="56" t="str">
        <f t="shared" si="56"/>
        <v>B</v>
      </c>
      <c r="AJ63" s="70" t="str">
        <f t="shared" si="57"/>
        <v>Breakbulk</v>
      </c>
      <c r="AK63" s="8">
        <f t="shared" si="58"/>
        <v>44287</v>
      </c>
      <c r="AL63" s="4" t="s">
        <v>55</v>
      </c>
    </row>
    <row r="64" spans="1:42" x14ac:dyDescent="0.25">
      <c r="B64" s="58" t="s">
        <v>270</v>
      </c>
      <c r="AD64" s="56">
        <f t="shared" si="51"/>
        <v>12345</v>
      </c>
      <c r="AE64" s="56">
        <f t="shared" si="52"/>
        <v>251</v>
      </c>
      <c r="AF64" s="70" t="str">
        <f t="shared" si="53"/>
        <v>11 - US GULF COAST - CONTINENTAL EUROPE, UNITED KINGDOM, IRELAND</v>
      </c>
      <c r="AG64" s="56">
        <f t="shared" si="54"/>
        <v>21</v>
      </c>
      <c r="AH64" s="70" t="str">
        <f t="shared" si="55"/>
        <v>TEU</v>
      </c>
      <c r="AI64" s="56" t="str">
        <f t="shared" si="56"/>
        <v>C</v>
      </c>
      <c r="AJ64" s="70" t="str">
        <f t="shared" si="57"/>
        <v>Container</v>
      </c>
      <c r="AK64" s="8">
        <f t="shared" si="58"/>
        <v>44287</v>
      </c>
      <c r="AL64" t="s">
        <v>56</v>
      </c>
    </row>
    <row r="65" spans="2:38" x14ac:dyDescent="0.25">
      <c r="B65" s="58" t="s">
        <v>227</v>
      </c>
      <c r="AD65" s="56">
        <f t="shared" si="51"/>
        <v>12345</v>
      </c>
      <c r="AE65" s="56">
        <f t="shared" si="52"/>
        <v>251</v>
      </c>
      <c r="AF65" s="70" t="str">
        <f t="shared" si="53"/>
        <v>11 - US GULF COAST - CONTINENTAL EUROPE, UNITED KINGDOM, IRELAND</v>
      </c>
      <c r="AG65" s="56">
        <f t="shared" si="54"/>
        <v>22</v>
      </c>
      <c r="AH65" s="70" t="str">
        <f t="shared" si="55"/>
        <v>FEU</v>
      </c>
      <c r="AI65" s="56" t="str">
        <f t="shared" si="56"/>
        <v>C</v>
      </c>
      <c r="AJ65" s="70" t="str">
        <f t="shared" si="57"/>
        <v>Container</v>
      </c>
      <c r="AK65" s="8">
        <f t="shared" si="58"/>
        <v>44287</v>
      </c>
      <c r="AL65" t="s">
        <v>57</v>
      </c>
    </row>
    <row r="66" spans="2:38" x14ac:dyDescent="0.25">
      <c r="B66" s="58" t="s">
        <v>228</v>
      </c>
      <c r="AD66" s="56">
        <f t="shared" si="51"/>
        <v>12345</v>
      </c>
      <c r="AE66" s="56">
        <f t="shared" si="52"/>
        <v>251</v>
      </c>
      <c r="AF66" s="70" t="str">
        <f t="shared" si="53"/>
        <v>11 - US GULF COAST - CONTINENTAL EUROPE, UNITED KINGDOM, IRELAND</v>
      </c>
      <c r="AG66" s="56">
        <f t="shared" si="54"/>
        <v>23</v>
      </c>
      <c r="AH66" s="70" t="str">
        <f t="shared" si="55"/>
        <v>MTON</v>
      </c>
      <c r="AI66" s="56" t="str">
        <f t="shared" si="56"/>
        <v>B</v>
      </c>
      <c r="AJ66" s="70" t="str">
        <f t="shared" si="57"/>
        <v>Breakbulk</v>
      </c>
      <c r="AK66" s="8">
        <f t="shared" si="58"/>
        <v>44287</v>
      </c>
      <c r="AL66" t="s">
        <v>58</v>
      </c>
    </row>
    <row r="67" spans="2:38" x14ac:dyDescent="0.25">
      <c r="B67" s="58" t="s">
        <v>229</v>
      </c>
      <c r="AD67" s="56">
        <f t="shared" si="51"/>
        <v>12345</v>
      </c>
      <c r="AE67" s="56">
        <f t="shared" si="52"/>
        <v>252</v>
      </c>
      <c r="AF67" s="70" t="str">
        <f t="shared" si="53"/>
        <v>12 - US GULF COAST - MEDITERRANEAN</v>
      </c>
      <c r="AG67" s="56">
        <f t="shared" si="54"/>
        <v>21</v>
      </c>
      <c r="AH67" s="70" t="str">
        <f t="shared" si="55"/>
        <v>TEU</v>
      </c>
      <c r="AI67" s="56" t="str">
        <f t="shared" si="56"/>
        <v>C</v>
      </c>
      <c r="AJ67" s="70" t="str">
        <f t="shared" si="57"/>
        <v>Container</v>
      </c>
      <c r="AK67" s="8">
        <f t="shared" si="58"/>
        <v>44287</v>
      </c>
      <c r="AL67" t="s">
        <v>59</v>
      </c>
    </row>
    <row r="68" spans="2:38" x14ac:dyDescent="0.25">
      <c r="B68" s="58" t="s">
        <v>279</v>
      </c>
      <c r="AD68" s="56">
        <f t="shared" si="51"/>
        <v>12345</v>
      </c>
      <c r="AE68" s="56">
        <f t="shared" si="52"/>
        <v>252</v>
      </c>
      <c r="AF68" s="70" t="str">
        <f t="shared" si="53"/>
        <v>12 - US GULF COAST - MEDITERRANEAN</v>
      </c>
      <c r="AG68" s="56">
        <f t="shared" si="54"/>
        <v>22</v>
      </c>
      <c r="AH68" s="70" t="str">
        <f t="shared" si="55"/>
        <v>FEU</v>
      </c>
      <c r="AI68" s="56" t="str">
        <f t="shared" si="56"/>
        <v>C</v>
      </c>
      <c r="AJ68" s="70" t="str">
        <f t="shared" si="57"/>
        <v>Container</v>
      </c>
      <c r="AK68" s="8">
        <f t="shared" si="58"/>
        <v>44287</v>
      </c>
      <c r="AL68" t="s">
        <v>60</v>
      </c>
    </row>
    <row r="69" spans="2:38" x14ac:dyDescent="0.25">
      <c r="B69" s="58" t="s">
        <v>280</v>
      </c>
      <c r="AD69" s="56">
        <f t="shared" si="51"/>
        <v>12345</v>
      </c>
      <c r="AE69" s="56">
        <f t="shared" si="52"/>
        <v>252</v>
      </c>
      <c r="AF69" s="70" t="str">
        <f t="shared" si="53"/>
        <v>12 - US GULF COAST - MEDITERRANEAN</v>
      </c>
      <c r="AG69" s="56">
        <f t="shared" si="54"/>
        <v>23</v>
      </c>
      <c r="AH69" s="70" t="str">
        <f t="shared" si="55"/>
        <v>MTON</v>
      </c>
      <c r="AI69" s="56" t="str">
        <f t="shared" si="56"/>
        <v>B</v>
      </c>
      <c r="AJ69" s="70" t="str">
        <f t="shared" si="57"/>
        <v>Breakbulk</v>
      </c>
      <c r="AK69" s="8">
        <f t="shared" si="58"/>
        <v>44287</v>
      </c>
      <c r="AL69" t="s">
        <v>61</v>
      </c>
    </row>
    <row r="70" spans="2:38" x14ac:dyDescent="0.25">
      <c r="B70" s="58" t="s">
        <v>230</v>
      </c>
      <c r="AF70" s="70"/>
      <c r="AH70" s="70"/>
      <c r="AJ70" s="70"/>
      <c r="AK70" s="8"/>
    </row>
    <row r="71" spans="2:38" x14ac:dyDescent="0.25">
      <c r="B71" s="58" t="s">
        <v>231</v>
      </c>
      <c r="AF71" s="70"/>
      <c r="AH71" s="70"/>
      <c r="AJ71" s="70"/>
      <c r="AK71" s="8"/>
    </row>
    <row r="72" spans="2:38" x14ac:dyDescent="0.25">
      <c r="B72" s="59" t="s">
        <v>252</v>
      </c>
      <c r="AD72" s="56">
        <f t="shared" ref="AD72:AJ74" si="59">V12</f>
        <v>12345</v>
      </c>
      <c r="AE72" s="56">
        <f t="shared" si="59"/>
        <v>253</v>
      </c>
      <c r="AF72" s="70" t="str">
        <f t="shared" si="59"/>
        <v>13 - US GULF COAST - MIDDLE EAST, SOUTH ASIA, INDIAN OCEAN</v>
      </c>
      <c r="AG72" s="56">
        <f t="shared" si="59"/>
        <v>21</v>
      </c>
      <c r="AH72" s="70" t="str">
        <f t="shared" si="59"/>
        <v>TEU</v>
      </c>
      <c r="AI72" s="56" t="str">
        <f t="shared" si="59"/>
        <v>C</v>
      </c>
      <c r="AJ72" s="70" t="str">
        <f t="shared" si="59"/>
        <v>Container</v>
      </c>
      <c r="AK72" s="8">
        <f>S12</f>
        <v>44287</v>
      </c>
      <c r="AL72" t="s">
        <v>62</v>
      </c>
    </row>
    <row r="73" spans="2:38" x14ac:dyDescent="0.25">
      <c r="B73" s="59" t="s">
        <v>253</v>
      </c>
      <c r="AD73" s="56">
        <f t="shared" si="59"/>
        <v>12345</v>
      </c>
      <c r="AE73" s="56">
        <f t="shared" si="59"/>
        <v>253</v>
      </c>
      <c r="AF73" s="70" t="str">
        <f t="shared" si="59"/>
        <v>13 - US GULF COAST - MIDDLE EAST, SOUTH ASIA, INDIAN OCEAN</v>
      </c>
      <c r="AG73" s="56">
        <f t="shared" si="59"/>
        <v>22</v>
      </c>
      <c r="AH73" s="70" t="str">
        <f t="shared" si="59"/>
        <v>FEU</v>
      </c>
      <c r="AI73" s="56" t="str">
        <f t="shared" si="59"/>
        <v>C</v>
      </c>
      <c r="AJ73" s="70" t="str">
        <f t="shared" si="59"/>
        <v>Container</v>
      </c>
      <c r="AK73" s="8">
        <f>S13</f>
        <v>44287</v>
      </c>
      <c r="AL73" t="s">
        <v>63</v>
      </c>
    </row>
    <row r="74" spans="2:38" x14ac:dyDescent="0.25">
      <c r="B74" s="59" t="s">
        <v>194</v>
      </c>
      <c r="AD74" s="56">
        <f t="shared" si="59"/>
        <v>12345</v>
      </c>
      <c r="AE74" s="56">
        <f t="shared" si="59"/>
        <v>253</v>
      </c>
      <c r="AF74" s="70" t="str">
        <f t="shared" si="59"/>
        <v>13 - US GULF COAST - MIDDLE EAST, SOUTH ASIA, INDIAN OCEAN</v>
      </c>
      <c r="AG74" s="56">
        <f t="shared" si="59"/>
        <v>23</v>
      </c>
      <c r="AH74" s="70" t="str">
        <f t="shared" si="59"/>
        <v>MTON</v>
      </c>
      <c r="AI74" s="56" t="str">
        <f t="shared" si="59"/>
        <v>B</v>
      </c>
      <c r="AJ74" s="70" t="str">
        <f t="shared" si="59"/>
        <v>Breakbulk</v>
      </c>
      <c r="AK74" s="8">
        <f>S14</f>
        <v>44287</v>
      </c>
      <c r="AL74" t="s">
        <v>64</v>
      </c>
    </row>
    <row r="75" spans="2:38" x14ac:dyDescent="0.25">
      <c r="B75" s="59" t="s">
        <v>254</v>
      </c>
    </row>
    <row r="76" spans="2:38" x14ac:dyDescent="0.25">
      <c r="B76" s="59" t="s">
        <v>255</v>
      </c>
    </row>
    <row r="77" spans="2:38" x14ac:dyDescent="0.25">
      <c r="B77" s="59" t="s">
        <v>256</v>
      </c>
    </row>
    <row r="78" spans="2:38" x14ac:dyDescent="0.25">
      <c r="B78" s="59" t="s">
        <v>257</v>
      </c>
    </row>
    <row r="79" spans="2:38" x14ac:dyDescent="0.25">
      <c r="B79" s="60" t="s">
        <v>258</v>
      </c>
    </row>
    <row r="80" spans="2:38" x14ac:dyDescent="0.25">
      <c r="B80" s="59" t="s">
        <v>259</v>
      </c>
    </row>
    <row r="81" spans="2:2" x14ac:dyDescent="0.25">
      <c r="B81" s="59" t="s">
        <v>88</v>
      </c>
    </row>
    <row r="82" spans="2:2" x14ac:dyDescent="0.25">
      <c r="B82" s="59" t="s">
        <v>89</v>
      </c>
    </row>
    <row r="83" spans="2:2" x14ac:dyDescent="0.25">
      <c r="B83" s="59" t="s">
        <v>91</v>
      </c>
    </row>
    <row r="84" spans="2:2" x14ac:dyDescent="0.25">
      <c r="B84" s="59" t="s">
        <v>92</v>
      </c>
    </row>
    <row r="85" spans="2:2" x14ac:dyDescent="0.25">
      <c r="B85" s="59" t="s">
        <v>90</v>
      </c>
    </row>
    <row r="86" spans="2:2" x14ac:dyDescent="0.25">
      <c r="B86" s="59" t="s">
        <v>69</v>
      </c>
    </row>
    <row r="87" spans="2:2" x14ac:dyDescent="0.25">
      <c r="B87" s="59" t="s">
        <v>107</v>
      </c>
    </row>
    <row r="88" spans="2:2" x14ac:dyDescent="0.25">
      <c r="B88" s="58" t="s">
        <v>216</v>
      </c>
    </row>
    <row r="89" spans="2:2" x14ac:dyDescent="0.25">
      <c r="B89" s="58" t="s">
        <v>108</v>
      </c>
    </row>
    <row r="90" spans="2:2" x14ac:dyDescent="0.25">
      <c r="B90" s="58" t="s">
        <v>217</v>
      </c>
    </row>
    <row r="91" spans="2:2" x14ac:dyDescent="0.25">
      <c r="B91" s="57" t="s">
        <v>70</v>
      </c>
    </row>
    <row r="92" spans="2:2" x14ac:dyDescent="0.25">
      <c r="B92" s="57" t="s">
        <v>260</v>
      </c>
    </row>
    <row r="93" spans="2:2" x14ac:dyDescent="0.25">
      <c r="B93" s="59" t="s">
        <v>69</v>
      </c>
    </row>
    <row r="94" spans="2:2" x14ac:dyDescent="0.25">
      <c r="B94" s="59" t="s">
        <v>107</v>
      </c>
    </row>
    <row r="95" spans="2:2" x14ac:dyDescent="0.25">
      <c r="B95" s="58" t="s">
        <v>218</v>
      </c>
    </row>
    <row r="96" spans="2:2" x14ac:dyDescent="0.25">
      <c r="B96" s="58" t="s">
        <v>108</v>
      </c>
    </row>
    <row r="97" spans="2:6" x14ac:dyDescent="0.25">
      <c r="B97" s="58" t="s">
        <v>219</v>
      </c>
    </row>
    <row r="98" spans="2:6" x14ac:dyDescent="0.25">
      <c r="B98" s="57" t="s">
        <v>70</v>
      </c>
    </row>
    <row r="99" spans="2:6" x14ac:dyDescent="0.25">
      <c r="B99" s="57" t="s">
        <v>262</v>
      </c>
    </row>
    <row r="100" spans="2:6" x14ac:dyDescent="0.25">
      <c r="B100" s="57" t="s">
        <v>264</v>
      </c>
      <c r="F100" s="163" t="s">
        <v>266</v>
      </c>
    </row>
    <row r="101" spans="2:6" x14ac:dyDescent="0.25">
      <c r="B101" s="154" t="s">
        <v>201</v>
      </c>
    </row>
    <row r="102" spans="2:6" x14ac:dyDescent="0.25">
      <c r="B102" s="154" t="s">
        <v>202</v>
      </c>
    </row>
    <row r="103" spans="2:6" x14ac:dyDescent="0.25">
      <c r="B103" s="57" t="s">
        <v>71</v>
      </c>
    </row>
    <row r="104" spans="2:6" x14ac:dyDescent="0.25">
      <c r="B104" s="57" t="s">
        <v>77</v>
      </c>
    </row>
    <row r="105" spans="2:6" x14ac:dyDescent="0.25">
      <c r="B105" s="154" t="s">
        <v>203</v>
      </c>
    </row>
    <row r="106" spans="2:6" x14ac:dyDescent="0.25">
      <c r="B106" s="57" t="s">
        <v>72</v>
      </c>
    </row>
    <row r="107" spans="2:6" x14ac:dyDescent="0.25">
      <c r="B107" s="57" t="s">
        <v>73</v>
      </c>
    </row>
    <row r="108" spans="2:6" x14ac:dyDescent="0.25">
      <c r="B108" s="155" t="s">
        <v>204</v>
      </c>
    </row>
    <row r="109" spans="2:6" x14ac:dyDescent="0.25">
      <c r="B109" s="60" t="s">
        <v>193</v>
      </c>
    </row>
    <row r="110" spans="2:6" x14ac:dyDescent="0.25">
      <c r="B110" s="154" t="s">
        <v>220</v>
      </c>
    </row>
    <row r="111" spans="2:6" x14ac:dyDescent="0.25">
      <c r="B111" s="57" t="s">
        <v>86</v>
      </c>
    </row>
    <row r="112" spans="2:6" x14ac:dyDescent="0.25">
      <c r="B112" s="154" t="s">
        <v>205</v>
      </c>
    </row>
    <row r="113" spans="2:2" x14ac:dyDescent="0.25">
      <c r="B113" s="57" t="s">
        <v>87</v>
      </c>
    </row>
    <row r="114" spans="2:2" x14ac:dyDescent="0.25">
      <c r="B114" s="154" t="s">
        <v>206</v>
      </c>
    </row>
    <row r="115" spans="2:2" x14ac:dyDescent="0.25">
      <c r="B115" s="57" t="s">
        <v>207</v>
      </c>
    </row>
    <row r="116" spans="2:2" x14ac:dyDescent="0.25">
      <c r="B116" s="154" t="s">
        <v>208</v>
      </c>
    </row>
    <row r="117" spans="2:2" x14ac:dyDescent="0.25">
      <c r="B117" s="57" t="s">
        <v>74</v>
      </c>
    </row>
    <row r="118" spans="2:2" x14ac:dyDescent="0.25">
      <c r="B118" s="57" t="s">
        <v>75</v>
      </c>
    </row>
    <row r="119" spans="2:2" x14ac:dyDescent="0.25">
      <c r="B119" s="57" t="s">
        <v>76</v>
      </c>
    </row>
    <row r="120" spans="2:2" x14ac:dyDescent="0.25">
      <c r="B120" s="57" t="s">
        <v>209</v>
      </c>
    </row>
    <row r="121" spans="2:2" x14ac:dyDescent="0.25">
      <c r="B121" s="57" t="s">
        <v>221</v>
      </c>
    </row>
    <row r="122" spans="2:2" x14ac:dyDescent="0.25">
      <c r="B122" s="57" t="s">
        <v>14</v>
      </c>
    </row>
    <row r="123" spans="2:2" x14ac:dyDescent="0.25">
      <c r="B123" s="152" t="s">
        <v>98</v>
      </c>
    </row>
    <row r="124" spans="2:2" x14ac:dyDescent="0.25">
      <c r="B124" s="152" t="s">
        <v>222</v>
      </c>
    </row>
    <row r="125" spans="2:2" x14ac:dyDescent="0.25">
      <c r="B125" s="57"/>
    </row>
  </sheetData>
  <sortState xmlns:xlrd2="http://schemas.microsoft.com/office/spreadsheetml/2017/richdata2" ref="AL3:AL92">
    <sortCondition ref="AL3:AL92"/>
  </sortState>
  <phoneticPr fontId="11" type="noConversion"/>
  <dataValidations count="1">
    <dataValidation type="list" allowBlank="1" showInputMessage="1" showErrorMessage="1" sqref="AL58:AL59 AL21:AL22" xr:uid="{9C3ED3CA-C35C-43AB-ABA5-3946ECEF25B1}">
      <formula1>"Update, Insert"</formula1>
    </dataValidation>
  </dataValidations>
  <pageMargins left="0.7" right="0.7" top="0.75" bottom="0.75" header="0.3" footer="0.3"/>
  <pageSetup orientation="portrait" horizontalDpi="4294967293" verticalDpi="4294967293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52814-C992-444F-A93C-B7F1ADA9B3C3}">
  <dimension ref="A1:V41"/>
  <sheetViews>
    <sheetView topLeftCell="A16" workbookViewId="0">
      <selection activeCell="C27" sqref="C27"/>
    </sheetView>
  </sheetViews>
  <sheetFormatPr defaultRowHeight="15" x14ac:dyDescent="0.25"/>
  <cols>
    <col min="9" max="9" width="10" bestFit="1" customWidth="1"/>
    <col min="10" max="10" width="10" customWidth="1"/>
    <col min="11" max="12" width="10" bestFit="1" customWidth="1"/>
    <col min="14" max="17" width="10" bestFit="1" customWidth="1"/>
    <col min="19" max="22" width="10" bestFit="1" customWidth="1"/>
  </cols>
  <sheetData>
    <row r="1" spans="1:22" x14ac:dyDescent="0.25">
      <c r="A1" s="76" t="s">
        <v>8</v>
      </c>
      <c r="B1" s="76" t="s">
        <v>2</v>
      </c>
      <c r="C1" t="s">
        <v>109</v>
      </c>
    </row>
    <row r="2" spans="1:22" x14ac:dyDescent="0.25">
      <c r="A2">
        <v>670</v>
      </c>
      <c r="B2">
        <v>570</v>
      </c>
    </row>
    <row r="3" spans="1:22" x14ac:dyDescent="0.25">
      <c r="A3">
        <v>610</v>
      </c>
      <c r="B3">
        <v>600</v>
      </c>
    </row>
    <row r="4" spans="1:22" x14ac:dyDescent="0.25">
      <c r="A4">
        <v>660</v>
      </c>
      <c r="B4">
        <v>650</v>
      </c>
    </row>
    <row r="5" spans="1:22" x14ac:dyDescent="0.25">
      <c r="A5">
        <f>SUM(A2:A4)</f>
        <v>1940</v>
      </c>
      <c r="B5">
        <f>SUM(B2:B4)</f>
        <v>1820</v>
      </c>
      <c r="I5" t="s">
        <v>144</v>
      </c>
      <c r="J5" t="str">
        <f>I5</f>
        <v>Example 1</v>
      </c>
      <c r="K5" t="str">
        <f>I5</f>
        <v>Example 1</v>
      </c>
      <c r="L5" t="str">
        <f>I5</f>
        <v>Example 1</v>
      </c>
      <c r="N5" t="s">
        <v>145</v>
      </c>
      <c r="O5" t="str">
        <f>N5</f>
        <v>Example 2</v>
      </c>
      <c r="P5" t="str">
        <f>N5</f>
        <v>Example 2</v>
      </c>
      <c r="Q5" t="str">
        <f>N5</f>
        <v>Example 2</v>
      </c>
      <c r="S5" t="s">
        <v>146</v>
      </c>
      <c r="T5" t="str">
        <f>S5</f>
        <v>Example 3</v>
      </c>
      <c r="U5" t="str">
        <f>S5</f>
        <v>Example 3</v>
      </c>
      <c r="V5" t="str">
        <f>S5</f>
        <v>Example 3</v>
      </c>
    </row>
    <row r="6" spans="1:22" x14ac:dyDescent="0.25">
      <c r="A6" s="76">
        <f>ROUND(AVERAGE(A2:A4),2)</f>
        <v>646.66999999999996</v>
      </c>
      <c r="B6" s="76">
        <f>ROUND(AVERAGE(B2:B4),2)</f>
        <v>606.66999999999996</v>
      </c>
      <c r="I6" t="s">
        <v>147</v>
      </c>
      <c r="J6" t="s">
        <v>148</v>
      </c>
      <c r="K6" t="s">
        <v>149</v>
      </c>
      <c r="L6" t="s">
        <v>150</v>
      </c>
      <c r="N6" t="s">
        <v>147</v>
      </c>
      <c r="O6" t="s">
        <v>148</v>
      </c>
      <c r="P6" t="s">
        <v>149</v>
      </c>
      <c r="Q6" t="s">
        <v>150</v>
      </c>
      <c r="S6" t="s">
        <v>147</v>
      </c>
      <c r="T6" t="s">
        <v>148</v>
      </c>
      <c r="U6" t="s">
        <v>149</v>
      </c>
      <c r="V6" t="s">
        <v>150</v>
      </c>
    </row>
    <row r="7" spans="1:22" x14ac:dyDescent="0.25">
      <c r="H7" t="s">
        <v>151</v>
      </c>
      <c r="I7" t="s">
        <v>1</v>
      </c>
      <c r="J7" t="s">
        <v>1</v>
      </c>
      <c r="K7" t="s">
        <v>152</v>
      </c>
      <c r="L7" t="s">
        <v>152</v>
      </c>
      <c r="N7" t="s">
        <v>1</v>
      </c>
      <c r="O7" t="s">
        <v>1</v>
      </c>
      <c r="P7" t="s">
        <v>152</v>
      </c>
      <c r="Q7" t="s">
        <v>152</v>
      </c>
      <c r="S7" t="s">
        <v>1</v>
      </c>
      <c r="T7" t="s">
        <v>1</v>
      </c>
      <c r="U7" t="s">
        <v>152</v>
      </c>
      <c r="V7" t="s">
        <v>152</v>
      </c>
    </row>
    <row r="8" spans="1:22" x14ac:dyDescent="0.25">
      <c r="A8" t="s">
        <v>110</v>
      </c>
      <c r="C8" t="s">
        <v>111</v>
      </c>
      <c r="H8" t="s">
        <v>153</v>
      </c>
      <c r="I8" s="32">
        <v>800</v>
      </c>
      <c r="J8" s="32">
        <v>800</v>
      </c>
      <c r="K8" s="32">
        <v>646.66666666666663</v>
      </c>
      <c r="L8" s="32">
        <v>646.66666666666663</v>
      </c>
      <c r="N8" s="32">
        <v>800</v>
      </c>
      <c r="O8" s="32">
        <v>800</v>
      </c>
      <c r="P8" s="32">
        <v>646.66666666666663</v>
      </c>
      <c r="Q8" s="32">
        <v>646.66666666666663</v>
      </c>
      <c r="S8" s="32">
        <v>800</v>
      </c>
      <c r="T8" s="32">
        <v>800</v>
      </c>
      <c r="U8" s="32">
        <v>646.66666666666663</v>
      </c>
      <c r="V8" s="32">
        <v>646.66666666666663</v>
      </c>
    </row>
    <row r="9" spans="1:22" x14ac:dyDescent="0.25">
      <c r="A9" t="s">
        <v>8</v>
      </c>
      <c r="B9" s="76">
        <v>0.28999999999999998</v>
      </c>
      <c r="C9">
        <f>A6</f>
        <v>646.66999999999996</v>
      </c>
      <c r="D9">
        <f>B9*C9</f>
        <v>187.53429999999997</v>
      </c>
      <c r="H9" t="s">
        <v>154</v>
      </c>
      <c r="I9" s="32">
        <v>700</v>
      </c>
      <c r="J9" s="32">
        <v>700</v>
      </c>
      <c r="K9" s="32">
        <v>606.66666666666663</v>
      </c>
      <c r="L9" s="32">
        <v>606.66666666666663</v>
      </c>
      <c r="N9" s="32">
        <v>700</v>
      </c>
      <c r="O9" s="32">
        <v>700</v>
      </c>
      <c r="P9" s="32">
        <v>606.66666666666663</v>
      </c>
      <c r="Q9" s="32">
        <v>606.66666666666663</v>
      </c>
      <c r="S9" s="32">
        <v>700</v>
      </c>
      <c r="T9" s="32">
        <v>700</v>
      </c>
      <c r="U9" s="32">
        <v>606.66666666666663</v>
      </c>
      <c r="V9" s="32">
        <v>606.66666666666663</v>
      </c>
    </row>
    <row r="10" spans="1:22" x14ac:dyDescent="0.25">
      <c r="A10" t="s">
        <v>2</v>
      </c>
      <c r="B10" s="76">
        <v>0.71</v>
      </c>
      <c r="C10">
        <f>B6</f>
        <v>606.66999999999996</v>
      </c>
      <c r="D10">
        <f>B10*C10</f>
        <v>430.73569999999995</v>
      </c>
      <c r="H10" t="s">
        <v>155</v>
      </c>
      <c r="I10">
        <v>0.4</v>
      </c>
      <c r="J10">
        <v>0.2</v>
      </c>
      <c r="K10">
        <v>0.35</v>
      </c>
      <c r="L10">
        <v>0.28999999999999998</v>
      </c>
      <c r="N10">
        <v>0.4</v>
      </c>
      <c r="O10">
        <v>0.2</v>
      </c>
      <c r="P10">
        <v>0.35</v>
      </c>
      <c r="Q10">
        <v>0.28999999999999998</v>
      </c>
      <c r="S10">
        <v>0.4</v>
      </c>
      <c r="T10">
        <v>0.2</v>
      </c>
      <c r="U10">
        <v>0.35</v>
      </c>
      <c r="V10">
        <v>0.28999999999999998</v>
      </c>
    </row>
    <row r="11" spans="1:22" x14ac:dyDescent="0.25">
      <c r="H11" t="s">
        <v>156</v>
      </c>
      <c r="I11">
        <v>0.6</v>
      </c>
      <c r="J11">
        <v>0.8</v>
      </c>
      <c r="K11">
        <v>0.65</v>
      </c>
      <c r="L11">
        <v>0.71</v>
      </c>
      <c r="N11">
        <v>0.6</v>
      </c>
      <c r="O11">
        <v>0.8</v>
      </c>
      <c r="P11">
        <v>0.65</v>
      </c>
      <c r="Q11">
        <v>0.71</v>
      </c>
      <c r="S11">
        <v>0.6</v>
      </c>
      <c r="T11">
        <v>0.8</v>
      </c>
      <c r="U11">
        <v>0.65</v>
      </c>
      <c r="V11">
        <v>0.71</v>
      </c>
    </row>
    <row r="12" spans="1:22" x14ac:dyDescent="0.25">
      <c r="A12" t="s">
        <v>112</v>
      </c>
      <c r="D12" s="1">
        <f>ROUND(SUM(D9:D10),2)</f>
        <v>618.27</v>
      </c>
      <c r="H12" t="s">
        <v>157</v>
      </c>
      <c r="I12" s="32">
        <f>(I8*I10)+(I9*I11)</f>
        <v>740</v>
      </c>
      <c r="J12" s="32">
        <f>(J8*J10)+(J9*J11)</f>
        <v>720</v>
      </c>
      <c r="K12" s="32">
        <f>(K8*K10)+(K9*K11)</f>
        <v>620.66666666666663</v>
      </c>
      <c r="L12" s="32">
        <f>(L8*L10)+(L9*L11)</f>
        <v>618.26666666666665</v>
      </c>
      <c r="N12" s="32">
        <f>(N8*N10)+(N9*N11)</f>
        <v>740</v>
      </c>
      <c r="O12" s="32">
        <f>(O8*O10)+(O9*O11)</f>
        <v>720</v>
      </c>
      <c r="P12" s="32">
        <f>(P8*P10)+(P9*P11)</f>
        <v>620.66666666666663</v>
      </c>
      <c r="Q12" s="32">
        <f>(Q8*Q10)+(Q9*Q11)</f>
        <v>618.26666666666665</v>
      </c>
      <c r="S12" s="32">
        <f>(S8*S10)+(S9*S11)</f>
        <v>740</v>
      </c>
      <c r="T12" s="32">
        <f>(T8*T10)+(T9*T11)</f>
        <v>720</v>
      </c>
      <c r="U12" s="32">
        <f>(U8*U10)+(U9*U11)</f>
        <v>620.66666666666663</v>
      </c>
      <c r="V12" s="32">
        <f>(V8*V10)+(V9*V11)</f>
        <v>618.26666666666665</v>
      </c>
    </row>
    <row r="13" spans="1:22" x14ac:dyDescent="0.25">
      <c r="B13" t="s">
        <v>113</v>
      </c>
      <c r="D13" s="1">
        <f>ROUND(E13*$D$12,2)</f>
        <v>711.01</v>
      </c>
      <c r="E13" s="76">
        <v>1.1499999999999999</v>
      </c>
      <c r="H13" t="s">
        <v>158</v>
      </c>
      <c r="I13" s="32">
        <f>I$12*$E13</f>
        <v>850.99999999999989</v>
      </c>
      <c r="J13" s="32">
        <f t="shared" ref="J13:L14" si="0">J$12*$E13</f>
        <v>827.99999999999989</v>
      </c>
      <c r="K13" s="32">
        <f t="shared" si="0"/>
        <v>713.76666666666654</v>
      </c>
      <c r="L13" s="32">
        <f t="shared" si="0"/>
        <v>711.00666666666655</v>
      </c>
      <c r="N13" s="32">
        <f>N$12*$E13</f>
        <v>850.99999999999989</v>
      </c>
      <c r="O13" s="32">
        <f t="shared" ref="O13:Q14" si="1">O$12*$E13</f>
        <v>827.99999999999989</v>
      </c>
      <c r="P13" s="32">
        <f t="shared" si="1"/>
        <v>713.76666666666654</v>
      </c>
      <c r="Q13" s="32">
        <f t="shared" si="1"/>
        <v>711.00666666666655</v>
      </c>
      <c r="S13" s="32">
        <f>S$12*$E13</f>
        <v>850.99999999999989</v>
      </c>
      <c r="T13" s="32">
        <f t="shared" ref="T13:V14" si="2">T$12*$E13</f>
        <v>827.99999999999989</v>
      </c>
      <c r="U13" s="32">
        <f t="shared" si="2"/>
        <v>713.76666666666654</v>
      </c>
      <c r="V13" s="32">
        <f t="shared" si="2"/>
        <v>711.00666666666655</v>
      </c>
    </row>
    <row r="14" spans="1:22" x14ac:dyDescent="0.25">
      <c r="B14" t="s">
        <v>114</v>
      </c>
      <c r="D14" s="1">
        <f>ROUND(E14*$D$12,2)</f>
        <v>525.53</v>
      </c>
      <c r="E14" s="76">
        <v>0.85</v>
      </c>
      <c r="H14" t="s">
        <v>159</v>
      </c>
      <c r="I14" s="32">
        <f>I$12*$E14</f>
        <v>629</v>
      </c>
      <c r="J14" s="32">
        <f t="shared" si="0"/>
        <v>612</v>
      </c>
      <c r="K14" s="32">
        <f t="shared" si="0"/>
        <v>527.56666666666661</v>
      </c>
      <c r="L14" s="32">
        <f t="shared" si="0"/>
        <v>525.52666666666664</v>
      </c>
      <c r="N14" s="32">
        <f>N$12*$E14</f>
        <v>629</v>
      </c>
      <c r="O14" s="32">
        <f t="shared" si="1"/>
        <v>612</v>
      </c>
      <c r="P14" s="32">
        <f t="shared" si="1"/>
        <v>527.56666666666661</v>
      </c>
      <c r="Q14" s="32">
        <f t="shared" si="1"/>
        <v>525.52666666666664</v>
      </c>
      <c r="S14" s="32">
        <f>S$12*$E14</f>
        <v>629</v>
      </c>
      <c r="T14" s="32">
        <f t="shared" si="2"/>
        <v>612</v>
      </c>
      <c r="U14" s="32">
        <f t="shared" si="2"/>
        <v>527.56666666666661</v>
      </c>
      <c r="V14" s="32">
        <f t="shared" si="2"/>
        <v>525.52666666666664</v>
      </c>
    </row>
    <row r="16" spans="1:22" x14ac:dyDescent="0.25">
      <c r="A16" t="s">
        <v>127</v>
      </c>
    </row>
    <row r="17" spans="1:22" x14ac:dyDescent="0.25">
      <c r="A17" t="s">
        <v>126</v>
      </c>
    </row>
    <row r="18" spans="1:22" x14ac:dyDescent="0.25">
      <c r="A18" t="s">
        <v>125</v>
      </c>
      <c r="C18" s="76">
        <v>3</v>
      </c>
      <c r="H18" t="s">
        <v>160</v>
      </c>
    </row>
    <row r="19" spans="1:22" x14ac:dyDescent="0.25">
      <c r="H19" t="s">
        <v>161</v>
      </c>
      <c r="I19" s="32">
        <v>976</v>
      </c>
      <c r="J19" s="32">
        <v>976</v>
      </c>
      <c r="K19" s="32">
        <v>800</v>
      </c>
      <c r="L19" s="32">
        <v>800</v>
      </c>
      <c r="N19" s="32">
        <v>880.00000000000011</v>
      </c>
      <c r="O19" s="32">
        <v>880.00000000000011</v>
      </c>
      <c r="P19" s="32">
        <v>582</v>
      </c>
      <c r="Q19" s="32">
        <v>582</v>
      </c>
      <c r="S19" s="32">
        <v>616</v>
      </c>
      <c r="T19" s="32">
        <v>616</v>
      </c>
      <c r="U19" s="32">
        <v>550</v>
      </c>
      <c r="V19" s="32">
        <v>550</v>
      </c>
    </row>
    <row r="20" spans="1:22" x14ac:dyDescent="0.25">
      <c r="A20" t="s">
        <v>128</v>
      </c>
      <c r="B20" s="13" t="s">
        <v>8</v>
      </c>
      <c r="C20" s="13" t="s">
        <v>2</v>
      </c>
      <c r="H20" t="s">
        <v>162</v>
      </c>
      <c r="I20" s="32">
        <v>854</v>
      </c>
      <c r="J20" s="32">
        <v>854</v>
      </c>
      <c r="K20" s="32">
        <v>750</v>
      </c>
      <c r="L20" s="32">
        <v>750</v>
      </c>
      <c r="N20" s="32">
        <v>770.00000000000011</v>
      </c>
      <c r="O20" s="32">
        <v>770.00000000000011</v>
      </c>
      <c r="P20" s="32">
        <v>546</v>
      </c>
      <c r="Q20" s="32">
        <v>546</v>
      </c>
      <c r="S20" s="32">
        <v>539</v>
      </c>
      <c r="T20" s="32">
        <v>539</v>
      </c>
      <c r="U20" s="32">
        <v>500</v>
      </c>
      <c r="V20" s="32">
        <v>500</v>
      </c>
    </row>
    <row r="21" spans="1:22" x14ac:dyDescent="0.25">
      <c r="A21" t="s">
        <v>115</v>
      </c>
      <c r="B21" s="78">
        <v>800</v>
      </c>
      <c r="C21" s="78">
        <v>750</v>
      </c>
      <c r="H21" t="s">
        <v>163</v>
      </c>
      <c r="I21" s="32">
        <f t="shared" ref="I21:L22" si="3">I19*I10</f>
        <v>390.40000000000003</v>
      </c>
      <c r="J21" s="32">
        <f t="shared" si="3"/>
        <v>195.20000000000002</v>
      </c>
      <c r="K21" s="32">
        <f t="shared" si="3"/>
        <v>280</v>
      </c>
      <c r="L21" s="32">
        <f t="shared" si="3"/>
        <v>231.99999999999997</v>
      </c>
      <c r="N21" s="32">
        <f t="shared" ref="N21:Q22" si="4">N19*N10</f>
        <v>352.00000000000006</v>
      </c>
      <c r="O21" s="32">
        <f t="shared" si="4"/>
        <v>176.00000000000003</v>
      </c>
      <c r="P21" s="32">
        <f t="shared" si="4"/>
        <v>203.7</v>
      </c>
      <c r="Q21" s="32">
        <f t="shared" si="4"/>
        <v>168.78</v>
      </c>
      <c r="S21" s="32">
        <f t="shared" ref="S21:V22" si="5">S19*S10</f>
        <v>246.4</v>
      </c>
      <c r="T21" s="32">
        <f t="shared" si="5"/>
        <v>123.2</v>
      </c>
      <c r="U21" s="32">
        <f t="shared" si="5"/>
        <v>192.5</v>
      </c>
      <c r="V21" s="32">
        <f t="shared" si="5"/>
        <v>159.5</v>
      </c>
    </row>
    <row r="22" spans="1:22" x14ac:dyDescent="0.25">
      <c r="A22" t="s">
        <v>116</v>
      </c>
      <c r="B22">
        <v>0.28999999999999998</v>
      </c>
      <c r="C22">
        <v>0.71</v>
      </c>
      <c r="H22" t="s">
        <v>164</v>
      </c>
      <c r="I22" s="32">
        <f t="shared" si="3"/>
        <v>512.4</v>
      </c>
      <c r="J22" s="32">
        <f t="shared" si="3"/>
        <v>683.2</v>
      </c>
      <c r="K22" s="32">
        <f t="shared" si="3"/>
        <v>487.5</v>
      </c>
      <c r="L22" s="32">
        <f t="shared" si="3"/>
        <v>532.5</v>
      </c>
      <c r="N22" s="32">
        <f t="shared" si="4"/>
        <v>462.00000000000006</v>
      </c>
      <c r="O22" s="32">
        <f t="shared" si="4"/>
        <v>616.00000000000011</v>
      </c>
      <c r="P22" s="32">
        <f t="shared" si="4"/>
        <v>354.90000000000003</v>
      </c>
      <c r="Q22" s="32">
        <f t="shared" si="4"/>
        <v>387.65999999999997</v>
      </c>
      <c r="S22" s="32">
        <f t="shared" si="5"/>
        <v>323.39999999999998</v>
      </c>
      <c r="T22" s="32">
        <f t="shared" si="5"/>
        <v>431.20000000000005</v>
      </c>
      <c r="U22" s="32">
        <f t="shared" si="5"/>
        <v>325</v>
      </c>
      <c r="V22" s="32">
        <f t="shared" si="5"/>
        <v>355</v>
      </c>
    </row>
    <row r="23" spans="1:22" x14ac:dyDescent="0.25">
      <c r="B23">
        <f>B22*B21</f>
        <v>231.99999999999997</v>
      </c>
      <c r="C23">
        <f>C22*C21</f>
        <v>532.5</v>
      </c>
      <c r="D23" s="79">
        <f>B23+C23</f>
        <v>764.5</v>
      </c>
      <c r="E23" s="77" t="s">
        <v>131</v>
      </c>
      <c r="H23" t="s">
        <v>165</v>
      </c>
      <c r="I23" s="32">
        <f>SUM(I21:I22)</f>
        <v>902.8</v>
      </c>
      <c r="J23" s="32">
        <f>SUM(J21:J22)</f>
        <v>878.40000000000009</v>
      </c>
      <c r="K23" s="32">
        <f>SUM(K21:K22)</f>
        <v>767.5</v>
      </c>
      <c r="L23" s="32">
        <f>SUM(L21:L22)</f>
        <v>764.5</v>
      </c>
      <c r="N23" s="32">
        <f>SUM(N21:N22)</f>
        <v>814.00000000000011</v>
      </c>
      <c r="O23" s="32">
        <f>SUM(O21:O22)</f>
        <v>792.00000000000011</v>
      </c>
      <c r="P23" s="32">
        <f>SUM(P21:P22)</f>
        <v>558.6</v>
      </c>
      <c r="Q23" s="32">
        <f>SUM(Q21:Q22)</f>
        <v>556.43999999999994</v>
      </c>
      <c r="S23" s="32">
        <f>SUM(S21:S22)</f>
        <v>569.79999999999995</v>
      </c>
      <c r="T23" s="32">
        <f>SUM(T21:T22)</f>
        <v>554.40000000000009</v>
      </c>
      <c r="U23" s="32">
        <f>SUM(U21:U22)</f>
        <v>517.5</v>
      </c>
      <c r="V23" s="32">
        <f>SUM(V21:V22)</f>
        <v>514.5</v>
      </c>
    </row>
    <row r="24" spans="1:22" x14ac:dyDescent="0.25">
      <c r="D24">
        <f>IF(D23&gt;D13,D13,IF(D23&lt;D14,D14,0))</f>
        <v>711.01</v>
      </c>
      <c r="E24" t="s">
        <v>117</v>
      </c>
      <c r="H24" t="s">
        <v>166</v>
      </c>
      <c r="I24" s="32">
        <f>IF(I23&gt;I13,I23-I13,IF(I23&lt;I14,I23-I14,0))</f>
        <v>51.800000000000068</v>
      </c>
      <c r="J24" s="32">
        <f>IF(J23&gt;J13,J23-J13,IF(J23&lt;J14,J23-J14,0))</f>
        <v>50.400000000000205</v>
      </c>
      <c r="K24" s="32">
        <f>IF(K23&gt;K13,K23-K13,IF(K23&lt;K14,K23-K14,0))</f>
        <v>53.733333333333462</v>
      </c>
      <c r="L24" s="32">
        <f>IF(L23&gt;L13,L23-L13,IF(L23&lt;L14,L23-L14,0))</f>
        <v>53.493333333333453</v>
      </c>
      <c r="N24" s="32">
        <f>IF(N23&gt;N13,N23-N13,IF(N23&lt;N14,N23-N14,0))</f>
        <v>0</v>
      </c>
      <c r="O24" s="32">
        <f>IF(O23&gt;O13,O23-O13,IF(O23&lt;O14,O23-O14,0))</f>
        <v>0</v>
      </c>
      <c r="P24" s="32">
        <f>IF(P23&gt;P13,P23-P13,IF(P23&lt;P14,P23-P14,0))</f>
        <v>0</v>
      </c>
      <c r="Q24" s="32">
        <f>IF(Q23&gt;Q13,Q23-Q13,IF(Q23&lt;Q14,Q23-Q14,0))</f>
        <v>0</v>
      </c>
      <c r="S24" s="32">
        <f>IF(S23&gt;S13,S23-S13,IF(S23&lt;S14,S23-S14,0))</f>
        <v>-59.200000000000045</v>
      </c>
      <c r="T24" s="32">
        <f>IF(T23&gt;T13,T23-T13,IF(T23&lt;T14,T23-T14,0))</f>
        <v>-57.599999999999909</v>
      </c>
      <c r="U24" s="32">
        <f>IF(U23&gt;U13,U23-U13,IF(U23&lt;U14,U23-U14,0))</f>
        <v>-10.066666666666606</v>
      </c>
      <c r="V24" s="32">
        <f>IF(V23&gt;V13,V23-V13,IF(V23&lt;V14,V23-V14,0))</f>
        <v>-11.026666666666642</v>
      </c>
    </row>
    <row r="25" spans="1:22" x14ac:dyDescent="0.25">
      <c r="D25">
        <f>IF(D23&gt;D13,D23-D13,IF(D23&lt;D14,D23-D14,0))</f>
        <v>53.490000000000009</v>
      </c>
      <c r="E25" t="s">
        <v>118</v>
      </c>
    </row>
    <row r="26" spans="1:22" ht="15.75" thickBot="1" x14ac:dyDescent="0.3">
      <c r="A26" t="s">
        <v>119</v>
      </c>
      <c r="C26" s="3" t="s">
        <v>129</v>
      </c>
      <c r="H26" t="s">
        <v>167</v>
      </c>
      <c r="I26">
        <v>0.24</v>
      </c>
      <c r="J26">
        <v>0.26400000000000001</v>
      </c>
      <c r="K26">
        <v>0.253</v>
      </c>
      <c r="L26">
        <v>0.24199999999999999</v>
      </c>
      <c r="N26">
        <v>0.24</v>
      </c>
      <c r="O26">
        <v>0.26400000000000001</v>
      </c>
      <c r="P26">
        <v>0.253</v>
      </c>
      <c r="Q26">
        <v>0.24199999999999999</v>
      </c>
      <c r="S26">
        <v>0.24</v>
      </c>
      <c r="T26">
        <v>0.26400000000000001</v>
      </c>
      <c r="U26">
        <v>0.253</v>
      </c>
      <c r="V26">
        <v>0.24199999999999999</v>
      </c>
    </row>
    <row r="27" spans="1:22" x14ac:dyDescent="0.25">
      <c r="A27" t="s">
        <v>130</v>
      </c>
      <c r="B27" s="76">
        <v>0.24199999999999999</v>
      </c>
      <c r="C27" s="3">
        <f>ROUND($D$25*B27,2)</f>
        <v>12.94</v>
      </c>
      <c r="D27" s="127">
        <v>12.945386666666696</v>
      </c>
      <c r="I27">
        <v>0.47</v>
      </c>
      <c r="J27">
        <v>0.49399999999999999</v>
      </c>
      <c r="K27">
        <v>0.48299999999999998</v>
      </c>
      <c r="L27">
        <v>0.47199999999999998</v>
      </c>
      <c r="N27">
        <v>0.47</v>
      </c>
      <c r="O27">
        <v>0.49399999999999999</v>
      </c>
      <c r="P27">
        <v>0.48299999999999998</v>
      </c>
      <c r="Q27">
        <v>0.47199999999999998</v>
      </c>
      <c r="S27">
        <v>0.47</v>
      </c>
      <c r="T27">
        <v>0.49399999999999999</v>
      </c>
      <c r="U27">
        <v>0.48299999999999998</v>
      </c>
      <c r="V27">
        <v>0.47199999999999998</v>
      </c>
    </row>
    <row r="28" spans="1:22" x14ac:dyDescent="0.25">
      <c r="A28" t="s">
        <v>4</v>
      </c>
      <c r="B28" s="76">
        <v>0.47199999999999998</v>
      </c>
      <c r="C28" s="3">
        <f>ROUND($D$25*B28,2)</f>
        <v>25.25</v>
      </c>
      <c r="D28" s="129">
        <v>25.24885333333339</v>
      </c>
      <c r="I28">
        <v>1.3000000000000001E-2</v>
      </c>
      <c r="J28">
        <v>3.7000000000000005E-2</v>
      </c>
      <c r="K28">
        <v>2.6000000000000006E-2</v>
      </c>
      <c r="L28">
        <v>1.4999999999999999E-2</v>
      </c>
      <c r="N28">
        <v>1.3000000000000001E-2</v>
      </c>
      <c r="O28">
        <v>3.7000000000000005E-2</v>
      </c>
      <c r="P28">
        <v>2.6000000000000006E-2</v>
      </c>
      <c r="Q28">
        <v>1.4999999999999999E-2</v>
      </c>
      <c r="S28">
        <v>1.3000000000000001E-2</v>
      </c>
      <c r="T28">
        <v>3.7000000000000005E-2</v>
      </c>
      <c r="U28">
        <v>2.6000000000000006E-2</v>
      </c>
      <c r="V28">
        <v>1.4999999999999999E-2</v>
      </c>
    </row>
    <row r="29" spans="1:22" ht="15.75" thickBot="1" x14ac:dyDescent="0.3">
      <c r="A29" t="s">
        <v>5</v>
      </c>
      <c r="B29" s="76">
        <v>1.4999999999999999E-2</v>
      </c>
      <c r="C29" s="3">
        <f>ROUND($D$25*B29,2)</f>
        <v>0.8</v>
      </c>
      <c r="D29" s="131">
        <v>0.80240000000000178</v>
      </c>
    </row>
    <row r="31" spans="1:22" x14ac:dyDescent="0.25">
      <c r="H31" t="str">
        <f>A27</f>
        <v>TEU(20F)</v>
      </c>
      <c r="I31" s="32">
        <f t="shared" ref="I31:J33" si="6">I$24*I26</f>
        <v>12.432000000000016</v>
      </c>
      <c r="J31" s="32">
        <f t="shared" si="6"/>
        <v>13.305600000000055</v>
      </c>
      <c r="K31" s="32">
        <f t="shared" ref="K31:L33" si="7">K$24*K26</f>
        <v>13.594533333333366</v>
      </c>
      <c r="L31" s="32">
        <f t="shared" si="7"/>
        <v>12.945386666666696</v>
      </c>
      <c r="N31" s="32">
        <f t="shared" ref="N31:O33" si="8">N$24*N26</f>
        <v>0</v>
      </c>
      <c r="O31" s="32">
        <f t="shared" si="8"/>
        <v>0</v>
      </c>
      <c r="P31" s="32">
        <f t="shared" ref="P31:Q33" si="9">P$24*P26</f>
        <v>0</v>
      </c>
      <c r="Q31" s="32">
        <f t="shared" si="9"/>
        <v>0</v>
      </c>
      <c r="S31" s="32">
        <f t="shared" ref="S31:T33" si="10">S$24*S26</f>
        <v>-14.208000000000011</v>
      </c>
      <c r="T31" s="32">
        <f t="shared" si="10"/>
        <v>-15.206399999999977</v>
      </c>
      <c r="U31" s="32">
        <f t="shared" ref="U31:V33" si="11">U$24*U26</f>
        <v>-2.5468666666666513</v>
      </c>
      <c r="V31" s="32">
        <f t="shared" si="11"/>
        <v>-2.6684533333333276</v>
      </c>
    </row>
    <row r="32" spans="1:22" x14ac:dyDescent="0.25">
      <c r="H32" t="str">
        <f>A28</f>
        <v>FEU</v>
      </c>
      <c r="I32" s="32">
        <f t="shared" si="6"/>
        <v>24.346000000000032</v>
      </c>
      <c r="J32" s="32">
        <f t="shared" si="6"/>
        <v>24.8976000000001</v>
      </c>
      <c r="K32" s="32">
        <f t="shared" si="7"/>
        <v>25.953200000000063</v>
      </c>
      <c r="L32" s="32">
        <f t="shared" si="7"/>
        <v>25.24885333333339</v>
      </c>
      <c r="N32" s="32">
        <f t="shared" si="8"/>
        <v>0</v>
      </c>
      <c r="O32" s="32">
        <f t="shared" si="8"/>
        <v>0</v>
      </c>
      <c r="P32" s="32">
        <f t="shared" si="9"/>
        <v>0</v>
      </c>
      <c r="Q32" s="32">
        <f t="shared" si="9"/>
        <v>0</v>
      </c>
      <c r="S32" s="32">
        <f t="shared" si="10"/>
        <v>-27.824000000000019</v>
      </c>
      <c r="T32" s="32">
        <f t="shared" si="10"/>
        <v>-28.454399999999954</v>
      </c>
      <c r="U32" s="32">
        <f t="shared" si="11"/>
        <v>-4.8621999999999703</v>
      </c>
      <c r="V32" s="32">
        <f t="shared" si="11"/>
        <v>-5.2045866666666551</v>
      </c>
    </row>
    <row r="33" spans="8:22" x14ac:dyDescent="0.25">
      <c r="H33" t="str">
        <f>A29</f>
        <v>MTON</v>
      </c>
      <c r="I33" s="32">
        <f t="shared" si="6"/>
        <v>0.673400000000001</v>
      </c>
      <c r="J33" s="32">
        <f t="shared" si="6"/>
        <v>1.8648000000000078</v>
      </c>
      <c r="K33" s="32">
        <f t="shared" si="7"/>
        <v>1.3970666666666702</v>
      </c>
      <c r="L33" s="32">
        <f t="shared" si="7"/>
        <v>0.80240000000000178</v>
      </c>
      <c r="N33" s="32">
        <f t="shared" si="8"/>
        <v>0</v>
      </c>
      <c r="O33" s="32">
        <f t="shared" si="8"/>
        <v>0</v>
      </c>
      <c r="P33" s="32">
        <f t="shared" si="9"/>
        <v>0</v>
      </c>
      <c r="Q33" s="32">
        <f t="shared" si="9"/>
        <v>0</v>
      </c>
      <c r="S33" s="32">
        <f t="shared" si="10"/>
        <v>-0.76960000000000062</v>
      </c>
      <c r="T33" s="32">
        <f t="shared" si="10"/>
        <v>-2.1311999999999971</v>
      </c>
      <c r="U33" s="32">
        <f t="shared" si="11"/>
        <v>-0.26173333333333182</v>
      </c>
      <c r="V33" s="32">
        <f t="shared" si="11"/>
        <v>-0.16539999999999963</v>
      </c>
    </row>
    <row r="35" spans="8:22" x14ac:dyDescent="0.25">
      <c r="I35" s="32">
        <v>12.431999999999988</v>
      </c>
      <c r="J35" s="32">
        <v>13.305600000000025</v>
      </c>
      <c r="K35" s="32">
        <v>13.594533333333338</v>
      </c>
      <c r="L35" s="32">
        <v>12.945386666666696</v>
      </c>
      <c r="S35" s="32">
        <v>-14.208000000000011</v>
      </c>
      <c r="T35" s="32">
        <v>-15.206399999999977</v>
      </c>
      <c r="U35" s="32">
        <v>-2.5468666666666513</v>
      </c>
      <c r="V35" s="32">
        <v>-2.6684533333333276</v>
      </c>
    </row>
    <row r="36" spans="8:22" x14ac:dyDescent="0.25">
      <c r="I36" s="32">
        <v>24.345999999999979</v>
      </c>
      <c r="J36" s="32">
        <v>24.897600000000043</v>
      </c>
      <c r="K36" s="32">
        <v>25.953200000000006</v>
      </c>
      <c r="L36" s="32">
        <v>25.24885333333339</v>
      </c>
      <c r="S36" s="32">
        <v>-27.824000000000019</v>
      </c>
      <c r="T36" s="32">
        <v>-28.454399999999954</v>
      </c>
      <c r="U36" s="32">
        <v>-4.8621999999999703</v>
      </c>
      <c r="V36" s="32">
        <v>-5.2045866666666551</v>
      </c>
    </row>
    <row r="37" spans="8:22" x14ac:dyDescent="0.25">
      <c r="I37" s="32">
        <v>0.67339999999999944</v>
      </c>
      <c r="J37" s="32">
        <v>1.8648000000000036</v>
      </c>
      <c r="K37" s="32">
        <v>1.3970666666666673</v>
      </c>
      <c r="L37" s="32">
        <v>0.80240000000000178</v>
      </c>
      <c r="S37" s="32">
        <v>-0.76960000000000062</v>
      </c>
      <c r="T37" s="32">
        <v>-2.1311999999999971</v>
      </c>
      <c r="U37" s="32">
        <v>-0.26173333333333182</v>
      </c>
      <c r="V37" s="32">
        <v>-0.16539999999999963</v>
      </c>
    </row>
    <row r="39" spans="8:22" x14ac:dyDescent="0.25">
      <c r="I39" t="b">
        <f>ROUND(I35,2)=ROUND(I31,2)</f>
        <v>1</v>
      </c>
      <c r="J39" t="b">
        <f t="shared" ref="J39:L41" si="12">ROUND(J35,2)=ROUND(J31,2)</f>
        <v>1</v>
      </c>
      <c r="K39" t="b">
        <f t="shared" si="12"/>
        <v>1</v>
      </c>
      <c r="L39" t="b">
        <f t="shared" si="12"/>
        <v>1</v>
      </c>
      <c r="N39" t="b">
        <f t="shared" ref="N39:Q41" si="13">ROUND(N35,2)=ROUND(N31,2)</f>
        <v>1</v>
      </c>
      <c r="O39" t="b">
        <f t="shared" si="13"/>
        <v>1</v>
      </c>
      <c r="P39" t="b">
        <f t="shared" si="13"/>
        <v>1</v>
      </c>
      <c r="Q39" t="b">
        <f t="shared" si="13"/>
        <v>1</v>
      </c>
      <c r="S39" t="b">
        <f t="shared" ref="S39:V41" si="14">ROUND(S35,2)=ROUND(S31,2)</f>
        <v>1</v>
      </c>
      <c r="T39" t="b">
        <f t="shared" si="14"/>
        <v>1</v>
      </c>
      <c r="U39" t="b">
        <f t="shared" si="14"/>
        <v>1</v>
      </c>
      <c r="V39" t="b">
        <f t="shared" si="14"/>
        <v>1</v>
      </c>
    </row>
    <row r="40" spans="8:22" x14ac:dyDescent="0.25">
      <c r="I40" t="b">
        <f>ROUND(I36,2)=ROUND(I32,2)</f>
        <v>1</v>
      </c>
      <c r="J40" t="b">
        <f t="shared" si="12"/>
        <v>1</v>
      </c>
      <c r="K40" t="b">
        <f t="shared" si="12"/>
        <v>1</v>
      </c>
      <c r="L40" t="b">
        <f t="shared" si="12"/>
        <v>1</v>
      </c>
      <c r="N40" t="b">
        <f t="shared" si="13"/>
        <v>1</v>
      </c>
      <c r="O40" t="b">
        <f t="shared" si="13"/>
        <v>1</v>
      </c>
      <c r="P40" t="b">
        <f t="shared" si="13"/>
        <v>1</v>
      </c>
      <c r="Q40" t="b">
        <f t="shared" si="13"/>
        <v>1</v>
      </c>
      <c r="S40" t="b">
        <f t="shared" si="14"/>
        <v>1</v>
      </c>
      <c r="T40" t="b">
        <f t="shared" si="14"/>
        <v>1</v>
      </c>
      <c r="U40" t="b">
        <f t="shared" si="14"/>
        <v>1</v>
      </c>
      <c r="V40" t="b">
        <f t="shared" si="14"/>
        <v>1</v>
      </c>
    </row>
    <row r="41" spans="8:22" x14ac:dyDescent="0.25">
      <c r="I41" t="b">
        <f>ROUND(I37,2)=ROUND(I33,2)</f>
        <v>1</v>
      </c>
      <c r="J41" t="b">
        <f t="shared" si="12"/>
        <v>1</v>
      </c>
      <c r="K41" t="b">
        <f t="shared" si="12"/>
        <v>1</v>
      </c>
      <c r="L41" t="b">
        <f t="shared" si="12"/>
        <v>1</v>
      </c>
      <c r="N41" t="b">
        <f t="shared" si="13"/>
        <v>1</v>
      </c>
      <c r="O41" t="b">
        <f t="shared" si="13"/>
        <v>1</v>
      </c>
      <c r="P41" t="b">
        <f t="shared" si="13"/>
        <v>1</v>
      </c>
      <c r="Q41" t="b">
        <f t="shared" si="13"/>
        <v>1</v>
      </c>
      <c r="S41" t="b">
        <f t="shared" si="14"/>
        <v>1</v>
      </c>
      <c r="T41" t="b">
        <f t="shared" si="14"/>
        <v>1</v>
      </c>
      <c r="U41" t="b">
        <f t="shared" si="14"/>
        <v>1</v>
      </c>
      <c r="V41" t="b">
        <f t="shared" si="14"/>
        <v>1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19394dc9-165d-4ff9-a833-4f1e8c9e3ae6">SDDCIBS-31-3445</_dlc_DocId>
    <_dlc_DocIdUrl xmlns="19394dc9-165d-4ff9-a833-4f1e8c9e3ae6">
      <Url>https://icenter.saic.com/sites/SDDC_IBS/TeamWork/_layouts/15/DocIdRedir.aspx?ID=SDDCIBS-31-3445</Url>
      <Description>SDDCIBS-31-3445</Description>
    </_dlc_DocIdUrl>
    <Document_x0020_Description xmlns="37aa9156-1da4-4a16-b1d3-1adaa39f5571" xsi:nil="true"/>
    <fba0470b712f401b95567fdc4bc448a6 xmlns="19394dc9-165d-4ff9-a833-4f1e8c9e3ae6">
      <Terms xmlns="http://schemas.microsoft.com/office/infopath/2007/PartnerControls"/>
    </fba0470b712f401b95567fdc4bc448a6>
    <TaxCatchAll xmlns="19394dc9-165d-4ff9-a833-4f1e8c9e3ae6"/>
    <i89710ca700a4618b02094ef44fecf12 xmlns="19394dc9-165d-4ff9-a833-4f1e8c9e3ae6">
      <Terms xmlns="http://schemas.microsoft.com/office/infopath/2007/PartnerControls"/>
    </i89710ca700a4618b02094ef44fecf12>
    <g4dfacd043274e11b56cf67f7005b8ec xmlns="19394dc9-165d-4ff9-a833-4f1e8c9e3ae6">
      <Terms xmlns="http://schemas.microsoft.com/office/infopath/2007/PartnerControls"/>
    </g4dfacd043274e11b56cf67f7005b8ec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5424C19026BC49B5EA0131A9E3D729" ma:contentTypeVersion="10" ma:contentTypeDescription="Create a new document." ma:contentTypeScope="" ma:versionID="37a1284088f8ff4fc12cd7c94d60b13d">
  <xsd:schema xmlns:xsd="http://www.w3.org/2001/XMLSchema" xmlns:xs="http://www.w3.org/2001/XMLSchema" xmlns:p="http://schemas.microsoft.com/office/2006/metadata/properties" xmlns:ns2="19394dc9-165d-4ff9-a833-4f1e8c9e3ae6" xmlns:ns3="37aa9156-1da4-4a16-b1d3-1adaa39f5571" targetNamespace="http://schemas.microsoft.com/office/2006/metadata/properties" ma:root="true" ma:fieldsID="a208efcc21a76ee1ce8b26b8299098a4" ns2:_="" ns3:_="">
    <xsd:import namespace="19394dc9-165d-4ff9-a833-4f1e8c9e3ae6"/>
    <xsd:import namespace="37aa9156-1da4-4a16-b1d3-1adaa39f5571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Document_x0020_Description" minOccurs="0"/>
                <xsd:element ref="ns2:i89710ca700a4618b02094ef44fecf12" minOccurs="0"/>
                <xsd:element ref="ns2:TaxCatchAll" minOccurs="0"/>
                <xsd:element ref="ns2:fba0470b712f401b95567fdc4bc448a6" minOccurs="0"/>
                <xsd:element ref="ns2:g4dfacd043274e11b56cf67f7005b8ec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394dc9-165d-4ff9-a833-4f1e8c9e3ae6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i89710ca700a4618b02094ef44fecf12" ma:index="13" nillable="true" ma:taxonomy="true" ma:internalName="i89710ca700a4618b02094ef44fecf12" ma:taxonomyFieldName="Document_x0020_Type" ma:displayName="Document Type" ma:indexed="true" ma:default="" ma:fieldId="{289710ca-700a-4618-b020-94ef44fecf12}" ma:sspId="20214cad-cac3-4ab9-9550-9f73725da02b" ma:termSetId="7dc8783c-1e42-4aed-b405-f840e01cf9bb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TaxCatchAll" ma:index="14" nillable="true" ma:displayName="Taxonomy Catch All Column" ma:hidden="true" ma:list="{19c1fb0c-9abc-4627-b21e-1e7e2823ab51}" ma:internalName="TaxCatchAll" ma:showField="CatchAllData" ma:web="19394dc9-165d-4ff9-a833-4f1e8c9e3ae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ba0470b712f401b95567fdc4bc448a6" ma:index="16" nillable="true" ma:taxonomy="true" ma:internalName="fba0470b712f401b95567fdc4bc448a6" ma:taxonomyFieldName="IBS_x0020_Context" ma:displayName="IBS Context" ma:default="" ma:fieldId="{fba0470b-712f-401b-9556-7fdc4bc448a6}" ma:taxonomyMulti="true" ma:sspId="20214cad-cac3-4ab9-9550-9f73725da02b" ma:termSetId="da90f0b4-08e5-4650-84ff-116a529fb791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g4dfacd043274e11b56cf67f7005b8ec" ma:index="18" nillable="true" ma:taxonomy="true" ma:internalName="g4dfacd043274e11b56cf67f7005b8ec" ma:taxonomyFieldName="Originator" ma:displayName="Originator" ma:indexed="true" ma:default="" ma:fieldId="{04dfacd0-4327-4e11-b56c-f67f7005b8ec}" ma:sspId="20214cad-cac3-4ab9-9550-9f73725da02b" ma:termSetId="dc612104-a320-40d7-b3ef-b089881e4d14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aa9156-1da4-4a16-b1d3-1adaa39f5571" elementFormDefault="qualified">
    <xsd:import namespace="http://schemas.microsoft.com/office/2006/documentManagement/types"/>
    <xsd:import namespace="http://schemas.microsoft.com/office/infopath/2007/PartnerControls"/>
    <xsd:element name="Document_x0020_Description" ma:index="11" nillable="true" ma:displayName="Document Description" ma:description="Document Description" ma:internalName="Document_x0020_Descrip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5CA5D53-B424-4799-8781-8D7843337A33}">
  <ds:schemaRefs>
    <ds:schemaRef ds:uri="http://schemas.microsoft.com/office/2006/metadata/properties"/>
    <ds:schemaRef ds:uri="http://schemas.microsoft.com/office/infopath/2007/PartnerControls"/>
    <ds:schemaRef ds:uri="19394dc9-165d-4ff9-a833-4f1e8c9e3ae6"/>
    <ds:schemaRef ds:uri="37aa9156-1da4-4a16-b1d3-1adaa39f5571"/>
  </ds:schemaRefs>
</ds:datastoreItem>
</file>

<file path=customXml/itemProps2.xml><?xml version="1.0" encoding="utf-8"?>
<ds:datastoreItem xmlns:ds="http://schemas.openxmlformats.org/officeDocument/2006/customXml" ds:itemID="{0843F92F-BD97-4C05-9FA4-5816CF8B6B4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5ED39D9-757D-476C-B48E-C5F4F0C4223C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BF85309E-53A6-4568-B82E-254AE5FAFB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394dc9-165d-4ff9-a833-4f1e8c9e3ae6"/>
    <ds:schemaRef ds:uri="37aa9156-1da4-4a16-b1d3-1adaa39f55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Example</vt:lpstr>
      <vt:lpstr>BAF PDM Summary</vt:lpstr>
      <vt:lpstr>project</vt:lpstr>
      <vt:lpstr>BAF Location</vt:lpstr>
      <vt:lpstr>BAF Fuel Type</vt:lpstr>
      <vt:lpstr>route</vt:lpstr>
      <vt:lpstr>cargo_type</vt:lpstr>
      <vt:lpstr>baf_freight_payable_unit</vt:lpstr>
      <vt:lpstr>project_baf_parameter</vt:lpstr>
      <vt:lpstr>project_baf_location</vt:lpstr>
      <vt:lpstr>project_baf_fuel_type</vt:lpstr>
      <vt:lpstr>project_baf_baseline_fuel_price</vt:lpstr>
      <vt:lpstr>project_baf_route_location</vt:lpstr>
      <vt:lpstr>project_baf_route_fuel_mixing_%</vt:lpstr>
      <vt:lpstr>project_baf_technical_factor</vt:lpstr>
      <vt:lpstr>baf_monthly_fuel_price</vt:lpstr>
      <vt:lpstr>Project BAF Rate Gen Buffers VW</vt:lpstr>
      <vt:lpstr>Project BAF Rate Gen Prices VW</vt:lpstr>
      <vt:lpstr>Project BAF Rates Gen Source VW</vt:lpstr>
      <vt:lpstr>Validation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Tom Bubb</dc:creator>
  <cp:lastModifiedBy>Tom Bubb</cp:lastModifiedBy>
  <dcterms:created xsi:type="dcterms:W3CDTF">2021-03-04T15:10:20Z</dcterms:created>
  <dcterms:modified xsi:type="dcterms:W3CDTF">2022-02-15T20:36:35Z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0x010100415424C19026BC49B5EA0131A9E3D729</vt:lpwstr>
  </property>
  <property fmtid="{D5CDD505-2E9C-101B-9397-08002B2CF9AE}" pid="3" name="_dlc_DocIdItemGuid">
    <vt:lpwstr>afa11822-632e-4dbb-b905-4a050d353071</vt:lpwstr>
  </property>
  <property fmtid="{D5CDD505-2E9C-101B-9397-08002B2CF9AE}" pid="4" name="IBS Context">
    <vt:lpwstr/>
  </property>
  <property fmtid="{D5CDD505-2E9C-101B-9397-08002B2CF9AE}" pid="5" name="Originator">
    <vt:lpwstr/>
  </property>
  <property fmtid="{D5CDD505-2E9C-101B-9397-08002B2CF9AE}" pid="6" name="Document Type">
    <vt:lpwstr/>
  </property>
</Properties>
</file>