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drawings/drawing3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53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22 Innovation\Membracon AI Initiative\Proposals - Estimating\"/>
    </mc:Choice>
  </mc:AlternateContent>
  <xr:revisionPtr revIDLastSave="0" documentId="13_ncr:1_{467C2B08-44F9-424B-82D2-C49C45F4B2A9}" xr6:coauthVersionLast="47" xr6:coauthVersionMax="47" xr10:uidLastSave="{00000000-0000-0000-0000-000000000000}"/>
  <bookViews>
    <workbookView xWindow="57480" yWindow="-120" windowWidth="29040" windowHeight="15720" xr2:uid="{00000000-000D-0000-FFFF-FFFF00000000}"/>
  </bookViews>
  <sheets>
    <sheet name="MEMUK RO" sheetId="12" r:id="rId1"/>
    <sheet name="Alarms" sheetId="17" r:id="rId2"/>
    <sheet name="Pricing" sheetId="7" r:id="rId3"/>
    <sheet name="ROI" sheetId="13" r:id="rId4"/>
    <sheet name="Feed Spec Notes" sheetId="9" r:id="rId5"/>
    <sheet name="Flux temp correction" sheetId="1" r:id="rId6"/>
    <sheet name="Photo" sheetId="14" r:id="rId7"/>
    <sheet name="Drop Down" sheetId="11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4" i="12" l="1" a="1"/>
  <c r="T4" i="12" s="1"/>
  <c r="L7" i="7"/>
  <c r="L5" i="7"/>
  <c r="F279" i="7"/>
  <c r="F280" i="7"/>
  <c r="F281" i="7"/>
  <c r="F282" i="7"/>
  <c r="F283" i="7"/>
  <c r="F284" i="7"/>
  <c r="F285" i="7"/>
  <c r="F286" i="7"/>
  <c r="F287" i="7"/>
  <c r="F278" i="7"/>
  <c r="F277" i="7"/>
  <c r="F29" i="7"/>
  <c r="F30" i="7"/>
  <c r="F31" i="7"/>
  <c r="T37" i="12"/>
  <c r="C16" i="12" l="1"/>
  <c r="T34" i="12"/>
  <c r="T29" i="12"/>
  <c r="T25" i="12"/>
  <c r="T26" i="12" l="1"/>
  <c r="T36" i="12"/>
  <c r="T35" i="12"/>
  <c r="T33" i="12"/>
  <c r="T32" i="12"/>
  <c r="T31" i="12"/>
  <c r="T30" i="12"/>
  <c r="T28" i="12"/>
  <c r="T27" i="12"/>
  <c r="T24" i="12"/>
  <c r="F32" i="7"/>
  <c r="C33" i="12" s="1" a="1"/>
  <c r="C33" i="12" s="1"/>
  <c r="F33" i="7"/>
  <c r="F34" i="7"/>
  <c r="F35" i="7"/>
  <c r="F36" i="7"/>
  <c r="F37" i="7"/>
  <c r="F38" i="7"/>
  <c r="C20" i="13"/>
  <c r="C14" i="13"/>
  <c r="C9" i="13"/>
  <c r="C25" i="13" s="1"/>
  <c r="C29" i="12" a="1"/>
  <c r="C29" i="12" s="1"/>
  <c r="E29" i="12" s="1"/>
  <c r="C24" i="12" a="1"/>
  <c r="C24" i="12" s="1"/>
  <c r="C23" i="12" a="1"/>
  <c r="C23" i="12" s="1"/>
  <c r="C28" i="12" a="1"/>
  <c r="C28" i="12" s="1"/>
  <c r="E28" i="12" s="1"/>
  <c r="C27" i="12" a="1"/>
  <c r="C27" i="12" s="1"/>
  <c r="E27" i="12" s="1"/>
  <c r="C26" i="12" a="1"/>
  <c r="C26" i="12" s="1"/>
  <c r="E26" i="12" s="1"/>
  <c r="C21" i="13" l="1"/>
  <c r="C23" i="13" l="1"/>
  <c r="C31" i="13" s="1"/>
  <c r="C29" i="13"/>
  <c r="C26" i="13"/>
  <c r="F50" i="7" l="1"/>
  <c r="C25" i="12" s="1"/>
  <c r="E25" i="12" s="1"/>
  <c r="F51" i="7"/>
  <c r="F28" i="7"/>
  <c r="E33" i="12" s="1"/>
  <c r="C35" i="12"/>
  <c r="E35" i="12" s="1"/>
  <c r="C34" i="12"/>
  <c r="E34" i="12" s="1"/>
  <c r="E23" i="12"/>
  <c r="C30" i="12"/>
  <c r="C22" i="12"/>
  <c r="E22" i="12" s="1"/>
  <c r="Q12" i="7"/>
  <c r="C36" i="12"/>
  <c r="E36" i="12" s="1"/>
  <c r="N21" i="12"/>
  <c r="C31" i="12"/>
  <c r="E31" i="12" s="1"/>
  <c r="E24" i="12"/>
  <c r="C11" i="12"/>
  <c r="L3" i="7"/>
  <c r="L4" i="7" s="1"/>
  <c r="L6" i="7" s="1"/>
  <c r="L8" i="7" s="1"/>
  <c r="L9" i="7" s="1"/>
  <c r="L10" i="7" s="1"/>
  <c r="L11" i="7" s="1"/>
  <c r="L12" i="7" s="1"/>
  <c r="F149" i="7" l="1"/>
  <c r="F153" i="7"/>
  <c r="F144" i="7"/>
  <c r="F150" i="7"/>
  <c r="F146" i="7"/>
  <c r="F145" i="7"/>
  <c r="F148" i="7"/>
  <c r="F151" i="7"/>
  <c r="F147" i="7"/>
  <c r="F143" i="7"/>
  <c r="F152" i="7"/>
  <c r="C44" i="12"/>
  <c r="E44" i="12" s="1"/>
  <c r="C43" i="12"/>
  <c r="E43" i="12" s="1"/>
  <c r="C40" i="12"/>
  <c r="E40" i="12" s="1"/>
  <c r="E30" i="12"/>
  <c r="C13" i="12"/>
  <c r="C37" i="12"/>
  <c r="E37" i="12" s="1"/>
  <c r="C38" i="12"/>
  <c r="C15" i="12"/>
  <c r="C17" i="12"/>
  <c r="C39" i="12"/>
  <c r="E39" i="12" s="1"/>
  <c r="C10" i="12"/>
  <c r="E38" i="12" l="1"/>
  <c r="C14" i="12"/>
  <c r="C32" i="12"/>
  <c r="D22" i="12" s="1"/>
  <c r="C9" i="12"/>
  <c r="E32" i="12" l="1"/>
  <c r="F22" i="12" s="1"/>
  <c r="N23" i="12" l="1"/>
  <c r="N26" i="12" l="1"/>
  <c r="N25" i="12"/>
  <c r="N24" i="12"/>
  <c r="N27" i="12" l="1"/>
  <c r="N29" i="12" s="1"/>
  <c r="T39" i="12" s="1"/>
  <c r="N28" i="12" l="1"/>
  <c r="N31" i="12" s="1"/>
  <c r="C6" i="13" s="1"/>
  <c r="C10" i="13" s="1"/>
  <c r="C28" i="13" l="1"/>
  <c r="C30" i="13" s="1"/>
  <c r="C11" i="13"/>
  <c r="C22" i="13" s="1"/>
  <c r="C24" i="13"/>
  <c r="C27" i="13"/>
  <c r="C32" i="13"/>
  <c r="N33" i="1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Steve Sisman</author>
  </authors>
  <commentList>
    <comment ref="B5" authorId="0" shapeId="0" xr:uid="{D417CB9B-7F15-44D5-B3F5-9807B0E14F09}">
      <text>
        <r>
          <rPr>
            <sz val="9"/>
            <color indexed="81"/>
            <rFont val="Tahoma"/>
            <family val="2"/>
          </rPr>
          <t>75% Recovery is industry Standard</t>
        </r>
      </text>
    </comment>
    <comment ref="B6" authorId="0" shapeId="0" xr:uid="{E96137C7-2A29-4912-B7AD-DE9780B193F2}">
      <text>
        <r>
          <rPr>
            <sz val="9"/>
            <color indexed="81"/>
            <rFont val="Tahoma"/>
            <family val="2"/>
          </rPr>
          <t xml:space="preserve">We can set Material Mark up here as drop down
</t>
        </r>
      </text>
    </comment>
    <comment ref="B9" authorId="0" shapeId="0" xr:uid="{D12BFCB6-6FC9-4BA7-96E6-E4D7186F59C2}">
      <text>
        <r>
          <rPr>
            <sz val="9"/>
            <color indexed="81"/>
            <rFont val="Tahoma"/>
            <family val="2"/>
          </rPr>
          <t>Feed Flow - this is calculated based on Reject and Permeate flows</t>
        </r>
      </text>
    </comment>
    <comment ref="B10" authorId="0" shapeId="0" xr:uid="{651CF48E-356E-4B40-9526-360471B09CC9}">
      <text>
        <r>
          <rPr>
            <sz val="9"/>
            <color indexed="81"/>
            <rFont val="Tahoma"/>
            <family val="2"/>
          </rPr>
          <t>Reject flow -  this is calculated based on Recovery and Permeate flows</t>
        </r>
      </text>
    </comment>
    <comment ref="B11" authorId="0" shapeId="0" xr:uid="{5673B7FF-0A27-4B17-ABF6-3E30499F3A24}">
      <text>
        <r>
          <rPr>
            <sz val="9"/>
            <color indexed="81"/>
            <rFont val="Tahoma"/>
            <family val="2"/>
          </rPr>
          <t>Permeate Flow - Desired sizing of Rig in m3/hr</t>
        </r>
      </text>
    </comment>
    <comment ref="B12" authorId="0" shapeId="0" xr:uid="{BF446E2C-6D16-433A-B1D0-59840C42933B}">
      <text>
        <r>
          <rPr>
            <sz val="9"/>
            <color indexed="81"/>
            <rFont val="Tahoma"/>
            <family val="2"/>
          </rPr>
          <t>Area of 8080 Membrane</t>
        </r>
      </text>
    </comment>
    <comment ref="B22" authorId="0" shapeId="0" xr:uid="{31894891-9D23-417A-9DF5-63B3F149097F}">
      <text>
        <r>
          <rPr>
            <sz val="9"/>
            <color indexed="81"/>
            <rFont val="Tahoma"/>
            <family val="2"/>
          </rPr>
          <t>if needed based on Feed Pressure vs range</t>
        </r>
      </text>
    </comment>
    <comment ref="B23" authorId="0" shapeId="0" xr:uid="{649AB6EE-F934-4303-B20C-D985C345CAF5}">
      <text>
        <r>
          <rPr>
            <sz val="9"/>
            <color indexed="81"/>
            <rFont val="Tahoma"/>
            <family val="2"/>
          </rPr>
          <t>Calculated based on entered levels and cross referring to range and solution and cost</t>
        </r>
      </text>
    </comment>
    <comment ref="B24" authorId="0" shapeId="0" xr:uid="{887C6F12-71D2-4BB5-9838-5DC17F0CC32C}">
      <text>
        <r>
          <rPr>
            <sz val="9"/>
            <color indexed="81"/>
            <rFont val="Tahoma"/>
            <family val="2"/>
          </rPr>
          <t>Calculated based on entered levels and cross referring to range and solution and cost</t>
        </r>
      </text>
    </comment>
    <comment ref="B25" authorId="0" shapeId="0" xr:uid="{49DF607E-3569-414F-B621-2F30B5016605}">
      <text>
        <r>
          <rPr>
            <sz val="9"/>
            <color indexed="81"/>
            <rFont val="Tahoma"/>
            <family val="2"/>
          </rPr>
          <t>Calculated based on entered levels and cross referring to range and solution and cost</t>
        </r>
      </text>
    </comment>
    <comment ref="B26" authorId="0" shapeId="0" xr:uid="{1D08E332-C5BF-4747-8D5B-70321CD67DC1}">
      <text>
        <r>
          <rPr>
            <sz val="9"/>
            <color indexed="81"/>
            <rFont val="Tahoma"/>
            <family val="2"/>
          </rPr>
          <t>Calculated based on entered levels and cross referring to range and solution and cost</t>
        </r>
      </text>
    </comment>
    <comment ref="B27" authorId="0" shapeId="0" xr:uid="{FC4B71F5-D164-4C2F-87D1-94DE32DAE113}">
      <text>
        <r>
          <rPr>
            <sz val="9"/>
            <color indexed="81"/>
            <rFont val="Tahoma"/>
            <family val="2"/>
          </rPr>
          <t>Calculated based on entered levels and cross referring to range and solution and cost</t>
        </r>
      </text>
    </comment>
    <comment ref="B28" authorId="0" shapeId="0" xr:uid="{2013ACEE-B816-4430-AD20-7177881F7BB0}">
      <text>
        <r>
          <rPr>
            <sz val="9"/>
            <color indexed="81"/>
            <rFont val="Tahoma"/>
            <family val="2"/>
          </rPr>
          <t>Calculated based on entered levels and cross referring to range and solution and cost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tc={6FF79A4D-FEBA-4712-918A-62BDB54003A3}</author>
    <author>tc={F9EFBB18-7852-461A-970B-5B512221A2EB}</author>
    <author>tc={ADA5ADB6-92AC-434B-B1A6-7FFCF4B6BD93}</author>
    <author>tc={3298EB4A-CEE5-4298-BC0D-61741642BA8F}</author>
    <author>tc={36E123B7-FF12-4FA8-98BF-2B1200E19508}</author>
  </authors>
  <commentList>
    <comment ref="B121" authorId="0" shapeId="0" xr:uid="{6FF79A4D-FEBA-4712-918A-62BDB54003A3}">
      <text>
        <t>[Threaded comment]
Your version of Excel allows you to read this threaded comment; however, any edits to it will get removed if the file is opened in a newer version of Excel. Learn more: https://go.microsoft.com/fwlink/?linkid=870924
Comment:
    UK mains chlorine: 0.2–0.8 ppm (typical)
RO allowable chlorine: &lt; 0.05 ppm
Target: 0.00 ppm
Dechlorination: Always required</t>
      </text>
    </comment>
    <comment ref="B156" authorId="1" shapeId="0" xr:uid="{F9EFBB18-7852-461A-970B-5B512221A2EB}">
      <text>
        <t>[Threaded comment]
Your version of Excel allows you to read this threaded comment; however, any edits to it will get removed if the file is opened in a newer version of Excel. Learn more: https://go.microsoft.com/fwlink/?linkid=870924
Comment:
    UK mains chlorine: 0.2–0.8 ppm (typical)
RO allowable chlorine: &lt; 0.05 ppm
Target: 0.00 ppm
Dechlorination: Always required</t>
      </text>
    </comment>
    <comment ref="B189" authorId="2" shapeId="0" xr:uid="{ADA5ADB6-92AC-434B-B1A6-7FFCF4B6BD93}">
      <text>
        <t>[Threaded comment]
Your version of Excel allows you to read this threaded comment; however, any edits to it will get removed if the file is opened in a newer version of Excel. Learn more: https://go.microsoft.com/fwlink/?linkid=870924
Comment:
    UK mains chlorine: 0.2–0.8 ppm (typical)
RO allowable chlorine: &lt; 0.05 ppm
Target: 0.00 ppm
Dechlorination: Always required</t>
      </text>
    </comment>
    <comment ref="B222" authorId="3" shapeId="0" xr:uid="{3298EB4A-CEE5-4298-BC0D-61741642BA8F}">
      <text>
        <t>[Threaded comment]
Your version of Excel allows you to read this threaded comment; however, any edits to it will get removed if the file is opened in a newer version of Excel. Learn more: https://go.microsoft.com/fwlink/?linkid=870924
Comment:
    UK mains chlorine: 0.2–0.8 ppm (typical)
RO allowable chlorine: &lt; 0.05 ppm
Target: 0.00 ppm
Dechlorination: Always required</t>
      </text>
    </comment>
    <comment ref="B255" authorId="4" shapeId="0" xr:uid="{36E123B7-FF12-4FA8-98BF-2B1200E19508}">
      <text>
        <t>[Threaded comment]
Your version of Excel allows you to read this threaded comment; however, any edits to it will get removed if the file is opened in a newer version of Excel. Learn more: https://go.microsoft.com/fwlink/?linkid=870924
Comment:
    UK mains chlorine: 0.2–0.8 ppm (typical)
RO allowable chlorine: &lt; 0.05 ppm
Target: 0.00 ppm
Dechlorination: Always required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tc={A000A8F1-6F1B-4D2B-B463-10D4BD4EB471}</author>
  </authors>
  <commentList>
    <comment ref="A11" authorId="0" shapeId="0" xr:uid="{A000A8F1-6F1B-4D2B-B463-10D4BD4EB471}">
      <text>
        <t>[Threaded comment]
Your version of Excel allows you to read this threaded comment; however, any edits to it will get removed if the file is opened in a newer version of Excel. Learn more: https://go.microsoft.com/fwlink/?linkid=870924
Comment:
    UK mains chlorine: 0.2–0.8 ppm (typical)
RO allowable chlorine: &lt; 0.05 ppm
Target: 0.00 ppm
Dechlorination: Always required</t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</futureMetadata>
  <cellMetadata count="1">
    <bk>
      <rc t="1" v="0"/>
    </bk>
  </cellMetadata>
  <valueMetadata count="12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  <bk>
      <rc t="2" v="10"/>
    </bk>
    <bk>
      <rc t="2" v="11"/>
    </bk>
  </valueMetadata>
</metadata>
</file>

<file path=xl/sharedStrings.xml><?xml version="1.0" encoding="utf-8"?>
<sst xmlns="http://schemas.openxmlformats.org/spreadsheetml/2006/main" count="563" uniqueCount="272">
  <si>
    <t>Required Permeate Flow (m3/hr)</t>
  </si>
  <si>
    <t>Recovery (%)</t>
  </si>
  <si>
    <t>Feed TDS (ppm)</t>
  </si>
  <si>
    <t>Calculation</t>
  </si>
  <si>
    <t>Feed Flow (m3/hr)</t>
  </si>
  <si>
    <t>Reject Flow (m3/hr)</t>
  </si>
  <si>
    <t>Number of Membranes</t>
  </si>
  <si>
    <t>Pressure Vessels</t>
  </si>
  <si>
    <t>Pump Power (kW)</t>
  </si>
  <si>
    <t>Component</t>
  </si>
  <si>
    <t>Base Cost (£)</t>
  </si>
  <si>
    <t>Item</t>
  </si>
  <si>
    <t>Formula</t>
  </si>
  <si>
    <t>Base Manufacturing Cost</t>
  </si>
  <si>
    <t>Subtotal</t>
  </si>
  <si>
    <t>Final Sales Price (£)</t>
  </si>
  <si>
    <t>Permeate Flow (m3/hr)</t>
  </si>
  <si>
    <t>Margin</t>
  </si>
  <si>
    <t>Labour</t>
  </si>
  <si>
    <t>M3/hr</t>
  </si>
  <si>
    <t>Membranes</t>
  </si>
  <si>
    <t xml:space="preserve">RO membranes </t>
  </si>
  <si>
    <t>Vessels</t>
  </si>
  <si>
    <t>Discount</t>
  </si>
  <si>
    <t>Chlorine (ppm)</t>
  </si>
  <si>
    <t>Turbidity (NTU)</t>
  </si>
  <si>
    <t>SDI</t>
  </si>
  <si>
    <t>pH</t>
  </si>
  <si>
    <t>Hardness</t>
  </si>
  <si>
    <t xml:space="preserve">Iron mg/L </t>
  </si>
  <si>
    <t>Hardness mg/L as CaCO₃</t>
  </si>
  <si>
    <t>Feed TSS (ppm)</t>
  </si>
  <si>
    <t>Iron Level (mg/L)</t>
  </si>
  <si>
    <t>&lt; 0.02</t>
  </si>
  <si>
    <t>Cartridge filter only</t>
  </si>
  <si>
    <t>0.02 – 0.05</t>
  </si>
  <si>
    <t>Fine filtration + monitoring</t>
  </si>
  <si>
    <t>0.05 – 0.1</t>
  </si>
  <si>
    <t>Iron removal recommended</t>
  </si>
  <si>
    <t>&gt; 0.1</t>
  </si>
  <si>
    <t>Mandatory iron removal</t>
  </si>
  <si>
    <t>&gt; 0.3</t>
  </si>
  <si>
    <t>Dedicated iron removal system</t>
  </si>
  <si>
    <t>RO only</t>
  </si>
  <si>
    <t>Antiscalant dosing</t>
  </si>
  <si>
    <t>Antiscalant + lower recovery</t>
  </si>
  <si>
    <t>Softener or hardness removal</t>
  </si>
  <si>
    <t>100-200</t>
  </si>
  <si>
    <t>200-300</t>
  </si>
  <si>
    <t>&lt; 0.05</t>
  </si>
  <si>
    <t>Free chlorine mg/L</t>
  </si>
  <si>
    <t>0.1 – 1.0</t>
  </si>
  <si>
    <t>Carbon filter or SMBS mandatory</t>
  </si>
  <si>
    <t>Carbon + SMBS recommended</t>
  </si>
  <si>
    <t>Activated Carbon Filter (Most Common)
SMBS (Sodium Metabisulphite) Dosing</t>
  </si>
  <si>
    <t>Standard 5 µm cartridge filter</t>
  </si>
  <si>
    <t>Pre-treatment recommended; consider multi-media filtration</t>
  </si>
  <si>
    <t>Must install pre-treatment (sand filter + cartridge filter)</t>
  </si>
  <si>
    <t>1 – 5</t>
  </si>
  <si>
    <t>TSS (mg/L)</t>
  </si>
  <si>
    <t>Standard 5 µm cartridge filter sufficient</t>
  </si>
  <si>
    <t>Consider cartridge + multimedia pre-filter</t>
  </si>
  <si>
    <t>Full pre-treatment required (sand/multi-media + cartridge)</t>
  </si>
  <si>
    <t>≤ 1</t>
  </si>
  <si>
    <t>&gt; 5</t>
  </si>
  <si>
    <t>TDS (mg/L)</t>
  </si>
  <si>
    <t>≤ 500</t>
  </si>
  <si>
    <t>Standard low-pressure RO membrane</t>
  </si>
  <si>
    <t>500 – 1000</t>
  </si>
  <si>
    <t>Ensure proper recovery and antiscalant dosing</t>
  </si>
  <si>
    <t>&gt; 1000</t>
  </si>
  <si>
    <t>May require high-rejection membranes and/or pre-treatment</t>
  </si>
  <si>
    <t>Temperature (°C)</t>
  </si>
  <si>
    <t>5–45 °C</t>
  </si>
  <si>
    <t>Standard low-pressure RO membranes</t>
  </si>
  <si>
    <t>&lt; 5 °C</t>
  </si>
  <si>
    <t>Reduced permeate flux; risk of freezing in cold climates</t>
  </si>
  <si>
    <t>&gt; 45 °C</t>
  </si>
  <si>
    <t>Membrane damage possible; need high-temperature membrane</t>
  </si>
  <si>
    <t>SDI (15 min)</t>
  </si>
  <si>
    <t>≤ 5</t>
  </si>
  <si>
    <t>Standard cartridge filters sufficient</t>
  </si>
  <si>
    <t>5 – 6</t>
  </si>
  <si>
    <t>Monitor pre-filters; consider multi-media filtration</t>
  </si>
  <si>
    <t>&gt; 6</t>
  </si>
  <si>
    <t>Pre-treatment required; RO at risk of rapid fouling</t>
  </si>
  <si>
    <t>pH (at RO inlet)</t>
  </si>
  <si>
    <t>6 – 8.5</t>
  </si>
  <si>
    <t>Standard polyamide membranes</t>
  </si>
  <si>
    <t>Short-term operation possible, may need antiscalant adjustment</t>
  </si>
  <si>
    <t>8.5 – 9</t>
  </si>
  <si>
    <t>Monitor scaling; adjust antiscalant dosing</t>
  </si>
  <si>
    <t>Risk of irreversible membrane damage</t>
  </si>
  <si>
    <t>&lt; 5</t>
  </si>
  <si>
    <t>&gt; 9</t>
  </si>
  <si>
    <t>RO</t>
  </si>
  <si>
    <t>Softner</t>
  </si>
  <si>
    <t>MEMR012</t>
  </si>
  <si>
    <t>MEMR06</t>
  </si>
  <si>
    <t>MEMR04</t>
  </si>
  <si>
    <t>MEMR02</t>
  </si>
  <si>
    <t>MEMR01</t>
  </si>
  <si>
    <t>MEMR005</t>
  </si>
  <si>
    <t>MEMR0025</t>
  </si>
  <si>
    <t>UV</t>
  </si>
  <si>
    <t>MEMUV005</t>
  </si>
  <si>
    <t>MEMUV0025</t>
  </si>
  <si>
    <t>CIP</t>
  </si>
  <si>
    <t>MEMR016</t>
  </si>
  <si>
    <t>MEMR09</t>
  </si>
  <si>
    <t>Hardness - Anti Scale Dosing</t>
  </si>
  <si>
    <t>Hardness adjustment</t>
  </si>
  <si>
    <t>Dosing</t>
  </si>
  <si>
    <t>Feed Temp (°C)</t>
  </si>
  <si>
    <t>Temp Correction Factor (TCF)</t>
  </si>
  <si>
    <t>Flux (LMH)</t>
  </si>
  <si>
    <t>% of 25 °C Flux</t>
  </si>
  <si>
    <t>Typical RO Flux vs Temperature</t>
  </si>
  <si>
    <t>Temperature Correction Factor (TCF) is a way to normalize RO membrane performance to a reference temperature (almost always 25 °C). It accounts for how water viscosity changes with temperature, which directly affects permeate flow.</t>
  </si>
  <si>
    <t>Temp °C</t>
  </si>
  <si>
    <t>Membrane Area (m2) 8080</t>
  </si>
  <si>
    <t>Total Membrane Area (m2)</t>
  </si>
  <si>
    <t>Solution</t>
  </si>
  <si>
    <t>Range</t>
  </si>
  <si>
    <t>Paramiter</t>
  </si>
  <si>
    <t>MEMPF69</t>
  </si>
  <si>
    <t>Universal unit for flushing with permeate</t>
  </si>
  <si>
    <t>Reverse Osmosis System</t>
  </si>
  <si>
    <t>Shipping</t>
  </si>
  <si>
    <t>%</t>
  </si>
  <si>
    <t xml:space="preserve">Contingency </t>
  </si>
  <si>
    <t xml:space="preserve">Social Impact </t>
  </si>
  <si>
    <t>Workshop</t>
  </si>
  <si>
    <t>Iron Removal</t>
  </si>
  <si>
    <t>0-0.02</t>
  </si>
  <si>
    <t>0.3-5</t>
  </si>
  <si>
    <t>Universal flushing with permeate MO6/MO9</t>
  </si>
  <si>
    <t>Carbon filter mandatory</t>
  </si>
  <si>
    <t>Carbon (Chlorine Removal)</t>
  </si>
  <si>
    <t>Pipework</t>
  </si>
  <si>
    <t>Container</t>
  </si>
  <si>
    <t>Power</t>
  </si>
  <si>
    <t>YES</t>
  </si>
  <si>
    <t>NO</t>
  </si>
  <si>
    <t>Feed Pressure</t>
  </si>
  <si>
    <t>Boost Pump</t>
  </si>
  <si>
    <t>Feed Boost Pump</t>
  </si>
  <si>
    <t>too low needs Boost pump</t>
  </si>
  <si>
    <t>No boost pump needed</t>
  </si>
  <si>
    <t>UV / Container</t>
  </si>
  <si>
    <t>Size</t>
  </si>
  <si>
    <t>Shippig</t>
  </si>
  <si>
    <t>Modules</t>
  </si>
  <si>
    <t>Estimated GP (sell - cost)</t>
  </si>
  <si>
    <t>Estimated GM ((sell - cost) ÷ sell))</t>
  </si>
  <si>
    <r>
      <t>Membracon UK Modular RO systems</t>
    </r>
    <r>
      <rPr>
        <sz val="18"/>
        <color theme="1"/>
        <rFont val="Aptos"/>
        <family val="2"/>
      </rPr>
      <t xml:space="preserve"> Input Parameters</t>
    </r>
  </si>
  <si>
    <t>Container Required</t>
  </si>
  <si>
    <t>0-1</t>
  </si>
  <si>
    <t>0-5</t>
  </si>
  <si>
    <t>1.1-5</t>
  </si>
  <si>
    <t>5.1-100</t>
  </si>
  <si>
    <t>0-500</t>
  </si>
  <si>
    <t>501-999</t>
  </si>
  <si>
    <t>1000- 10000</t>
  </si>
  <si>
    <t>0.051-1</t>
  </si>
  <si>
    <t>0-0.05</t>
  </si>
  <si>
    <t>0.021-0.05</t>
  </si>
  <si>
    <t>0.051-0.1</t>
  </si>
  <si>
    <t>0.1-0.3</t>
  </si>
  <si>
    <t>RO system with Pretreatment 5 um Filter</t>
  </si>
  <si>
    <t>1.0-5</t>
  </si>
  <si>
    <t>5.1-6</t>
  </si>
  <si>
    <t>6.1-10</t>
  </si>
  <si>
    <t>SDI Treatment</t>
  </si>
  <si>
    <t>TDS Treatment</t>
  </si>
  <si>
    <t>TSS Treatment</t>
  </si>
  <si>
    <t>pH Adjustment - Dosing</t>
  </si>
  <si>
    <t>Electricity</t>
  </si>
  <si>
    <t>Membrane replacement &amp; chemicals</t>
  </si>
  <si>
    <t>Maintenance labor</t>
  </si>
  <si>
    <t>One-time costs</t>
  </si>
  <si>
    <t>RO system purchase</t>
  </si>
  <si>
    <t>Installation &amp; commissioning</t>
  </si>
  <si>
    <t>Training &amp; internal labor</t>
  </si>
  <si>
    <t>Ongoing annual costs</t>
  </si>
  <si>
    <t>Total Year-1 Cost</t>
  </si>
  <si>
    <t>Before RO</t>
  </si>
  <si>
    <t>After RO</t>
  </si>
  <si>
    <t>Annual Water Savings</t>
  </si>
  <si>
    <t>Makeup water cost</t>
  </si>
  <si>
    <t>Municipal water purchase</t>
  </si>
  <si>
    <t>Incremental Profit</t>
  </si>
  <si>
    <t>Wastewater Discharge Savings</t>
  </si>
  <si>
    <t xml:space="preserve">Reduced wastewater volume and TDS Annual discharge fees </t>
  </si>
  <si>
    <t>Production Efficiency / Revenue Impact</t>
  </si>
  <si>
    <t>Gross margin</t>
  </si>
  <si>
    <t>Total ongoimg costs</t>
  </si>
  <si>
    <t>Total one-time cost</t>
  </si>
  <si>
    <t>Total Annual Benefits</t>
  </si>
  <si>
    <t>Improved water quality reduces downtime &amp; rejects Additional annual production revenue</t>
  </si>
  <si>
    <t>ROI Y1</t>
  </si>
  <si>
    <t>Payback Period</t>
  </si>
  <si>
    <t>Annual net benefit</t>
  </si>
  <si>
    <t>Ongoing Annual ROI (Year 2 onward)</t>
  </si>
  <si>
    <t>Annual costs (O&amp;M only)</t>
  </si>
  <si>
    <t>Ongoing Annual ROI (Year 3 onward)</t>
  </si>
  <si>
    <t>Total Costs (3 years)</t>
  </si>
  <si>
    <t>Total Benefits (3 years)</t>
  </si>
  <si>
    <t>3-Year ROI Calculation</t>
  </si>
  <si>
    <t>Payback Confirmation</t>
  </si>
  <si>
    <t>Payback Period Years</t>
  </si>
  <si>
    <t>Carbon + Sodium Metabisulfite (SMBS) recommended</t>
  </si>
  <si>
    <t>Is UV Required</t>
  </si>
  <si>
    <t>Confidential</t>
  </si>
  <si>
    <t>Container Pricing</t>
  </si>
  <si>
    <t>System Size</t>
  </si>
  <si>
    <t>Pipework Materials etc</t>
  </si>
  <si>
    <t>0-99</t>
  </si>
  <si>
    <t>100-299</t>
  </si>
  <si>
    <t>300-600</t>
  </si>
  <si>
    <t>SDI HIGH - Pre-treatment required; RO at risk of rapid fouling</t>
  </si>
  <si>
    <t>TSS HIGH - Full pre-treatment required (sand/multi-media + cartridge)</t>
  </si>
  <si>
    <t>Feed TDS HIGH - May require high-rejection membranes and/or pre-treatment</t>
  </si>
  <si>
    <t>Feed TDS HIGH - Ensure proper recovery and antiscalant dosing</t>
  </si>
  <si>
    <t>Feed is Soft</t>
  </si>
  <si>
    <t>Feed is Moderately hard</t>
  </si>
  <si>
    <t>Feed is Hard - Antiscalant + lower recovery</t>
  </si>
  <si>
    <t>Feed is very hard - Softener or hardness removal</t>
  </si>
  <si>
    <t>Feed Pressure (BAR)</t>
  </si>
  <si>
    <t>Photo of System Selected -  work in progress</t>
  </si>
  <si>
    <t>Marked up £</t>
  </si>
  <si>
    <t>Carbon filter mandatory  - 2 of 18x65 Carbon Units</t>
  </si>
  <si>
    <t>Second Stage RO</t>
  </si>
  <si>
    <t>Additional Pipework</t>
  </si>
  <si>
    <t>Additional Labour</t>
  </si>
  <si>
    <t>Buffer Tank</t>
  </si>
  <si>
    <t>Polish DI</t>
  </si>
  <si>
    <t>WARNING - Pressure is too low needs Boost pump</t>
  </si>
  <si>
    <t>WARNING - Tubidity HIGH - Must install pre-treatment (sand filter + cartridge filter)</t>
  </si>
  <si>
    <t>WARNING - TSS HIGH - Full pre-treatment required (sand/multi-media + cartridge)</t>
  </si>
  <si>
    <t>WARNING - TDS HIGH - Ensure proper recovery and antiscalant dosing</t>
  </si>
  <si>
    <t>WARNING - TDS HIGH - May require high-rejection membranes and/or pre-treatment</t>
  </si>
  <si>
    <t>WARNING - SDI HIGH - Pre-treatment required; RO at risk of rapid fouling</t>
  </si>
  <si>
    <t>WARNING - Margin too LOW</t>
  </si>
  <si>
    <t>WARNING - Iron Levels HIGH - Mandatory iron removal</t>
  </si>
  <si>
    <t>WARNING - pH Too High Risk of irreversible membrane damage</t>
  </si>
  <si>
    <t>WARNING - Chlorine HIGH - Carbon + Sodium Metabisulfite (SMBS) recommended</t>
  </si>
  <si>
    <t>WARNING - Iron Levels HIGH - Dedicated iron removal system</t>
  </si>
  <si>
    <t>WARNING - Hard Water - Antiscalant + lower recovery</t>
  </si>
  <si>
    <t>WARNING -Very hard water- Softener or hardness removal</t>
  </si>
  <si>
    <t>Component mark up</t>
  </si>
  <si>
    <t>WARNING - Conductivity of below 10 μS/cm requires second stage RO system</t>
  </si>
  <si>
    <t>Estimated µS/cm 1st Stage</t>
  </si>
  <si>
    <t>Conductivity (µS/cm)</t>
  </si>
  <si>
    <t>Ecosoft</t>
  </si>
  <si>
    <t>Permeate Quality Conductivity (µS/cm)</t>
  </si>
  <si>
    <t>0-2</t>
  </si>
  <si>
    <t>0-3</t>
  </si>
  <si>
    <t>0-4</t>
  </si>
  <si>
    <t>MEMUV010</t>
  </si>
  <si>
    <t>MEMUV015</t>
  </si>
  <si>
    <t>MEMUV020</t>
  </si>
  <si>
    <t>MEMUV030</t>
  </si>
  <si>
    <t>MEMUV040</t>
  </si>
  <si>
    <t>MEMUV060</t>
  </si>
  <si>
    <t>MEMUV090</t>
  </si>
  <si>
    <t>MEMUV120</t>
  </si>
  <si>
    <t>MEMUV160</t>
  </si>
  <si>
    <t>Greenline</t>
  </si>
  <si>
    <t>Industrial W</t>
  </si>
  <si>
    <t>Alarms will appear here</t>
  </si>
  <si>
    <t>WARNING - Temperature is low check this could effect flow - Perhaps increase size of system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</si>
</sst>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£&quot;#,##0;[Red]\-&quot;£&quot;#,##0"/>
    <numFmt numFmtId="164" formatCode="&quot;£&quot;#,##0.00"/>
  </numFmts>
  <fonts count="2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8"/>
      <color theme="1"/>
      <name val="Aptos"/>
      <family val="2"/>
    </font>
    <font>
      <sz val="8"/>
      <color theme="1"/>
      <name val="Aptos"/>
      <family val="2"/>
    </font>
    <font>
      <b/>
      <sz val="8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8"/>
      <color theme="1"/>
      <name val="Aptos"/>
      <family val="2"/>
    </font>
    <font>
      <sz val="18"/>
      <color theme="1"/>
      <name val="Aptos"/>
      <family val="2"/>
    </font>
    <font>
      <b/>
      <sz val="11"/>
      <color theme="0"/>
      <name val="Aptos"/>
      <family val="2"/>
    </font>
    <font>
      <b/>
      <i/>
      <sz val="8"/>
      <color theme="1"/>
      <name val="Aptos"/>
      <family val="2"/>
    </font>
    <font>
      <sz val="11"/>
      <color theme="1"/>
      <name val="Aptos"/>
      <family val="2"/>
    </font>
    <font>
      <b/>
      <sz val="11"/>
      <color rgb="FFFF0000"/>
      <name val="Aptos"/>
      <family val="2"/>
    </font>
    <font>
      <sz val="11"/>
      <color rgb="FFFF0000"/>
      <name val="Aptos"/>
      <family val="2"/>
    </font>
    <font>
      <sz val="11"/>
      <color rgb="FFFF0000"/>
      <name val="Calibri"/>
      <family val="2"/>
      <scheme val="minor"/>
    </font>
    <font>
      <sz val="36"/>
      <color rgb="FFFF0000"/>
      <name val="Aptos"/>
      <family val="2"/>
    </font>
    <font>
      <b/>
      <sz val="8"/>
      <color rgb="FFFF0000"/>
      <name val="Aptos"/>
      <family val="2"/>
    </font>
  </fonts>
  <fills count="12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3FCD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EAD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9.9978637043366805E-2"/>
        <bgColor indexed="64"/>
      </patternFill>
    </fill>
  </fills>
  <borders count="5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auto="1"/>
      </top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48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0" fillId="0" borderId="1" xfId="0" applyBorder="1"/>
    <xf numFmtId="0" fontId="1" fillId="0" borderId="1" xfId="0" applyFont="1" applyBorder="1" applyAlignment="1">
      <alignment vertical="center" wrapText="1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vertical="center" wrapText="1"/>
    </xf>
    <xf numFmtId="0" fontId="1" fillId="0" borderId="1" xfId="0" applyFont="1" applyBorder="1" applyAlignment="1">
      <alignment horizontal="left" vertical="center" wrapText="1"/>
    </xf>
    <xf numFmtId="0" fontId="1" fillId="0" borderId="14" xfId="0" applyFont="1" applyBorder="1" applyAlignment="1">
      <alignment vertical="center" wrapText="1"/>
    </xf>
    <xf numFmtId="0" fontId="0" fillId="0" borderId="12" xfId="0" applyBorder="1" applyAlignment="1">
      <alignment horizontal="left" vertical="center"/>
    </xf>
    <xf numFmtId="0" fontId="0" fillId="0" borderId="14" xfId="0" applyBorder="1"/>
    <xf numFmtId="0" fontId="0" fillId="0" borderId="15" xfId="0" applyBorder="1" applyAlignment="1">
      <alignment horizontal="left" vertical="center"/>
    </xf>
    <xf numFmtId="0" fontId="0" fillId="0" borderId="14" xfId="0" applyBorder="1" applyAlignment="1">
      <alignment vertical="center"/>
    </xf>
    <xf numFmtId="0" fontId="1" fillId="0" borderId="1" xfId="0" applyFont="1" applyBorder="1" applyAlignment="1">
      <alignment horizontal="left" vertical="center"/>
    </xf>
    <xf numFmtId="0" fontId="1" fillId="0" borderId="14" xfId="0" applyFont="1" applyBorder="1" applyAlignment="1">
      <alignment horizontal="left" vertical="center"/>
    </xf>
    <xf numFmtId="0" fontId="1" fillId="0" borderId="14" xfId="0" applyFont="1" applyBorder="1" applyAlignment="1">
      <alignment horizontal="left" vertical="center" wrapText="1"/>
    </xf>
    <xf numFmtId="0" fontId="1" fillId="4" borderId="1" xfId="0" applyFont="1" applyFill="1" applyBorder="1" applyAlignment="1">
      <alignment horizontal="left"/>
    </xf>
    <xf numFmtId="0" fontId="0" fillId="0" borderId="27" xfId="0" applyBorder="1" applyAlignment="1">
      <alignment horizontal="left" vertical="center"/>
    </xf>
    <xf numFmtId="0" fontId="1" fillId="3" borderId="5" xfId="0" applyFont="1" applyFill="1" applyBorder="1" applyAlignment="1">
      <alignment horizontal="left" vertical="center"/>
    </xf>
    <xf numFmtId="0" fontId="0" fillId="3" borderId="5" xfId="0" applyFill="1" applyBorder="1" applyAlignment="1">
      <alignment vertical="center" wrapText="1"/>
    </xf>
    <xf numFmtId="0" fontId="1" fillId="3" borderId="9" xfId="0" applyFont="1" applyFill="1" applyBorder="1" applyAlignment="1">
      <alignment horizontal="left"/>
    </xf>
    <xf numFmtId="0" fontId="1" fillId="3" borderId="9" xfId="0" applyFont="1" applyFill="1" applyBorder="1" applyAlignment="1">
      <alignment horizontal="left" vertical="center" wrapText="1"/>
    </xf>
    <xf numFmtId="0" fontId="1" fillId="3" borderId="9" xfId="0" applyFont="1" applyFill="1" applyBorder="1" applyAlignment="1">
      <alignment vertical="center" wrapText="1"/>
    </xf>
    <xf numFmtId="0" fontId="1" fillId="3" borderId="1" xfId="0" applyFont="1" applyFill="1" applyBorder="1" applyAlignment="1">
      <alignment horizontal="left" vertical="center" wrapText="1"/>
    </xf>
    <xf numFmtId="0" fontId="1" fillId="0" borderId="9" xfId="0" applyFont="1" applyBorder="1" applyAlignment="1">
      <alignment horizontal="left" vertical="center" wrapText="1"/>
    </xf>
    <xf numFmtId="0" fontId="1" fillId="0" borderId="3" xfId="0" applyFont="1" applyBorder="1" applyAlignment="1">
      <alignment horizontal="left" vertical="center" wrapText="1"/>
    </xf>
    <xf numFmtId="0" fontId="1" fillId="3" borderId="1" xfId="0" applyFont="1" applyFill="1" applyBorder="1" applyAlignment="1">
      <alignment horizontal="left"/>
    </xf>
    <xf numFmtId="0" fontId="0" fillId="8" borderId="0" xfId="0" applyFill="1"/>
    <xf numFmtId="0" fontId="1" fillId="0" borderId="5" xfId="0" applyFont="1" applyBorder="1" applyAlignment="1">
      <alignment vertical="center" wrapText="1"/>
    </xf>
    <xf numFmtId="0" fontId="1" fillId="4" borderId="1" xfId="0" applyFont="1" applyFill="1" applyBorder="1"/>
    <xf numFmtId="0" fontId="11" fillId="0" borderId="0" xfId="0" applyFont="1" applyAlignment="1">
      <alignment horizontal="center" vertical="center"/>
    </xf>
    <xf numFmtId="0" fontId="11" fillId="0" borderId="0" xfId="0" applyFont="1"/>
    <xf numFmtId="0" fontId="1" fillId="8" borderId="1" xfId="0" applyFont="1" applyFill="1" applyBorder="1" applyAlignment="1">
      <alignment horizontal="left"/>
    </xf>
    <xf numFmtId="0" fontId="11" fillId="0" borderId="43" xfId="0" applyFont="1" applyBorder="1"/>
    <xf numFmtId="0" fontId="11" fillId="0" borderId="44" xfId="0" applyFont="1" applyBorder="1"/>
    <xf numFmtId="0" fontId="11" fillId="0" borderId="11" xfId="0" applyFont="1" applyBorder="1" applyAlignment="1">
      <alignment horizontal="left"/>
    </xf>
    <xf numFmtId="0" fontId="8" fillId="0" borderId="11" xfId="0" applyFont="1" applyBorder="1" applyAlignment="1">
      <alignment horizontal="left"/>
    </xf>
    <xf numFmtId="0" fontId="8" fillId="8" borderId="11" xfId="0" applyFont="1" applyFill="1" applyBorder="1" applyAlignment="1">
      <alignment horizontal="left"/>
    </xf>
    <xf numFmtId="0" fontId="8" fillId="8" borderId="43" xfId="0" applyFont="1" applyFill="1" applyBorder="1" applyAlignment="1">
      <alignment horizontal="left"/>
    </xf>
    <xf numFmtId="0" fontId="8" fillId="8" borderId="11" xfId="0" applyFont="1" applyFill="1" applyBorder="1" applyAlignment="1">
      <alignment horizontal="left" vertical="top"/>
    </xf>
    <xf numFmtId="0" fontId="8" fillId="8" borderId="11" xfId="0" applyFont="1" applyFill="1" applyBorder="1" applyAlignment="1">
      <alignment horizontal="left" wrapText="1"/>
    </xf>
    <xf numFmtId="0" fontId="11" fillId="0" borderId="39" xfId="0" applyFont="1" applyBorder="1"/>
    <xf numFmtId="0" fontId="11" fillId="0" borderId="46" xfId="0" applyFont="1" applyBorder="1"/>
    <xf numFmtId="0" fontId="11" fillId="0" borderId="47" xfId="0" applyFont="1" applyBorder="1"/>
    <xf numFmtId="0" fontId="4" fillId="8" borderId="1" xfId="0" applyFont="1" applyFill="1" applyBorder="1" applyAlignment="1">
      <alignment horizontal="left" vertical="center" wrapText="1"/>
    </xf>
    <xf numFmtId="0" fontId="5" fillId="8" borderId="1" xfId="0" applyFont="1" applyFill="1" applyBorder="1" applyAlignment="1">
      <alignment horizontal="left" vertical="center" wrapText="1"/>
    </xf>
    <xf numFmtId="9" fontId="5" fillId="8" borderId="1" xfId="0" applyNumberFormat="1" applyFont="1" applyFill="1" applyBorder="1" applyAlignment="1">
      <alignment horizontal="left" vertical="center" wrapText="1"/>
    </xf>
    <xf numFmtId="6" fontId="8" fillId="9" borderId="1" xfId="0" applyNumberFormat="1" applyFont="1" applyFill="1" applyBorder="1" applyAlignment="1">
      <alignment horizontal="left" vertical="top"/>
    </xf>
    <xf numFmtId="6" fontId="8" fillId="9" borderId="1" xfId="0" applyNumberFormat="1" applyFont="1" applyFill="1" applyBorder="1" applyAlignment="1">
      <alignment horizontal="left"/>
    </xf>
    <xf numFmtId="6" fontId="8" fillId="9" borderId="1" xfId="0" applyNumberFormat="1" applyFont="1" applyFill="1" applyBorder="1" applyAlignment="1">
      <alignment horizontal="left" vertical="center"/>
    </xf>
    <xf numFmtId="2" fontId="8" fillId="9" borderId="1" xfId="0" applyNumberFormat="1" applyFont="1" applyFill="1" applyBorder="1" applyAlignment="1">
      <alignment horizontal="left"/>
    </xf>
    <xf numFmtId="0" fontId="8" fillId="9" borderId="1" xfId="0" applyFont="1" applyFill="1" applyBorder="1" applyAlignment="1">
      <alignment horizontal="left"/>
    </xf>
    <xf numFmtId="1" fontId="8" fillId="9" borderId="1" xfId="0" applyNumberFormat="1" applyFont="1" applyFill="1" applyBorder="1" applyAlignment="1">
      <alignment horizontal="left"/>
    </xf>
    <xf numFmtId="1" fontId="11" fillId="9" borderId="1" xfId="1" applyNumberFormat="1" applyFont="1" applyFill="1" applyBorder="1" applyAlignment="1">
      <alignment horizontal="left"/>
    </xf>
    <xf numFmtId="0" fontId="0" fillId="4" borderId="1" xfId="0" applyFill="1" applyBorder="1"/>
    <xf numFmtId="9" fontId="0" fillId="0" borderId="1" xfId="0" applyNumberFormat="1" applyBorder="1" applyAlignment="1">
      <alignment horizontal="left"/>
    </xf>
    <xf numFmtId="9" fontId="11" fillId="3" borderId="1" xfId="1" applyFont="1" applyFill="1" applyBorder="1" applyAlignment="1">
      <alignment horizontal="left"/>
    </xf>
    <xf numFmtId="0" fontId="12" fillId="8" borderId="1" xfId="0" applyFont="1" applyFill="1" applyBorder="1" applyAlignment="1">
      <alignment horizontal="left" vertical="center"/>
    </xf>
    <xf numFmtId="0" fontId="12" fillId="6" borderId="6" xfId="0" applyFont="1" applyFill="1" applyBorder="1" applyAlignment="1">
      <alignment horizontal="left" vertical="center"/>
    </xf>
    <xf numFmtId="0" fontId="12" fillId="6" borderId="7" xfId="0" applyFont="1" applyFill="1" applyBorder="1" applyAlignment="1">
      <alignment horizontal="left" vertical="center"/>
    </xf>
    <xf numFmtId="0" fontId="12" fillId="6" borderId="2" xfId="0" applyFont="1" applyFill="1" applyBorder="1" applyAlignment="1">
      <alignment horizontal="left" vertical="center"/>
    </xf>
    <xf numFmtId="0" fontId="12" fillId="6" borderId="1" xfId="0" applyFont="1" applyFill="1" applyBorder="1" applyAlignment="1">
      <alignment horizontal="left" vertical="center"/>
    </xf>
    <xf numFmtId="0" fontId="8" fillId="8" borderId="6" xfId="0" applyFont="1" applyFill="1" applyBorder="1" applyAlignment="1">
      <alignment horizontal="left" vertical="center"/>
    </xf>
    <xf numFmtId="0" fontId="8" fillId="8" borderId="7" xfId="0" applyFont="1" applyFill="1" applyBorder="1" applyAlignment="1">
      <alignment horizontal="left" vertical="center"/>
    </xf>
    <xf numFmtId="0" fontId="8" fillId="8" borderId="2" xfId="0" applyFont="1" applyFill="1" applyBorder="1" applyAlignment="1">
      <alignment horizontal="left" vertical="center"/>
    </xf>
    <xf numFmtId="9" fontId="8" fillId="3" borderId="1" xfId="1" applyFont="1" applyFill="1" applyBorder="1" applyAlignment="1">
      <alignment horizontal="left" vertical="center"/>
    </xf>
    <xf numFmtId="0" fontId="8" fillId="6" borderId="6" xfId="0" applyFont="1" applyFill="1" applyBorder="1" applyAlignment="1">
      <alignment horizontal="left" vertical="center"/>
    </xf>
    <xf numFmtId="0" fontId="8" fillId="6" borderId="7" xfId="0" applyFont="1" applyFill="1" applyBorder="1" applyAlignment="1">
      <alignment horizontal="left" vertical="center"/>
    </xf>
    <xf numFmtId="0" fontId="8" fillId="6" borderId="2" xfId="0" applyFont="1" applyFill="1" applyBorder="1" applyAlignment="1">
      <alignment horizontal="left" vertical="center"/>
    </xf>
    <xf numFmtId="0" fontId="8" fillId="8" borderId="31" xfId="0" applyFont="1" applyFill="1" applyBorder="1" applyAlignment="1">
      <alignment horizontal="left" vertical="top"/>
    </xf>
    <xf numFmtId="0" fontId="13" fillId="0" borderId="0" xfId="0" applyFont="1"/>
    <xf numFmtId="0" fontId="13" fillId="0" borderId="1" xfId="0" applyFont="1" applyBorder="1"/>
    <xf numFmtId="164" fontId="13" fillId="0" borderId="1" xfId="0" applyNumberFormat="1" applyFont="1" applyBorder="1" applyAlignment="1">
      <alignment horizontal="center"/>
    </xf>
    <xf numFmtId="164" fontId="13" fillId="0" borderId="0" xfId="0" applyNumberFormat="1" applyFont="1" applyAlignment="1">
      <alignment horizontal="center"/>
    </xf>
    <xf numFmtId="0" fontId="13" fillId="0" borderId="3" xfId="0" applyFont="1" applyBorder="1"/>
    <xf numFmtId="164" fontId="13" fillId="0" borderId="3" xfId="0" applyNumberFormat="1" applyFont="1" applyBorder="1" applyAlignment="1">
      <alignment horizontal="center"/>
    </xf>
    <xf numFmtId="0" fontId="13" fillId="0" borderId="1" xfId="0" applyFont="1" applyBorder="1" applyAlignment="1">
      <alignment horizontal="left" vertical="center"/>
    </xf>
    <xf numFmtId="0" fontId="13" fillId="0" borderId="14" xfId="0" applyFont="1" applyBorder="1" applyAlignment="1">
      <alignment horizontal="left" vertical="center"/>
    </xf>
    <xf numFmtId="0" fontId="13" fillId="0" borderId="0" xfId="0" applyFont="1" applyAlignment="1">
      <alignment horizontal="left" vertical="center" indent="1"/>
    </xf>
    <xf numFmtId="0" fontId="13" fillId="0" borderId="5" xfId="0" applyFont="1" applyBorder="1"/>
    <xf numFmtId="164" fontId="13" fillId="0" borderId="5" xfId="0" applyNumberFormat="1" applyFont="1" applyBorder="1" applyAlignment="1">
      <alignment horizontal="center"/>
    </xf>
    <xf numFmtId="0" fontId="13" fillId="0" borderId="5" xfId="0" applyFont="1" applyBorder="1" applyAlignment="1">
      <alignment horizontal="left" vertical="center"/>
    </xf>
    <xf numFmtId="0" fontId="13" fillId="0" borderId="9" xfId="0" applyFont="1" applyBorder="1"/>
    <xf numFmtId="0" fontId="13" fillId="0" borderId="14" xfId="0" applyFont="1" applyBorder="1"/>
    <xf numFmtId="0" fontId="14" fillId="0" borderId="1" xfId="0" applyFont="1" applyBorder="1"/>
    <xf numFmtId="0" fontId="13" fillId="0" borderId="1" xfId="0" applyFont="1" applyBorder="1" applyAlignment="1">
      <alignment vertical="center"/>
    </xf>
    <xf numFmtId="0" fontId="14" fillId="0" borderId="1" xfId="0" applyFont="1" applyBorder="1" applyAlignment="1">
      <alignment horizontal="left"/>
    </xf>
    <xf numFmtId="0" fontId="13" fillId="0" borderId="0" xfId="0" applyFont="1" applyAlignment="1">
      <alignment horizontal="left"/>
    </xf>
    <xf numFmtId="0" fontId="14" fillId="0" borderId="1" xfId="0" applyFont="1" applyBorder="1" applyAlignment="1">
      <alignment horizontal="left" vertical="center"/>
    </xf>
    <xf numFmtId="0" fontId="13" fillId="0" borderId="1" xfId="0" applyFont="1" applyBorder="1" applyAlignment="1">
      <alignment horizontal="left" vertical="center" wrapText="1"/>
    </xf>
    <xf numFmtId="0" fontId="13" fillId="0" borderId="1" xfId="0" applyFont="1" applyBorder="1" applyAlignment="1">
      <alignment horizontal="left" wrapText="1"/>
    </xf>
    <xf numFmtId="9" fontId="13" fillId="0" borderId="1" xfId="1" applyFont="1" applyBorder="1" applyAlignment="1">
      <alignment horizontal="center"/>
    </xf>
    <xf numFmtId="164" fontId="13" fillId="0" borderId="1" xfId="1" applyNumberFormat="1" applyFont="1" applyBorder="1" applyAlignment="1">
      <alignment horizontal="center"/>
    </xf>
    <xf numFmtId="0" fontId="13" fillId="0" borderId="3" xfId="0" applyFont="1" applyBorder="1" applyAlignment="1">
      <alignment horizontal="left" vertical="center" wrapText="1"/>
    </xf>
    <xf numFmtId="10" fontId="13" fillId="0" borderId="1" xfId="1" applyNumberFormat="1" applyFont="1" applyBorder="1" applyAlignment="1">
      <alignment horizontal="center"/>
    </xf>
    <xf numFmtId="4" fontId="13" fillId="0" borderId="1" xfId="0" applyNumberFormat="1" applyFont="1" applyBorder="1" applyAlignment="1">
      <alignment horizontal="center"/>
    </xf>
    <xf numFmtId="2" fontId="13" fillId="0" borderId="1" xfId="1" applyNumberFormat="1" applyFont="1" applyBorder="1" applyAlignment="1">
      <alignment horizontal="center"/>
    </xf>
    <xf numFmtId="9" fontId="13" fillId="0" borderId="3" xfId="1" applyFont="1" applyBorder="1" applyAlignment="1">
      <alignment horizontal="center"/>
    </xf>
    <xf numFmtId="164" fontId="13" fillId="2" borderId="3" xfId="0" applyNumberFormat="1" applyFont="1" applyFill="1" applyBorder="1" applyAlignment="1">
      <alignment horizontal="center"/>
    </xf>
    <xf numFmtId="164" fontId="13" fillId="2" borderId="1" xfId="0" applyNumberFormat="1" applyFont="1" applyFill="1" applyBorder="1" applyAlignment="1">
      <alignment horizontal="center"/>
    </xf>
    <xf numFmtId="164" fontId="13" fillId="2" borderId="1" xfId="0" applyNumberFormat="1" applyFont="1" applyFill="1" applyBorder="1" applyAlignment="1">
      <alignment horizontal="center" vertical="center"/>
    </xf>
    <xf numFmtId="164" fontId="13" fillId="2" borderId="10" xfId="0" applyNumberFormat="1" applyFont="1" applyFill="1" applyBorder="1" applyAlignment="1">
      <alignment horizontal="center"/>
    </xf>
    <xf numFmtId="164" fontId="13" fillId="2" borderId="12" xfId="0" applyNumberFormat="1" applyFont="1" applyFill="1" applyBorder="1" applyAlignment="1">
      <alignment horizontal="center"/>
    </xf>
    <xf numFmtId="164" fontId="13" fillId="2" borderId="15" xfId="0" applyNumberFormat="1" applyFont="1" applyFill="1" applyBorder="1" applyAlignment="1">
      <alignment horizontal="center"/>
    </xf>
    <xf numFmtId="164" fontId="13" fillId="0" borderId="27" xfId="0" applyNumberFormat="1" applyFont="1" applyBorder="1" applyAlignment="1">
      <alignment horizontal="center" vertical="center"/>
    </xf>
    <xf numFmtId="164" fontId="13" fillId="2" borderId="12" xfId="0" applyNumberFormat="1" applyFont="1" applyFill="1" applyBorder="1" applyAlignment="1">
      <alignment horizontal="center" vertical="center"/>
    </xf>
    <xf numFmtId="164" fontId="13" fillId="4" borderId="1" xfId="0" applyNumberFormat="1" applyFont="1" applyFill="1" applyBorder="1" applyAlignment="1">
      <alignment horizontal="center"/>
    </xf>
    <xf numFmtId="2" fontId="7" fillId="4" borderId="1" xfId="1" applyNumberFormat="1" applyFont="1" applyFill="1" applyBorder="1" applyAlignment="1">
      <alignment horizontal="center"/>
    </xf>
    <xf numFmtId="0" fontId="10" fillId="6" borderId="1" xfId="0" applyFont="1" applyFill="1" applyBorder="1" applyAlignment="1">
      <alignment horizontal="center" vertical="center" textRotation="45" wrapText="1"/>
    </xf>
    <xf numFmtId="0" fontId="18" fillId="6" borderId="1" xfId="0" applyFont="1" applyFill="1" applyBorder="1" applyAlignment="1">
      <alignment horizontal="center" vertical="center" textRotation="45" wrapText="1"/>
    </xf>
    <xf numFmtId="0" fontId="18" fillId="6" borderId="1" xfId="0" applyFont="1" applyFill="1" applyBorder="1" applyAlignment="1">
      <alignment horizontal="center" vertical="center" textRotation="45"/>
    </xf>
    <xf numFmtId="0" fontId="1" fillId="5" borderId="9" xfId="0" applyFont="1" applyFill="1" applyBorder="1" applyAlignment="1">
      <alignment horizontal="left" wrapText="1"/>
    </xf>
    <xf numFmtId="0" fontId="1" fillId="0" borderId="5" xfId="0" applyFont="1" applyBorder="1" applyAlignment="1">
      <alignment horizontal="left" vertical="center" wrapText="1"/>
    </xf>
    <xf numFmtId="0" fontId="8" fillId="8" borderId="31" xfId="0" applyFont="1" applyFill="1" applyBorder="1" applyAlignment="1">
      <alignment vertical="center"/>
    </xf>
    <xf numFmtId="0" fontId="20" fillId="0" borderId="42" xfId="0" applyFont="1" applyBorder="1"/>
    <xf numFmtId="0" fontId="20" fillId="0" borderId="48" xfId="0" applyFont="1" applyBorder="1"/>
    <xf numFmtId="0" fontId="11" fillId="0" borderId="48" xfId="0" applyFont="1" applyBorder="1"/>
    <xf numFmtId="0" fontId="11" fillId="0" borderId="38" xfId="0" applyFont="1" applyBorder="1"/>
    <xf numFmtId="0" fontId="11" fillId="10" borderId="0" xfId="0" applyFont="1" applyFill="1"/>
    <xf numFmtId="0" fontId="11" fillId="10" borderId="0" xfId="0" applyFont="1" applyFill="1" applyAlignment="1">
      <alignment horizontal="center" vertical="center"/>
    </xf>
    <xf numFmtId="0" fontId="11" fillId="10" borderId="43" xfId="0" applyFont="1" applyFill="1" applyBorder="1"/>
    <xf numFmtId="0" fontId="8" fillId="10" borderId="0" xfId="0" applyFont="1" applyFill="1" applyAlignment="1">
      <alignment horizontal="left"/>
    </xf>
    <xf numFmtId="0" fontId="8" fillId="10" borderId="0" xfId="0" applyFont="1" applyFill="1" applyAlignment="1">
      <alignment horizontal="left" vertical="top"/>
    </xf>
    <xf numFmtId="0" fontId="8" fillId="10" borderId="0" xfId="0" applyFont="1" applyFill="1" applyAlignment="1">
      <alignment horizontal="left" wrapText="1"/>
    </xf>
    <xf numFmtId="0" fontId="21" fillId="0" borderId="0" xfId="0" applyFont="1"/>
    <xf numFmtId="0" fontId="19" fillId="0" borderId="0" xfId="0" applyFont="1"/>
    <xf numFmtId="0" fontId="1" fillId="6" borderId="45" xfId="0" applyFont="1" applyFill="1" applyBorder="1" applyAlignment="1">
      <alignment horizontal="center" vertical="top"/>
    </xf>
    <xf numFmtId="0" fontId="1" fillId="5" borderId="21" xfId="0" applyFont="1" applyFill="1" applyBorder="1" applyAlignment="1">
      <alignment horizontal="left" vertical="center" wrapText="1"/>
    </xf>
    <xf numFmtId="6" fontId="8" fillId="9" borderId="3" xfId="0" applyNumberFormat="1" applyFont="1" applyFill="1" applyBorder="1" applyAlignment="1">
      <alignment horizontal="left" vertical="center"/>
    </xf>
    <xf numFmtId="0" fontId="17" fillId="2" borderId="3" xfId="0" applyFont="1" applyFill="1" applyBorder="1" applyAlignment="1">
      <alignment horizontal="center"/>
    </xf>
    <xf numFmtId="0" fontId="17" fillId="2" borderId="3" xfId="0" applyFont="1" applyFill="1" applyBorder="1" applyAlignment="1">
      <alignment horizontal="center" vertical="top" wrapText="1"/>
    </xf>
    <xf numFmtId="0" fontId="8" fillId="8" borderId="52" xfId="0" applyFont="1" applyFill="1" applyBorder="1" applyAlignment="1">
      <alignment horizontal="left"/>
    </xf>
    <xf numFmtId="0" fontId="8" fillId="11" borderId="8" xfId="0" applyFont="1" applyFill="1" applyBorder="1" applyAlignment="1">
      <alignment horizontal="left"/>
    </xf>
    <xf numFmtId="6" fontId="8" fillId="11" borderId="10" xfId="0" applyNumberFormat="1" applyFont="1" applyFill="1" applyBorder="1" applyAlignment="1">
      <alignment horizontal="left" vertical="center"/>
    </xf>
    <xf numFmtId="0" fontId="8" fillId="11" borderId="11" xfId="0" applyFont="1" applyFill="1" applyBorder="1" applyAlignment="1">
      <alignment horizontal="left"/>
    </xf>
    <xf numFmtId="6" fontId="8" fillId="11" borderId="12" xfId="0" applyNumberFormat="1" applyFont="1" applyFill="1" applyBorder="1" applyAlignment="1">
      <alignment horizontal="left" vertical="center"/>
    </xf>
    <xf numFmtId="0" fontId="8" fillId="11" borderId="13" xfId="0" applyFont="1" applyFill="1" applyBorder="1" applyAlignment="1">
      <alignment horizontal="left"/>
    </xf>
    <xf numFmtId="0" fontId="8" fillId="11" borderId="26" xfId="0" applyFont="1" applyFill="1" applyBorder="1" applyAlignment="1">
      <alignment horizontal="left"/>
    </xf>
    <xf numFmtId="6" fontId="8" fillId="11" borderId="27" xfId="0" applyNumberFormat="1" applyFont="1" applyFill="1" applyBorder="1" applyAlignment="1">
      <alignment horizontal="left" vertical="center"/>
    </xf>
    <xf numFmtId="0" fontId="22" fillId="0" borderId="1" xfId="0" applyFont="1" applyBorder="1" applyAlignment="1">
      <alignment horizontal="left"/>
    </xf>
    <xf numFmtId="0" fontId="22" fillId="0" borderId="1" xfId="0" applyFont="1" applyBorder="1" applyAlignment="1">
      <alignment vertical="center" wrapText="1"/>
    </xf>
    <xf numFmtId="0" fontId="22" fillId="0" borderId="1" xfId="0" applyFont="1" applyBorder="1" applyAlignment="1">
      <alignment vertical="center"/>
    </xf>
    <xf numFmtId="0" fontId="22" fillId="0" borderId="1" xfId="0" applyFont="1" applyBorder="1" applyAlignment="1">
      <alignment horizontal="left" vertical="center"/>
    </xf>
    <xf numFmtId="0" fontId="12" fillId="8" borderId="1" xfId="0" applyFont="1" applyFill="1" applyBorder="1" applyAlignment="1">
      <alignment vertical="center"/>
    </xf>
    <xf numFmtId="0" fontId="17" fillId="2" borderId="1" xfId="0" applyFont="1" applyFill="1" applyBorder="1" applyAlignment="1">
      <alignment horizontal="center"/>
    </xf>
    <xf numFmtId="0" fontId="17" fillId="2" borderId="1" xfId="0" applyFont="1" applyFill="1" applyBorder="1" applyAlignment="1">
      <alignment horizontal="center" vertical="center"/>
    </xf>
    <xf numFmtId="9" fontId="1" fillId="6" borderId="1" xfId="1" applyFont="1" applyFill="1" applyBorder="1" applyAlignment="1">
      <alignment vertical="top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64" fontId="0" fillId="0" borderId="33" xfId="0" applyNumberFormat="1" applyBorder="1" applyAlignment="1">
      <alignment horizontal="left"/>
    </xf>
    <xf numFmtId="164" fontId="0" fillId="0" borderId="34" xfId="0" applyNumberFormat="1" applyBorder="1" applyAlignment="1">
      <alignment horizontal="left"/>
    </xf>
    <xf numFmtId="164" fontId="0" fillId="0" borderId="35" xfId="0" applyNumberFormat="1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18" xfId="0" applyBorder="1" applyAlignment="1">
      <alignment horizontal="left"/>
    </xf>
    <xf numFmtId="164" fontId="0" fillId="4" borderId="9" xfId="0" applyNumberFormat="1" applyFill="1" applyBorder="1" applyAlignment="1">
      <alignment horizontal="left"/>
    </xf>
    <xf numFmtId="164" fontId="0" fillId="4" borderId="10" xfId="0" applyNumberFormat="1" applyFill="1" applyBorder="1" applyAlignment="1">
      <alignment horizontal="left"/>
    </xf>
    <xf numFmtId="0" fontId="0" fillId="0" borderId="36" xfId="0" applyBorder="1" applyAlignment="1">
      <alignment horizontal="left"/>
    </xf>
    <xf numFmtId="164" fontId="0" fillId="7" borderId="5" xfId="0" applyNumberFormat="1" applyFill="1" applyBorder="1" applyAlignment="1">
      <alignment horizontal="left"/>
    </xf>
    <xf numFmtId="0" fontId="0" fillId="3" borderId="5" xfId="0" applyFill="1" applyBorder="1" applyAlignment="1">
      <alignment horizontal="left"/>
    </xf>
    <xf numFmtId="0" fontId="0" fillId="0" borderId="5" xfId="0" applyBorder="1" applyAlignment="1">
      <alignment horizontal="left"/>
    </xf>
    <xf numFmtId="164" fontId="0" fillId="4" borderId="27" xfId="0" applyNumberFormat="1" applyFill="1" applyBorder="1" applyAlignment="1">
      <alignment horizontal="left"/>
    </xf>
    <xf numFmtId="0" fontId="0" fillId="0" borderId="6" xfId="0" applyBorder="1" applyAlignment="1">
      <alignment horizontal="left"/>
    </xf>
    <xf numFmtId="164" fontId="0" fillId="4" borderId="1" xfId="0" applyNumberFormat="1" applyFill="1" applyBorder="1" applyAlignment="1">
      <alignment horizontal="left"/>
    </xf>
    <xf numFmtId="164" fontId="0" fillId="4" borderId="12" xfId="0" applyNumberFormat="1" applyFill="1" applyBorder="1" applyAlignment="1">
      <alignment horizontal="left"/>
    </xf>
    <xf numFmtId="0" fontId="0" fillId="0" borderId="2" xfId="0" applyBorder="1" applyAlignment="1">
      <alignment horizontal="left"/>
    </xf>
    <xf numFmtId="164" fontId="0" fillId="7" borderId="1" xfId="0" applyNumberFormat="1" applyFill="1" applyBorder="1" applyAlignment="1">
      <alignment horizontal="left"/>
    </xf>
    <xf numFmtId="0" fontId="0" fillId="3" borderId="1" xfId="0" applyFill="1" applyBorder="1" applyAlignment="1">
      <alignment horizontal="left"/>
    </xf>
    <xf numFmtId="0" fontId="0" fillId="8" borderId="6" xfId="0" applyFill="1" applyBorder="1" applyAlignment="1">
      <alignment horizontal="left"/>
    </xf>
    <xf numFmtId="0" fontId="0" fillId="3" borderId="6" xfId="0" applyFill="1" applyBorder="1" applyAlignment="1">
      <alignment horizontal="left"/>
    </xf>
    <xf numFmtId="164" fontId="0" fillId="3" borderId="1" xfId="0" applyNumberFormat="1" applyFill="1" applyBorder="1" applyAlignment="1">
      <alignment horizontal="left"/>
    </xf>
    <xf numFmtId="164" fontId="0" fillId="3" borderId="12" xfId="0" applyNumberFormat="1" applyFill="1" applyBorder="1" applyAlignment="1">
      <alignment horizontal="left"/>
    </xf>
    <xf numFmtId="0" fontId="0" fillId="0" borderId="14" xfId="0" applyBorder="1" applyAlignment="1">
      <alignment horizontal="left"/>
    </xf>
    <xf numFmtId="0" fontId="0" fillId="0" borderId="32" xfId="0" applyBorder="1" applyAlignment="1">
      <alignment horizontal="left" vertical="center"/>
    </xf>
    <xf numFmtId="0" fontId="0" fillId="3" borderId="24" xfId="0" applyFill="1" applyBorder="1" applyAlignment="1">
      <alignment horizontal="left"/>
    </xf>
    <xf numFmtId="164" fontId="0" fillId="4" borderId="14" xfId="0" applyNumberFormat="1" applyFill="1" applyBorder="1" applyAlignment="1">
      <alignment horizontal="left"/>
    </xf>
    <xf numFmtId="164" fontId="0" fillId="4" borderId="15" xfId="0" applyNumberFormat="1" applyFill="1" applyBorder="1" applyAlignment="1">
      <alignment horizontal="left"/>
    </xf>
    <xf numFmtId="0" fontId="0" fillId="0" borderId="55" xfId="0" applyBorder="1" applyAlignment="1">
      <alignment horizontal="left"/>
    </xf>
    <xf numFmtId="164" fontId="0" fillId="3" borderId="14" xfId="0" applyNumberFormat="1" applyFill="1" applyBorder="1" applyAlignment="1">
      <alignment horizontal="left"/>
    </xf>
    <xf numFmtId="0" fontId="0" fillId="8" borderId="24" xfId="0" applyFill="1" applyBorder="1" applyAlignment="1">
      <alignment horizontal="left"/>
    </xf>
    <xf numFmtId="164" fontId="0" fillId="7" borderId="14" xfId="0" applyNumberFormat="1" applyFill="1" applyBorder="1" applyAlignment="1">
      <alignment horizontal="left"/>
    </xf>
    <xf numFmtId="0" fontId="0" fillId="3" borderId="14" xfId="0" applyFill="1" applyBorder="1" applyAlignment="1">
      <alignment horizontal="left"/>
    </xf>
    <xf numFmtId="164" fontId="0" fillId="4" borderId="22" xfId="0" applyNumberFormat="1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28" xfId="0" applyBorder="1" applyAlignment="1">
      <alignment horizontal="left"/>
    </xf>
    <xf numFmtId="164" fontId="0" fillId="4" borderId="50" xfId="0" applyNumberFormat="1" applyFill="1" applyBorder="1" applyAlignment="1">
      <alignment horizontal="left"/>
    </xf>
    <xf numFmtId="0" fontId="0" fillId="8" borderId="9" xfId="0" applyFill="1" applyBorder="1" applyAlignment="1">
      <alignment horizontal="left"/>
    </xf>
    <xf numFmtId="164" fontId="0" fillId="8" borderId="10" xfId="0" applyNumberFormat="1" applyFill="1" applyBorder="1" applyAlignment="1">
      <alignment horizontal="left"/>
    </xf>
    <xf numFmtId="164" fontId="0" fillId="8" borderId="0" xfId="0" applyNumberFormat="1" applyFill="1" applyAlignment="1">
      <alignment horizontal="left"/>
    </xf>
    <xf numFmtId="0" fontId="0" fillId="8" borderId="1" xfId="0" applyFill="1" applyBorder="1" applyAlignment="1">
      <alignment horizontal="left"/>
    </xf>
    <xf numFmtId="164" fontId="0" fillId="8" borderId="12" xfId="0" applyNumberFormat="1" applyFill="1" applyBorder="1" applyAlignment="1">
      <alignment horizontal="left"/>
    </xf>
    <xf numFmtId="164" fontId="0" fillId="8" borderId="1" xfId="0" applyNumberFormat="1" applyFill="1" applyBorder="1" applyAlignment="1">
      <alignment horizontal="left"/>
    </xf>
    <xf numFmtId="164" fontId="0" fillId="0" borderId="1" xfId="0" applyNumberFormat="1" applyBorder="1" applyAlignment="1">
      <alignment horizontal="left"/>
    </xf>
    <xf numFmtId="164" fontId="0" fillId="0" borderId="0" xfId="0" applyNumberFormat="1" applyAlignment="1">
      <alignment horizontal="left"/>
    </xf>
    <xf numFmtId="0" fontId="0" fillId="8" borderId="14" xfId="0" applyFill="1" applyBorder="1" applyAlignment="1">
      <alignment horizontal="left"/>
    </xf>
    <xf numFmtId="164" fontId="0" fillId="4" borderId="53" xfId="0" applyNumberFormat="1" applyFill="1" applyBorder="1" applyAlignment="1">
      <alignment horizontal="left"/>
    </xf>
    <xf numFmtId="164" fontId="0" fillId="4" borderId="0" xfId="0" applyNumberFormat="1" applyFill="1" applyAlignment="1">
      <alignment horizontal="left"/>
    </xf>
    <xf numFmtId="164" fontId="0" fillId="4" borderId="23" xfId="0" applyNumberFormat="1" applyFill="1" applyBorder="1" applyAlignment="1">
      <alignment horizontal="left"/>
    </xf>
    <xf numFmtId="164" fontId="0" fillId="4" borderId="49" xfId="0" applyNumberFormat="1" applyFill="1" applyBorder="1" applyAlignment="1">
      <alignment horizontal="left"/>
    </xf>
    <xf numFmtId="164" fontId="0" fillId="0" borderId="10" xfId="0" applyNumberFormat="1" applyBorder="1" applyAlignment="1">
      <alignment horizontal="left"/>
    </xf>
    <xf numFmtId="164" fontId="0" fillId="0" borderId="12" xfId="0" applyNumberFormat="1" applyBorder="1" applyAlignment="1">
      <alignment horizontal="left"/>
    </xf>
    <xf numFmtId="0" fontId="0" fillId="0" borderId="3" xfId="0" applyBorder="1" applyAlignment="1">
      <alignment horizontal="left"/>
    </xf>
    <xf numFmtId="164" fontId="0" fillId="0" borderId="16" xfId="0" applyNumberFormat="1" applyBorder="1" applyAlignment="1">
      <alignment horizontal="left"/>
    </xf>
    <xf numFmtId="0" fontId="0" fillId="0" borderId="1" xfId="0" applyBorder="1" applyAlignment="1">
      <alignment horizontal="left" vertical="center"/>
    </xf>
    <xf numFmtId="0" fontId="0" fillId="0" borderId="48" xfId="0" applyBorder="1" applyAlignment="1">
      <alignment horizontal="left"/>
    </xf>
    <xf numFmtId="164" fontId="0" fillId="0" borderId="15" xfId="0" applyNumberFormat="1" applyBorder="1" applyAlignment="1">
      <alignment horizontal="left"/>
    </xf>
    <xf numFmtId="164" fontId="0" fillId="0" borderId="3" xfId="0" applyNumberFormat="1" applyBorder="1" applyAlignment="1">
      <alignment horizontal="left"/>
    </xf>
    <xf numFmtId="0" fontId="1" fillId="5" borderId="17" xfId="0" applyFont="1" applyFill="1" applyBorder="1" applyAlignment="1">
      <alignment horizontal="left"/>
    </xf>
    <xf numFmtId="0" fontId="1" fillId="5" borderId="9" xfId="0" applyFont="1" applyFill="1" applyBorder="1" applyAlignment="1">
      <alignment horizontal="left"/>
    </xf>
    <xf numFmtId="0" fontId="1" fillId="5" borderId="10" xfId="0" applyFont="1" applyFill="1" applyBorder="1" applyAlignment="1">
      <alignment horizontal="left"/>
    </xf>
    <xf numFmtId="6" fontId="8" fillId="11" borderId="56" xfId="0" applyNumberFormat="1" applyFont="1" applyFill="1" applyBorder="1" applyAlignment="1">
      <alignment horizontal="left" vertical="center"/>
    </xf>
    <xf numFmtId="6" fontId="8" fillId="11" borderId="57" xfId="0" applyNumberFormat="1" applyFont="1" applyFill="1" applyBorder="1" applyAlignment="1">
      <alignment horizontal="left" vertical="center"/>
    </xf>
    <xf numFmtId="6" fontId="8" fillId="11" borderId="58" xfId="0" applyNumberFormat="1" applyFont="1" applyFill="1" applyBorder="1" applyAlignment="1">
      <alignment horizontal="left" vertical="center"/>
    </xf>
    <xf numFmtId="0" fontId="23" fillId="0" borderId="40" xfId="0" applyFont="1" applyBorder="1" applyAlignment="1">
      <alignment horizontal="center" vertical="top"/>
    </xf>
    <xf numFmtId="0" fontId="23" fillId="0" borderId="0" xfId="0" applyFont="1" applyAlignment="1">
      <alignment horizontal="center" vertical="top"/>
    </xf>
    <xf numFmtId="0" fontId="11" fillId="0" borderId="42" xfId="0" applyFont="1" applyBorder="1" applyAlignment="1">
      <alignment horizontal="center" vertical="center"/>
    </xf>
    <xf numFmtId="0" fontId="11" fillId="0" borderId="48" xfId="0" applyFont="1" applyBorder="1" applyAlignment="1">
      <alignment horizontal="center" vertical="center"/>
    </xf>
    <xf numFmtId="0" fontId="11" fillId="0" borderId="38" xfId="0" applyFont="1" applyBorder="1" applyAlignment="1">
      <alignment horizontal="center" vertical="center"/>
    </xf>
    <xf numFmtId="0" fontId="11" fillId="0" borderId="43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44" xfId="0" applyFont="1" applyBorder="1" applyAlignment="1">
      <alignment horizontal="center" vertical="center"/>
    </xf>
    <xf numFmtId="0" fontId="11" fillId="0" borderId="39" xfId="0" applyFont="1" applyBorder="1" applyAlignment="1">
      <alignment horizontal="center" vertical="center"/>
    </xf>
    <xf numFmtId="0" fontId="11" fillId="0" borderId="46" xfId="0" applyFont="1" applyBorder="1" applyAlignment="1">
      <alignment horizontal="center" vertical="center"/>
    </xf>
    <xf numFmtId="0" fontId="11" fillId="0" borderId="47" xfId="0" applyFont="1" applyBorder="1" applyAlignment="1">
      <alignment horizontal="center" vertical="center"/>
    </xf>
    <xf numFmtId="164" fontId="8" fillId="8" borderId="6" xfId="0" applyNumberFormat="1" applyFont="1" applyFill="1" applyBorder="1" applyAlignment="1">
      <alignment horizontal="left" vertical="center"/>
    </xf>
    <xf numFmtId="164" fontId="8" fillId="8" borderId="2" xfId="0" applyNumberFormat="1" applyFont="1" applyFill="1" applyBorder="1" applyAlignment="1">
      <alignment horizontal="left" vertical="center"/>
    </xf>
    <xf numFmtId="0" fontId="14" fillId="6" borderId="1" xfId="0" applyFont="1" applyFill="1" applyBorder="1" applyAlignment="1">
      <alignment horizontal="left" vertical="center"/>
    </xf>
    <xf numFmtId="164" fontId="12" fillId="6" borderId="6" xfId="0" applyNumberFormat="1" applyFont="1" applyFill="1" applyBorder="1" applyAlignment="1">
      <alignment horizontal="left" vertical="center"/>
    </xf>
    <xf numFmtId="164" fontId="12" fillId="6" borderId="2" xfId="0" applyNumberFormat="1" applyFont="1" applyFill="1" applyBorder="1" applyAlignment="1">
      <alignment horizontal="left" vertical="center"/>
    </xf>
    <xf numFmtId="9" fontId="6" fillId="6" borderId="37" xfId="1" applyFont="1" applyFill="1" applyBorder="1" applyAlignment="1">
      <alignment horizontal="center" vertical="center"/>
    </xf>
    <xf numFmtId="9" fontId="6" fillId="6" borderId="40" xfId="1" applyFont="1" applyFill="1" applyBorder="1" applyAlignment="1">
      <alignment horizontal="center" vertical="center"/>
    </xf>
    <xf numFmtId="9" fontId="6" fillId="6" borderId="41" xfId="1" applyFont="1" applyFill="1" applyBorder="1" applyAlignment="1">
      <alignment horizontal="center" vertical="center"/>
    </xf>
    <xf numFmtId="9" fontId="6" fillId="6" borderId="29" xfId="1" applyFont="1" applyFill="1" applyBorder="1" applyAlignment="1">
      <alignment horizontal="center" vertical="center"/>
    </xf>
    <xf numFmtId="9" fontId="6" fillId="6" borderId="30" xfId="1" applyFont="1" applyFill="1" applyBorder="1" applyAlignment="1">
      <alignment horizontal="center" vertical="center"/>
    </xf>
    <xf numFmtId="9" fontId="6" fillId="6" borderId="36" xfId="1" applyFont="1" applyFill="1" applyBorder="1" applyAlignment="1">
      <alignment horizontal="center" vertical="center"/>
    </xf>
    <xf numFmtId="0" fontId="15" fillId="6" borderId="1" xfId="0" applyFont="1" applyFill="1" applyBorder="1" applyAlignment="1">
      <alignment horizontal="center" vertical="center" wrapText="1"/>
    </xf>
    <xf numFmtId="0" fontId="1" fillId="6" borderId="45" xfId="0" applyFont="1" applyFill="1" applyBorder="1" applyAlignment="1">
      <alignment horizontal="center" vertical="center"/>
    </xf>
    <xf numFmtId="0" fontId="1" fillId="6" borderId="2" xfId="0" applyFont="1" applyFill="1" applyBorder="1" applyAlignment="1">
      <alignment horizontal="center" vertical="center"/>
    </xf>
    <xf numFmtId="0" fontId="1" fillId="6" borderId="6" xfId="0" applyFont="1" applyFill="1" applyBorder="1" applyAlignment="1">
      <alignment horizontal="center" vertical="top"/>
    </xf>
    <xf numFmtId="0" fontId="1" fillId="6" borderId="2" xfId="0" applyFont="1" applyFill="1" applyBorder="1" applyAlignment="1">
      <alignment horizontal="center" vertical="top"/>
    </xf>
    <xf numFmtId="6" fontId="7" fillId="8" borderId="41" xfId="0" applyNumberFormat="1" applyFont="1" applyFill="1" applyBorder="1" applyAlignment="1">
      <alignment horizontal="center" vertical="center" textRotation="90"/>
    </xf>
    <xf numFmtId="6" fontId="7" fillId="8" borderId="51" xfId="0" applyNumberFormat="1" applyFont="1" applyFill="1" applyBorder="1" applyAlignment="1">
      <alignment horizontal="center" vertical="center" textRotation="90"/>
    </xf>
    <xf numFmtId="6" fontId="7" fillId="8" borderId="0" xfId="0" applyNumberFormat="1" applyFont="1" applyFill="1" applyAlignment="1">
      <alignment horizontal="center" vertical="center" textRotation="90"/>
    </xf>
    <xf numFmtId="6" fontId="7" fillId="8" borderId="30" xfId="0" applyNumberFormat="1" applyFont="1" applyFill="1" applyBorder="1" applyAlignment="1">
      <alignment horizontal="center" vertical="center" textRotation="90"/>
    </xf>
    <xf numFmtId="6" fontId="7" fillId="8" borderId="3" xfId="0" applyNumberFormat="1" applyFont="1" applyFill="1" applyBorder="1" applyAlignment="1">
      <alignment horizontal="center" vertical="center" textRotation="90"/>
    </xf>
    <xf numFmtId="6" fontId="7" fillId="8" borderId="4" xfId="0" applyNumberFormat="1" applyFont="1" applyFill="1" applyBorder="1" applyAlignment="1">
      <alignment horizontal="center" vertical="center" textRotation="90"/>
    </xf>
    <xf numFmtId="6" fontId="7" fillId="8" borderId="36" xfId="0" applyNumberFormat="1" applyFont="1" applyFill="1" applyBorder="1" applyAlignment="1">
      <alignment horizontal="center" vertical="center" textRotation="90"/>
    </xf>
    <xf numFmtId="164" fontId="6" fillId="4" borderId="1" xfId="0" applyNumberFormat="1" applyFont="1" applyFill="1" applyBorder="1" applyAlignment="1">
      <alignment horizontal="center" vertical="center"/>
    </xf>
    <xf numFmtId="164" fontId="6" fillId="6" borderId="1" xfId="0" applyNumberFormat="1" applyFont="1" applyFill="1" applyBorder="1" applyAlignment="1">
      <alignment horizontal="center" vertical="center"/>
    </xf>
    <xf numFmtId="3" fontId="12" fillId="8" borderId="6" xfId="0" applyNumberFormat="1" applyFont="1" applyFill="1" applyBorder="1" applyAlignment="1">
      <alignment horizontal="left" vertical="center"/>
    </xf>
    <xf numFmtId="3" fontId="12" fillId="8" borderId="2" xfId="0" applyNumberFormat="1" applyFont="1" applyFill="1" applyBorder="1" applyAlignment="1">
      <alignment horizontal="left" vertical="center"/>
    </xf>
    <xf numFmtId="0" fontId="14" fillId="6" borderId="37" xfId="0" applyFont="1" applyFill="1" applyBorder="1" applyAlignment="1">
      <alignment horizontal="left" vertical="center"/>
    </xf>
    <xf numFmtId="0" fontId="14" fillId="6" borderId="40" xfId="0" applyFont="1" applyFill="1" applyBorder="1" applyAlignment="1">
      <alignment horizontal="left" vertical="center"/>
    </xf>
    <xf numFmtId="0" fontId="14" fillId="6" borderId="41" xfId="0" applyFont="1" applyFill="1" applyBorder="1" applyAlignment="1">
      <alignment horizontal="left" vertical="center"/>
    </xf>
    <xf numFmtId="0" fontId="14" fillId="6" borderId="29" xfId="0" applyFont="1" applyFill="1" applyBorder="1" applyAlignment="1">
      <alignment horizontal="left" vertical="center"/>
    </xf>
    <xf numFmtId="0" fontId="14" fillId="6" borderId="30" xfId="0" applyFont="1" applyFill="1" applyBorder="1" applyAlignment="1">
      <alignment horizontal="left" vertical="center"/>
    </xf>
    <xf numFmtId="0" fontId="14" fillId="6" borderId="36" xfId="0" applyFont="1" applyFill="1" applyBorder="1" applyAlignment="1">
      <alignment horizontal="left" vertical="center"/>
    </xf>
    <xf numFmtId="0" fontId="0" fillId="8" borderId="3" xfId="0" applyFill="1" applyBorder="1" applyAlignment="1">
      <alignment horizontal="left" vertical="center"/>
    </xf>
    <xf numFmtId="0" fontId="0" fillId="8" borderId="4" xfId="0" applyFill="1" applyBorder="1" applyAlignment="1">
      <alignment horizontal="left" vertical="center"/>
    </xf>
    <xf numFmtId="0" fontId="0" fillId="8" borderId="32" xfId="0" applyFill="1" applyBorder="1" applyAlignment="1">
      <alignment horizontal="left" vertical="center"/>
    </xf>
    <xf numFmtId="0" fontId="0" fillId="8" borderId="28" xfId="0" applyFill="1" applyBorder="1" applyAlignment="1">
      <alignment horizontal="left" vertical="center"/>
    </xf>
    <xf numFmtId="0" fontId="0" fillId="8" borderId="5" xfId="0" applyFill="1" applyBorder="1" applyAlignment="1">
      <alignment horizontal="left" vertical="center"/>
    </xf>
    <xf numFmtId="0" fontId="1" fillId="5" borderId="17" xfId="0" applyFont="1" applyFill="1" applyBorder="1" applyAlignment="1">
      <alignment horizontal="left" vertical="center" wrapText="1"/>
    </xf>
    <xf numFmtId="0" fontId="1" fillId="5" borderId="20" xfId="0" applyFont="1" applyFill="1" applyBorder="1" applyAlignment="1">
      <alignment horizontal="left" vertical="center" wrapText="1"/>
    </xf>
    <xf numFmtId="0" fontId="1" fillId="5" borderId="21" xfId="0" applyFont="1" applyFill="1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4" xfId="0" applyBorder="1" applyAlignment="1">
      <alignment horizontal="left" vertical="center" wrapText="1"/>
    </xf>
    <xf numFmtId="0" fontId="0" fillId="0" borderId="5" xfId="0" applyBorder="1" applyAlignment="1">
      <alignment horizontal="left" vertical="center" wrapText="1"/>
    </xf>
    <xf numFmtId="0" fontId="0" fillId="3" borderId="28" xfId="0" applyFill="1" applyBorder="1" applyAlignment="1">
      <alignment horizontal="left" vertical="center" wrapText="1"/>
    </xf>
    <xf numFmtId="0" fontId="0" fillId="3" borderId="4" xfId="0" applyFill="1" applyBorder="1" applyAlignment="1">
      <alignment horizontal="left" vertical="center" wrapText="1"/>
    </xf>
    <xf numFmtId="0" fontId="0" fillId="3" borderId="5" xfId="0" applyFill="1" applyBorder="1" applyAlignment="1">
      <alignment horizontal="left" vertical="center" wrapText="1"/>
    </xf>
    <xf numFmtId="0" fontId="0" fillId="0" borderId="32" xfId="0" applyBorder="1" applyAlignment="1">
      <alignment horizontal="left" vertical="center" wrapText="1"/>
    </xf>
    <xf numFmtId="0" fontId="1" fillId="5" borderId="54" xfId="0" applyFont="1" applyFill="1" applyBorder="1" applyAlignment="1">
      <alignment horizontal="left" wrapText="1"/>
    </xf>
    <xf numFmtId="0" fontId="1" fillId="5" borderId="9" xfId="0" applyFont="1" applyFill="1" applyBorder="1" applyAlignment="1">
      <alignment horizontal="left" wrapText="1"/>
    </xf>
    <xf numFmtId="0" fontId="1" fillId="5" borderId="17" xfId="0" applyFont="1" applyFill="1" applyBorder="1" applyAlignment="1">
      <alignment horizontal="left" vertical="center"/>
    </xf>
    <xf numFmtId="0" fontId="1" fillId="5" borderId="21" xfId="0" applyFont="1" applyFill="1" applyBorder="1" applyAlignment="1">
      <alignment horizontal="left" vertical="center"/>
    </xf>
    <xf numFmtId="0" fontId="1" fillId="5" borderId="8" xfId="0" applyFont="1" applyFill="1" applyBorder="1" applyAlignment="1">
      <alignment horizontal="left" vertical="center" wrapText="1"/>
    </xf>
    <xf numFmtId="0" fontId="1" fillId="5" borderId="11" xfId="0" applyFont="1" applyFill="1" applyBorder="1" applyAlignment="1">
      <alignment horizontal="left" vertical="center" wrapText="1"/>
    </xf>
    <xf numFmtId="0" fontId="1" fillId="5" borderId="31" xfId="0" applyFont="1" applyFill="1" applyBorder="1" applyAlignment="1">
      <alignment horizontal="left" vertical="center" wrapText="1"/>
    </xf>
    <xf numFmtId="0" fontId="1" fillId="5" borderId="8" xfId="0" applyFont="1" applyFill="1" applyBorder="1" applyAlignment="1">
      <alignment horizontal="left" vertical="center"/>
    </xf>
    <xf numFmtId="0" fontId="1" fillId="5" borderId="11" xfId="0" applyFont="1" applyFill="1" applyBorder="1" applyAlignment="1">
      <alignment horizontal="left" vertical="center"/>
    </xf>
    <xf numFmtId="0" fontId="1" fillId="5" borderId="31" xfId="0" applyFont="1" applyFill="1" applyBorder="1" applyAlignment="1">
      <alignment horizontal="left" vertical="center"/>
    </xf>
    <xf numFmtId="0" fontId="1" fillId="5" borderId="3" xfId="0" applyFont="1" applyFill="1" applyBorder="1" applyAlignment="1">
      <alignment horizontal="left" vertical="center" wrapText="1"/>
    </xf>
    <xf numFmtId="0" fontId="1" fillId="5" borderId="4" xfId="0" applyFont="1" applyFill="1" applyBorder="1" applyAlignment="1">
      <alignment horizontal="left" vertical="center" wrapText="1"/>
    </xf>
    <xf numFmtId="0" fontId="1" fillId="5" borderId="13" xfId="0" applyFont="1" applyFill="1" applyBorder="1" applyAlignment="1">
      <alignment horizontal="left" vertical="center"/>
    </xf>
    <xf numFmtId="0" fontId="1" fillId="5" borderId="13" xfId="0" applyFont="1" applyFill="1" applyBorder="1" applyAlignment="1">
      <alignment horizontal="left" vertical="center" wrapText="1"/>
    </xf>
    <xf numFmtId="0" fontId="0" fillId="0" borderId="28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32" xfId="0" applyBorder="1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0" fillId="3" borderId="28" xfId="0" applyFill="1" applyBorder="1" applyAlignment="1">
      <alignment horizontal="left" vertical="center"/>
    </xf>
    <xf numFmtId="0" fontId="0" fillId="3" borderId="4" xfId="0" applyFill="1" applyBorder="1" applyAlignment="1">
      <alignment horizontal="left" vertical="center"/>
    </xf>
    <xf numFmtId="0" fontId="0" fillId="3" borderId="5" xfId="0" applyFill="1" applyBorder="1" applyAlignment="1">
      <alignment horizontal="left" vertical="center"/>
    </xf>
    <xf numFmtId="0" fontId="0" fillId="0" borderId="28" xfId="0" applyBorder="1" applyAlignment="1">
      <alignment horizontal="left" vertical="center" wrapText="1"/>
    </xf>
    <xf numFmtId="0" fontId="13" fillId="0" borderId="3" xfId="0" applyFont="1" applyBorder="1" applyAlignment="1">
      <alignment horizontal="left" vertical="center" wrapText="1"/>
    </xf>
    <xf numFmtId="0" fontId="13" fillId="0" borderId="5" xfId="0" applyFont="1" applyBorder="1" applyAlignment="1">
      <alignment horizontal="left" vertical="center" wrapText="1"/>
    </xf>
    <xf numFmtId="164" fontId="13" fillId="2" borderId="3" xfId="0" applyNumberFormat="1" applyFont="1" applyFill="1" applyBorder="1" applyAlignment="1">
      <alignment horizontal="center" vertical="center"/>
    </xf>
    <xf numFmtId="164" fontId="13" fillId="2" borderId="5" xfId="0" applyNumberFormat="1" applyFont="1" applyFill="1" applyBorder="1" applyAlignment="1">
      <alignment horizontal="center" vertical="center"/>
    </xf>
    <xf numFmtId="0" fontId="0" fillId="4" borderId="3" xfId="0" applyFill="1" applyBorder="1" applyAlignment="1">
      <alignment horizontal="left"/>
    </xf>
    <xf numFmtId="0" fontId="0" fillId="4" borderId="5" xfId="0" applyFill="1" applyBorder="1" applyAlignment="1">
      <alignment horizontal="left"/>
    </xf>
    <xf numFmtId="0" fontId="14" fillId="0" borderId="26" xfId="0" applyFont="1" applyBorder="1" applyAlignment="1">
      <alignment horizontal="left" vertical="center"/>
    </xf>
    <xf numFmtId="0" fontId="14" fillId="0" borderId="11" xfId="0" applyFont="1" applyBorder="1" applyAlignment="1">
      <alignment horizontal="left" vertical="center"/>
    </xf>
    <xf numFmtId="0" fontId="14" fillId="0" borderId="13" xfId="0" applyFont="1" applyBorder="1" applyAlignment="1">
      <alignment horizontal="left" vertical="center"/>
    </xf>
    <xf numFmtId="0" fontId="14" fillId="0" borderId="8" xfId="0" applyFont="1" applyBorder="1" applyAlignment="1">
      <alignment horizontal="left" vertical="center" wrapText="1"/>
    </xf>
    <xf numFmtId="0" fontId="14" fillId="0" borderId="11" xfId="0" applyFont="1" applyBorder="1" applyAlignment="1">
      <alignment horizontal="left" vertical="center" wrapText="1"/>
    </xf>
    <xf numFmtId="0" fontId="14" fillId="0" borderId="13" xfId="0" applyFont="1" applyBorder="1" applyAlignment="1">
      <alignment horizontal="left" vertical="center" wrapText="1"/>
    </xf>
    <xf numFmtId="0" fontId="14" fillId="0" borderId="3" xfId="0" applyFont="1" applyBorder="1" applyAlignment="1">
      <alignment horizontal="left" vertical="center" wrapText="1"/>
    </xf>
    <xf numFmtId="0" fontId="14" fillId="0" borderId="4" xfId="0" applyFont="1" applyBorder="1" applyAlignment="1">
      <alignment horizontal="left" vertical="center" wrapText="1"/>
    </xf>
    <xf numFmtId="0" fontId="0" fillId="3" borderId="9" xfId="0" applyFill="1" applyBorder="1" applyAlignment="1">
      <alignment horizontal="left" vertical="center" wrapText="1"/>
    </xf>
    <xf numFmtId="0" fontId="0" fillId="3" borderId="10" xfId="0" applyFill="1" applyBorder="1" applyAlignment="1">
      <alignment horizontal="left" vertical="center" wrapText="1"/>
    </xf>
    <xf numFmtId="0" fontId="0" fillId="0" borderId="12" xfId="0" applyBorder="1" applyAlignment="1">
      <alignment horizontal="left" vertical="center" wrapText="1"/>
    </xf>
    <xf numFmtId="0" fontId="1" fillId="4" borderId="1" xfId="0" applyFont="1" applyFill="1" applyBorder="1" applyAlignment="1">
      <alignment horizontal="left" vertical="center" wrapText="1"/>
    </xf>
    <xf numFmtId="0" fontId="0" fillId="0" borderId="14" xfId="0" applyBorder="1" applyAlignment="1">
      <alignment horizontal="left" vertical="center" wrapText="1"/>
    </xf>
    <xf numFmtId="0" fontId="0" fillId="0" borderId="15" xfId="0" applyBorder="1" applyAlignment="1">
      <alignment horizontal="left" vertical="center" wrapText="1"/>
    </xf>
    <xf numFmtId="0" fontId="0" fillId="3" borderId="18" xfId="0" applyFill="1" applyBorder="1" applyAlignment="1">
      <alignment horizontal="left"/>
    </xf>
    <xf numFmtId="0" fontId="0" fillId="3" borderId="19" xfId="0" applyFill="1" applyBorder="1" applyAlignment="1">
      <alignment horizontal="left"/>
    </xf>
    <xf numFmtId="0" fontId="0" fillId="0" borderId="27" xfId="0" applyBorder="1" applyAlignment="1">
      <alignment horizontal="left" vertical="center" wrapText="1"/>
    </xf>
    <xf numFmtId="0" fontId="0" fillId="3" borderId="18" xfId="0" applyFill="1" applyBorder="1" applyAlignment="1">
      <alignment horizontal="left" vertical="center" wrapText="1"/>
    </xf>
    <xf numFmtId="0" fontId="0" fillId="3" borderId="19" xfId="0" applyFill="1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23" xfId="0" applyBorder="1" applyAlignment="1">
      <alignment horizontal="left" vertical="center" wrapText="1"/>
    </xf>
    <xf numFmtId="0" fontId="0" fillId="0" borderId="24" xfId="0" applyBorder="1" applyAlignment="1">
      <alignment horizontal="left" vertical="center" wrapText="1"/>
    </xf>
    <xf numFmtId="0" fontId="0" fillId="0" borderId="25" xfId="0" applyBorder="1" applyAlignment="1">
      <alignment horizontal="left" vertical="center" wrapText="1"/>
    </xf>
    <xf numFmtId="0" fontId="0" fillId="0" borderId="24" xfId="0" applyBorder="1" applyAlignment="1">
      <alignment vertical="center" wrapText="1"/>
    </xf>
    <xf numFmtId="0" fontId="0" fillId="0" borderId="25" xfId="0" applyBorder="1" applyAlignment="1">
      <alignment vertical="center" wrapText="1"/>
    </xf>
    <xf numFmtId="0" fontId="0" fillId="0" borderId="6" xfId="0" applyBorder="1" applyAlignment="1">
      <alignment vertical="center" wrapText="1"/>
    </xf>
    <xf numFmtId="0" fontId="0" fillId="0" borderId="23" xfId="0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0" fillId="0" borderId="12" xfId="0" applyBorder="1" applyAlignment="1">
      <alignment vertical="center" wrapText="1"/>
    </xf>
    <xf numFmtId="0" fontId="0" fillId="0" borderId="14" xfId="0" applyBorder="1" applyAlignment="1">
      <alignment vertical="center" wrapText="1"/>
    </xf>
    <xf numFmtId="0" fontId="0" fillId="0" borderId="15" xfId="0" applyBorder="1" applyAlignment="1">
      <alignment vertical="center" wrapText="1"/>
    </xf>
    <xf numFmtId="0" fontId="0" fillId="3" borderId="18" xfId="0" applyFill="1" applyBorder="1" applyAlignment="1">
      <alignment vertical="center" wrapText="1"/>
    </xf>
    <xf numFmtId="0" fontId="0" fillId="3" borderId="19" xfId="0" applyFill="1" applyBorder="1" applyAlignment="1">
      <alignment vertical="center" wrapText="1"/>
    </xf>
    <xf numFmtId="0" fontId="1" fillId="5" borderId="26" xfId="0" applyFont="1" applyFill="1" applyBorder="1" applyAlignment="1">
      <alignment horizontal="left" vertical="center" wrapText="1"/>
    </xf>
    <xf numFmtId="0" fontId="1" fillId="5" borderId="26" xfId="0" applyFont="1" applyFill="1" applyBorder="1" applyAlignment="1">
      <alignment horizontal="left" vertical="center"/>
    </xf>
    <xf numFmtId="0" fontId="0" fillId="0" borderId="16" xfId="0" applyBorder="1" applyAlignment="1">
      <alignment horizontal="left" vertical="center" wrapText="1"/>
    </xf>
    <xf numFmtId="0" fontId="0" fillId="0" borderId="22" xfId="0" applyBorder="1" applyAlignment="1">
      <alignment horizontal="left" vertical="center" wrapText="1"/>
    </xf>
    <xf numFmtId="0" fontId="4" fillId="8" borderId="6" xfId="0" applyFont="1" applyFill="1" applyBorder="1" applyAlignment="1">
      <alignment horizontal="left" vertical="center"/>
    </xf>
    <xf numFmtId="0" fontId="4" fillId="8" borderId="7" xfId="0" applyFont="1" applyFill="1" applyBorder="1" applyAlignment="1">
      <alignment horizontal="left" vertical="center"/>
    </xf>
    <xf numFmtId="0" fontId="4" fillId="8" borderId="2" xfId="0" applyFont="1" applyFill="1" applyBorder="1" applyAlignment="1">
      <alignment horizontal="left" vertical="center"/>
    </xf>
    <xf numFmtId="0" fontId="8" fillId="8" borderId="1" xfId="0" applyFont="1" applyFill="1" applyBorder="1" applyAlignment="1">
      <alignment horizontal="left" vertical="center" wrapText="1"/>
    </xf>
    <xf numFmtId="0" fontId="8" fillId="9" borderId="0" xfId="0" applyFont="1" applyFill="1" applyBorder="1" applyAlignment="1">
      <alignment horizontal="left"/>
    </xf>
    <xf numFmtId="0" fontId="20" fillId="0" borderId="43" xfId="0" applyFont="1" applyBorder="1"/>
    <xf numFmtId="0" fontId="10" fillId="0" borderId="43" xfId="0" applyFont="1" applyBorder="1"/>
    <xf numFmtId="0" fontId="24" fillId="0" borderId="43" xfId="0" applyFont="1" applyBorder="1"/>
    <xf numFmtId="0" fontId="10" fillId="0" borderId="39" xfId="0" applyFont="1" applyBorder="1"/>
    <xf numFmtId="0" fontId="11" fillId="10" borderId="0" xfId="0" applyFont="1" applyFill="1" applyAlignment="1"/>
  </cellXfs>
  <cellStyles count="2">
    <cellStyle name="Normal" xfId="0" builtinId="0"/>
    <cellStyle name="Percent" xfId="1" builtinId="5"/>
  </cellStyles>
  <dxfs count="30"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9" defaultPivotStyle="PivotStyleLight16"/>
  <colors>
    <mruColors>
      <color rgb="FFFF0000"/>
      <color rgb="FF3FCDFF"/>
      <color rgb="FFFFEAD5"/>
      <color rgb="FFFFD13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22/10/relationships/richValueRel" Target="richData/richValueRel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microsoft.com/office/2017/06/relationships/rdRichValueTypes" Target="richData/rdRichValueTyp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microsoft.com/office/2017/06/relationships/rdRichValueStructure" Target="richData/rdrichvaluestructure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microsoft.com/office/2017/06/relationships/rdRichValue" Target="richData/rdrichvalue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jpeg"/><Relationship Id="rId1" Type="http://schemas.openxmlformats.org/officeDocument/2006/relationships/image" Target="../media/image12.png"/><Relationship Id="rId4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166134</xdr:colOff>
      <xdr:row>3</xdr:row>
      <xdr:rowOff>66452</xdr:rowOff>
    </xdr:from>
    <xdr:to>
      <xdr:col>17</xdr:col>
      <xdr:colOff>74254</xdr:colOff>
      <xdr:row>43</xdr:row>
      <xdr:rowOff>82179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C3CEDC32-88F4-F335-8C6E-F5864D2DAD20}"/>
            </a:ext>
          </a:extLst>
        </xdr:cNvPr>
        <xdr:cNvGrpSpPr/>
      </xdr:nvGrpSpPr>
      <xdr:grpSpPr>
        <a:xfrm>
          <a:off x="3743301" y="1421119"/>
          <a:ext cx="5496120" cy="6196393"/>
          <a:chOff x="3743547" y="1362295"/>
          <a:chExt cx="5490213" cy="5919013"/>
        </a:xfrm>
      </xdr:grpSpPr>
      <xdr:pic>
        <xdr:nvPicPr>
          <xdr:cNvPr id="4" name="Picture 3" descr="Logo&#10;&#10;Description automatically generated">
            <a:extLst>
              <a:ext uri="{FF2B5EF4-FFF2-40B4-BE49-F238E27FC236}">
                <a16:creationId xmlns:a16="http://schemas.microsoft.com/office/drawing/2014/main" id="{437F60A2-7B3C-40D5-9B0B-34D3DC2C4CD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screen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738845" y="6438792"/>
            <a:ext cx="4494915" cy="842516"/>
          </a:xfrm>
          <a:prstGeom prst="rect">
            <a:avLst/>
          </a:prstGeom>
        </xdr:spPr>
      </xdr:pic>
      <xdr:pic>
        <xdr:nvPicPr>
          <xdr:cNvPr id="6" name="Picture 5" descr="A machine and pipes in front of a blue container&#10;&#10;AI-generated content may be incorrect.">
            <a:extLst>
              <a:ext uri="{FF2B5EF4-FFF2-40B4-BE49-F238E27FC236}">
                <a16:creationId xmlns:a16="http://schemas.microsoft.com/office/drawing/2014/main" id="{A996773F-772A-C909-CC15-C67AE6AA52B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43547" y="1362295"/>
            <a:ext cx="4950784" cy="2469856"/>
          </a:xfrm>
          <a:prstGeom prst="rect">
            <a:avLst/>
          </a:prstGeom>
          <a:noFill/>
          <a:ln w="12700">
            <a:solidFill>
              <a:schemeClr val="tx1"/>
            </a:solidFill>
          </a:ln>
        </xdr:spPr>
      </xdr:pic>
      <xdr:grpSp>
        <xdr:nvGrpSpPr>
          <xdr:cNvPr id="7" name="Group 6">
            <a:extLst>
              <a:ext uri="{FF2B5EF4-FFF2-40B4-BE49-F238E27FC236}">
                <a16:creationId xmlns:a16="http://schemas.microsoft.com/office/drawing/2014/main" id="{2C49178F-062A-E6E7-9777-6680503BAC98}"/>
              </a:ext>
            </a:extLst>
          </xdr:cNvPr>
          <xdr:cNvGrpSpPr/>
        </xdr:nvGrpSpPr>
        <xdr:grpSpPr>
          <a:xfrm>
            <a:off x="3754622" y="2768896"/>
            <a:ext cx="4006555" cy="1030472"/>
            <a:chOff x="0" y="0"/>
            <a:chExt cx="4622148" cy="1430006"/>
          </a:xfrm>
        </xdr:grpSpPr>
        <xdr:pic>
          <xdr:nvPicPr>
            <xdr:cNvPr id="8" name="Picture 7">
              <a:extLst>
                <a:ext uri="{FF2B5EF4-FFF2-40B4-BE49-F238E27FC236}">
                  <a16:creationId xmlns:a16="http://schemas.microsoft.com/office/drawing/2014/main" id="{D392D36E-3837-0630-2F1F-934CB8B90E8F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3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26619" r="27338"/>
            <a:stretch>
              <a:fillRect/>
            </a:stretch>
          </xdr:blipFill>
          <xdr:spPr bwMode="auto">
            <a:xfrm>
              <a:off x="3874118" y="85076"/>
              <a:ext cx="748030" cy="1344930"/>
            </a:xfrm>
            <a:prstGeom prst="rect">
              <a:avLst/>
            </a:prstGeom>
            <a:noFill/>
            <a:ln>
              <a:noFill/>
            </a:ln>
            <a:extLst>
              <a:ext uri="{53640926-AAD7-44D8-BBD7-CCE9431645EC}">
                <a14:shadowObscured xmlns:a14="http://schemas.microsoft.com/office/drawing/2010/main"/>
              </a:ext>
            </a:extLst>
          </xdr:spPr>
        </xdr:pic>
        <xdr:pic>
          <xdr:nvPicPr>
            <xdr:cNvPr id="9" name="Picture 8" descr="A white container with a blue knob and a black handle&#10;&#10;AI-generated content may be incorrect.">
              <a:extLst>
                <a:ext uri="{FF2B5EF4-FFF2-40B4-BE49-F238E27FC236}">
                  <a16:creationId xmlns:a16="http://schemas.microsoft.com/office/drawing/2014/main" id="{6941B418-41F1-9F51-6BF8-FBEA74BAEC69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4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26619" r="27338"/>
            <a:stretch>
              <a:fillRect/>
            </a:stretch>
          </xdr:blipFill>
          <xdr:spPr bwMode="auto">
            <a:xfrm>
              <a:off x="0" y="0"/>
              <a:ext cx="638175" cy="1146810"/>
            </a:xfrm>
            <a:prstGeom prst="rect">
              <a:avLst/>
            </a:prstGeom>
            <a:noFill/>
            <a:ln>
              <a:noFill/>
            </a:ln>
            <a:extLst>
              <a:ext uri="{53640926-AAD7-44D8-BBD7-CCE9431645EC}">
                <a14:shadowObscured xmlns:a14="http://schemas.microsoft.com/office/drawing/2010/main"/>
              </a:ext>
            </a:extLst>
          </xdr:spPr>
        </xdr:pic>
      </xdr:grp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504826</xdr:colOff>
      <xdr:row>8</xdr:row>
      <xdr:rowOff>9525</xdr:rowOff>
    </xdr:from>
    <xdr:to>
      <xdr:col>8</xdr:col>
      <xdr:colOff>228601</xdr:colOff>
      <xdr:row>15</xdr:row>
      <xdr:rowOff>200025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291DC92F-06C9-CB1E-7877-37EDD8CD57EC}"/>
            </a:ext>
          </a:extLst>
        </xdr:cNvPr>
        <xdr:cNvSpPr/>
      </xdr:nvSpPr>
      <xdr:spPr>
        <a:xfrm>
          <a:off x="5886451" y="1400175"/>
          <a:ext cx="2771775" cy="1323975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2400"/>
            <a:t>not checked or validated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304800" cy="304800"/>
    <xdr:sp macro="" textlink="">
      <xdr:nvSpPr>
        <xdr:cNvPr id="3" name="AutoShape 1" descr=" Professional MO2 8&quot; reverse osmosis system">
          <a:extLst>
            <a:ext uri="{FF2B5EF4-FFF2-40B4-BE49-F238E27FC236}">
              <a16:creationId xmlns:a16="http://schemas.microsoft.com/office/drawing/2014/main" id="{FA1EAB89-AF87-4F46-B4D8-2AFDD9974BD8}"/>
            </a:ext>
          </a:extLst>
        </xdr:cNvPr>
        <xdr:cNvSpPr>
          <a:spLocks noChangeAspect="1" noChangeArrowheads="1"/>
        </xdr:cNvSpPr>
      </xdr:nvSpPr>
      <xdr:spPr bwMode="auto">
        <a:xfrm>
          <a:off x="1219200" y="381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9</xdr:row>
      <xdr:rowOff>0</xdr:rowOff>
    </xdr:from>
    <xdr:ext cx="304800" cy="304800"/>
    <xdr:sp macro="" textlink="">
      <xdr:nvSpPr>
        <xdr:cNvPr id="4" name="AutoShape 1" descr=" Professional MO2 8&quot; reverse osmosis system">
          <a:extLst>
            <a:ext uri="{FF2B5EF4-FFF2-40B4-BE49-F238E27FC236}">
              <a16:creationId xmlns:a16="http://schemas.microsoft.com/office/drawing/2014/main" id="{67C2014F-F902-4035-96C8-5749DDC96D30}"/>
            </a:ext>
          </a:extLst>
        </xdr:cNvPr>
        <xdr:cNvSpPr>
          <a:spLocks noChangeAspect="1" noChangeArrowheads="1"/>
        </xdr:cNvSpPr>
      </xdr:nvSpPr>
      <xdr:spPr bwMode="auto">
        <a:xfrm>
          <a:off x="1219200" y="381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</xdr:row>
      <xdr:rowOff>0</xdr:rowOff>
    </xdr:from>
    <xdr:ext cx="304800" cy="304800"/>
    <xdr:sp macro="" textlink="">
      <xdr:nvSpPr>
        <xdr:cNvPr id="6" name="AutoShape 1" descr=" Professional MO2 8&quot; reverse osmosis system">
          <a:extLst>
            <a:ext uri="{FF2B5EF4-FFF2-40B4-BE49-F238E27FC236}">
              <a16:creationId xmlns:a16="http://schemas.microsoft.com/office/drawing/2014/main" id="{6DF8C68E-DE7A-4F98-9122-40F8FF47E8C3}"/>
            </a:ext>
          </a:extLst>
        </xdr:cNvPr>
        <xdr:cNvSpPr>
          <a:spLocks noChangeAspect="1" noChangeArrowheads="1"/>
        </xdr:cNvSpPr>
      </xdr:nvSpPr>
      <xdr:spPr bwMode="auto">
        <a:xfrm>
          <a:off x="1219200" y="571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</xdr:row>
      <xdr:rowOff>0</xdr:rowOff>
    </xdr:from>
    <xdr:ext cx="304800" cy="304800"/>
    <xdr:sp macro="" textlink="">
      <xdr:nvSpPr>
        <xdr:cNvPr id="7" name="AutoShape 1" descr=" Professional MO2 8&quot; reverse osmosis system">
          <a:extLst>
            <a:ext uri="{FF2B5EF4-FFF2-40B4-BE49-F238E27FC236}">
              <a16:creationId xmlns:a16="http://schemas.microsoft.com/office/drawing/2014/main" id="{1B552B4C-376C-42E4-B35A-7C85B63C335D}"/>
            </a:ext>
          </a:extLst>
        </xdr:cNvPr>
        <xdr:cNvSpPr>
          <a:spLocks noChangeAspect="1" noChangeArrowheads="1"/>
        </xdr:cNvSpPr>
      </xdr:nvSpPr>
      <xdr:spPr bwMode="auto">
        <a:xfrm>
          <a:off x="1219200" y="381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9</xdr:row>
      <xdr:rowOff>0</xdr:rowOff>
    </xdr:from>
    <xdr:ext cx="304800" cy="304800"/>
    <xdr:sp macro="" textlink="">
      <xdr:nvSpPr>
        <xdr:cNvPr id="8" name="AutoShape 1" descr=" Professional MO2 8&quot; reverse osmosis system">
          <a:extLst>
            <a:ext uri="{FF2B5EF4-FFF2-40B4-BE49-F238E27FC236}">
              <a16:creationId xmlns:a16="http://schemas.microsoft.com/office/drawing/2014/main" id="{4B1E1DFE-B44F-4147-8E5F-6A3C1ECDE0D5}"/>
            </a:ext>
          </a:extLst>
        </xdr:cNvPr>
        <xdr:cNvSpPr>
          <a:spLocks noChangeAspect="1" noChangeArrowheads="1"/>
        </xdr:cNvSpPr>
      </xdr:nvSpPr>
      <xdr:spPr bwMode="auto">
        <a:xfrm>
          <a:off x="1219200" y="571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9</xdr:row>
      <xdr:rowOff>0</xdr:rowOff>
    </xdr:from>
    <xdr:ext cx="304800" cy="304800"/>
    <xdr:sp macro="" textlink="">
      <xdr:nvSpPr>
        <xdr:cNvPr id="9" name="AutoShape 1" descr=" Professional MO2 8&quot; reverse osmosis system">
          <a:extLst>
            <a:ext uri="{FF2B5EF4-FFF2-40B4-BE49-F238E27FC236}">
              <a16:creationId xmlns:a16="http://schemas.microsoft.com/office/drawing/2014/main" id="{9726802E-D6CD-4133-9F4A-037BBFB37A30}"/>
            </a:ext>
          </a:extLst>
        </xdr:cNvPr>
        <xdr:cNvSpPr>
          <a:spLocks noChangeAspect="1" noChangeArrowheads="1"/>
        </xdr:cNvSpPr>
      </xdr:nvSpPr>
      <xdr:spPr bwMode="auto">
        <a:xfrm>
          <a:off x="1219200" y="571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Steve Sisman" id="{EA1D9349-7202-4CCA-9763-79E581F2FAF3}" userId="S::steve.sisman@membracon.co.uk::3437d5a7-9284-4a79-a58f-4367d6b1ecd3" providerId="AD"/>
</personList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2">
  <rv s="0">
    <v>0</v>
    <v>4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0</v>
    <v>5</v>
  </rv>
  <rv s="0">
    <v>9</v>
    <v>5</v>
  </rv>
  <rv s="0">
    <v>10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</richValueRel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121" dT="2026-01-02T12:07:47.08" personId="{EA1D9349-7202-4CCA-9763-79E581F2FAF3}" id="{6FF79A4D-FEBA-4712-918A-62BDB54003A3}">
    <text>UK mains chlorine: 0.2–0.8 ppm (typical)
RO allowable chlorine: &lt; 0.05 ppm
Target: 0.00 ppm
Dechlorination: Always required</text>
  </threadedComment>
  <threadedComment ref="B156" dT="2026-01-02T12:07:47.08" personId="{EA1D9349-7202-4CCA-9763-79E581F2FAF3}" id="{F9EFBB18-7852-461A-970B-5B512221A2EB}">
    <text>UK mains chlorine: 0.2–0.8 ppm (typical)
RO allowable chlorine: &lt; 0.05 ppm
Target: 0.00 ppm
Dechlorination: Always required</text>
  </threadedComment>
  <threadedComment ref="B189" dT="2026-01-02T12:07:47.08" personId="{EA1D9349-7202-4CCA-9763-79E581F2FAF3}" id="{ADA5ADB6-92AC-434B-B1A6-7FFCF4B6BD93}">
    <text>UK mains chlorine: 0.2–0.8 ppm (typical)
RO allowable chlorine: &lt; 0.05 ppm
Target: 0.00 ppm
Dechlorination: Always required</text>
  </threadedComment>
  <threadedComment ref="B222" dT="2026-01-02T12:07:47.08" personId="{EA1D9349-7202-4CCA-9763-79E581F2FAF3}" id="{3298EB4A-CEE5-4298-BC0D-61741642BA8F}">
    <text>UK mains chlorine: 0.2–0.8 ppm (typical)
RO allowable chlorine: &lt; 0.05 ppm
Target: 0.00 ppm
Dechlorination: Always required</text>
  </threadedComment>
  <threadedComment ref="B255" dT="2026-01-02T12:07:47.08" personId="{EA1D9349-7202-4CCA-9763-79E581F2FAF3}" id="{36E123B7-FF12-4FA8-98BF-2B1200E19508}">
    <text>UK mains chlorine: 0.2–0.8 ppm (typical)
RO allowable chlorine: &lt; 0.05 ppm
Target: 0.00 ppm
Dechlorination: Always required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1" dT="2026-01-02T12:07:47.08" personId="{EA1D9349-7202-4CCA-9763-79E581F2FAF3}" id="{A000A8F1-6F1B-4D2B-B463-10D4BD4EB471}">
    <text>UK mains chlorine: 0.2–0.8 ppm (typical)
RO allowable chlorine: &lt; 0.05 ppm
Target: 0.00 ppm
Dechlorination: Always required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0D284-906C-486A-846F-4D4E75E26B3E}">
  <sheetPr>
    <tabColor rgb="FFFFFF00"/>
  </sheetPr>
  <dimension ref="A1:AS489"/>
  <sheetViews>
    <sheetView showGridLines="0" tabSelected="1" zoomScale="90" zoomScaleNormal="90" workbookViewId="0">
      <pane ySplit="3" topLeftCell="A4" activePane="bottomLeft" state="frozen"/>
      <selection pane="bottomLeft" activeCell="AE20" sqref="AE20"/>
    </sheetView>
  </sheetViews>
  <sheetFormatPr defaultRowHeight="11.25" x14ac:dyDescent="0.2"/>
  <cols>
    <col min="1" max="1" width="2.85546875" style="118" customWidth="1"/>
    <col min="2" max="2" width="29.85546875" style="31" customWidth="1"/>
    <col min="3" max="18" width="7" style="31" customWidth="1"/>
    <col min="19" max="19" width="4.140625" style="118" customWidth="1"/>
    <col min="20" max="20" width="28.7109375" style="31" customWidth="1"/>
    <col min="21" max="27" width="9.140625" style="31"/>
    <col min="28" max="45" width="9.140625" style="118"/>
    <col min="46" max="16384" width="9.140625" style="31"/>
  </cols>
  <sheetData>
    <row r="1" spans="1:45" s="118" customFormat="1" ht="6" customHeight="1" x14ac:dyDescent="0.2"/>
    <row r="2" spans="1:45" s="30" customFormat="1" ht="84.75" customHeight="1" x14ac:dyDescent="0.2">
      <c r="A2" s="119"/>
      <c r="B2" s="236" t="s">
        <v>155</v>
      </c>
      <c r="C2" s="236"/>
      <c r="D2" s="108" t="s">
        <v>0</v>
      </c>
      <c r="E2" s="108" t="s">
        <v>255</v>
      </c>
      <c r="F2" s="108" t="s">
        <v>253</v>
      </c>
      <c r="G2" s="108" t="s">
        <v>228</v>
      </c>
      <c r="H2" s="108" t="s">
        <v>156</v>
      </c>
      <c r="I2" s="108" t="s">
        <v>212</v>
      </c>
      <c r="J2" s="108" t="s">
        <v>31</v>
      </c>
      <c r="K2" s="108" t="s">
        <v>2</v>
      </c>
      <c r="L2" s="109" t="s">
        <v>24</v>
      </c>
      <c r="M2" s="109" t="s">
        <v>25</v>
      </c>
      <c r="N2" s="110" t="s">
        <v>26</v>
      </c>
      <c r="O2" s="108" t="s">
        <v>27</v>
      </c>
      <c r="P2" s="108" t="s">
        <v>29</v>
      </c>
      <c r="Q2" s="108" t="s">
        <v>30</v>
      </c>
      <c r="R2" s="108" t="s">
        <v>119</v>
      </c>
      <c r="S2" s="119"/>
      <c r="T2" s="118"/>
      <c r="U2" s="347" t="s">
        <v>229</v>
      </c>
      <c r="V2" s="347"/>
      <c r="W2" s="118"/>
      <c r="X2" s="119"/>
      <c r="Y2" s="119"/>
      <c r="Z2" s="119"/>
      <c r="AA2" s="119"/>
      <c r="AB2" s="119"/>
      <c r="AC2" s="119"/>
      <c r="AD2" s="119"/>
      <c r="AE2" s="119"/>
      <c r="AF2" s="119"/>
      <c r="AG2" s="119"/>
      <c r="AH2" s="119"/>
      <c r="AI2" s="119"/>
      <c r="AJ2" s="119"/>
      <c r="AK2" s="119"/>
      <c r="AL2" s="119"/>
      <c r="AM2" s="119"/>
      <c r="AN2" s="119"/>
      <c r="AO2" s="119"/>
      <c r="AP2" s="119"/>
      <c r="AQ2" s="119"/>
      <c r="AR2" s="119"/>
      <c r="AS2" s="119"/>
    </row>
    <row r="3" spans="1:45" ht="15.75" thickBot="1" x14ac:dyDescent="0.3">
      <c r="B3" s="236"/>
      <c r="C3" s="236"/>
      <c r="D3" s="144">
        <v>9</v>
      </c>
      <c r="E3" s="145">
        <v>12</v>
      </c>
      <c r="F3" s="145">
        <v>11</v>
      </c>
      <c r="G3" s="144">
        <v>4</v>
      </c>
      <c r="H3" s="129" t="s">
        <v>142</v>
      </c>
      <c r="I3" s="129" t="s">
        <v>143</v>
      </c>
      <c r="J3" s="129">
        <v>1</v>
      </c>
      <c r="K3" s="129">
        <v>45</v>
      </c>
      <c r="L3" s="129">
        <v>0.01</v>
      </c>
      <c r="M3" s="129">
        <v>1</v>
      </c>
      <c r="N3" s="129">
        <v>3</v>
      </c>
      <c r="O3" s="129">
        <v>6</v>
      </c>
      <c r="P3" s="130">
        <v>0.01</v>
      </c>
      <c r="Q3" s="130">
        <v>100</v>
      </c>
      <c r="R3" s="130">
        <v>15</v>
      </c>
      <c r="T3" s="118"/>
      <c r="U3" s="118"/>
      <c r="V3" s="118"/>
      <c r="W3" s="118"/>
      <c r="X3" s="118"/>
      <c r="Y3" s="118"/>
      <c r="Z3" s="118"/>
      <c r="AA3" s="118"/>
    </row>
    <row r="4" spans="1:45" ht="15.75" customHeight="1" x14ac:dyDescent="0.2">
      <c r="B4" s="33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117"/>
      <c r="T4" s="216" t="e" cm="1" vm="1">
        <f t="array" ref="T4">INDEX(Photo!B1:B12, MATCH(D3, Photo!A2:A12, 0) + 1)</f>
        <v>#VALUE!</v>
      </c>
      <c r="U4" s="217"/>
      <c r="V4" s="217"/>
      <c r="W4" s="217"/>
      <c r="X4" s="217"/>
      <c r="Y4" s="217"/>
      <c r="Z4" s="217"/>
      <c r="AA4" s="218"/>
    </row>
    <row r="5" spans="1:45" ht="15" customHeight="1" x14ac:dyDescent="0.2">
      <c r="B5" s="35" t="s">
        <v>1</v>
      </c>
      <c r="C5" s="53">
        <v>75</v>
      </c>
      <c r="R5" s="34"/>
      <c r="S5" s="120"/>
      <c r="T5" s="219"/>
      <c r="U5" s="220"/>
      <c r="V5" s="220"/>
      <c r="W5" s="220"/>
      <c r="X5" s="220"/>
      <c r="Y5" s="220"/>
      <c r="Z5" s="220"/>
      <c r="AA5" s="221"/>
    </row>
    <row r="6" spans="1:45" ht="15" customHeight="1" x14ac:dyDescent="0.2">
      <c r="B6" s="35" t="s">
        <v>250</v>
      </c>
      <c r="C6" s="56">
        <v>0.3</v>
      </c>
      <c r="R6" s="34"/>
      <c r="S6" s="120"/>
      <c r="T6" s="219"/>
      <c r="U6" s="220"/>
      <c r="V6" s="220"/>
      <c r="W6" s="220"/>
      <c r="X6" s="220"/>
      <c r="Y6" s="220"/>
      <c r="Z6" s="220"/>
      <c r="AA6" s="221"/>
    </row>
    <row r="7" spans="1:45" ht="6.75" customHeight="1" x14ac:dyDescent="0.2">
      <c r="B7" s="33"/>
      <c r="R7" s="34"/>
      <c r="S7" s="120"/>
      <c r="T7" s="219"/>
      <c r="U7" s="220"/>
      <c r="V7" s="220"/>
      <c r="W7" s="220"/>
      <c r="X7" s="220"/>
      <c r="Y7" s="220"/>
      <c r="Z7" s="220"/>
      <c r="AA7" s="221"/>
    </row>
    <row r="8" spans="1:45" ht="15" customHeight="1" x14ac:dyDescent="0.2">
      <c r="B8" s="237" t="s">
        <v>3</v>
      </c>
      <c r="C8" s="238"/>
      <c r="R8" s="34"/>
      <c r="S8" s="120"/>
      <c r="T8" s="219"/>
      <c r="U8" s="220"/>
      <c r="V8" s="220"/>
      <c r="W8" s="220"/>
      <c r="X8" s="220"/>
      <c r="Y8" s="220"/>
      <c r="Z8" s="220"/>
      <c r="AA8" s="221"/>
    </row>
    <row r="9" spans="1:45" ht="11.25" customHeight="1" x14ac:dyDescent="0.2">
      <c r="B9" s="36" t="s">
        <v>4</v>
      </c>
      <c r="C9" s="50">
        <f>+C11+C10</f>
        <v>11.25</v>
      </c>
      <c r="R9" s="34"/>
      <c r="S9" s="120"/>
      <c r="T9" s="219"/>
      <c r="U9" s="220"/>
      <c r="V9" s="220"/>
      <c r="W9" s="220"/>
      <c r="X9" s="220"/>
      <c r="Y9" s="220"/>
      <c r="Z9" s="220"/>
      <c r="AA9" s="221"/>
    </row>
    <row r="10" spans="1:45" ht="11.25" customHeight="1" x14ac:dyDescent="0.2">
      <c r="B10" s="36" t="s">
        <v>5</v>
      </c>
      <c r="C10" s="50">
        <f>+C11*0.25</f>
        <v>2.25</v>
      </c>
      <c r="R10" s="34"/>
      <c r="S10" s="120"/>
      <c r="T10" s="219"/>
      <c r="U10" s="220"/>
      <c r="V10" s="220"/>
      <c r="W10" s="220"/>
      <c r="X10" s="220"/>
      <c r="Y10" s="220"/>
      <c r="Z10" s="220"/>
      <c r="AA10" s="221"/>
    </row>
    <row r="11" spans="1:45" ht="11.25" customHeight="1" x14ac:dyDescent="0.2">
      <c r="B11" s="37" t="s">
        <v>16</v>
      </c>
      <c r="C11" s="50">
        <f>+D3</f>
        <v>9</v>
      </c>
      <c r="R11" s="34"/>
      <c r="S11" s="120"/>
      <c r="T11" s="219"/>
      <c r="U11" s="220"/>
      <c r="V11" s="220"/>
      <c r="W11" s="220"/>
      <c r="X11" s="220"/>
      <c r="Y11" s="220"/>
      <c r="Z11" s="220"/>
      <c r="AA11" s="221"/>
    </row>
    <row r="12" spans="1:45" ht="11.25" customHeight="1" x14ac:dyDescent="0.2">
      <c r="B12" s="37" t="s">
        <v>120</v>
      </c>
      <c r="C12" s="51">
        <v>37</v>
      </c>
      <c r="R12" s="34"/>
      <c r="S12" s="120"/>
      <c r="T12" s="219"/>
      <c r="U12" s="220"/>
      <c r="V12" s="220"/>
      <c r="W12" s="220"/>
      <c r="X12" s="220"/>
      <c r="Y12" s="220"/>
      <c r="Z12" s="220"/>
      <c r="AA12" s="221"/>
    </row>
    <row r="13" spans="1:45" ht="11.25" customHeight="1" x14ac:dyDescent="0.2">
      <c r="B13" s="37" t="s">
        <v>6</v>
      </c>
      <c r="C13" s="52">
        <f>_xlfn.XLOOKUP(D3, Pricing!K2:K12, Pricing!O2:O12, , 1)</f>
        <v>9</v>
      </c>
      <c r="R13" s="34"/>
      <c r="S13" s="121"/>
      <c r="T13" s="219"/>
      <c r="U13" s="220"/>
      <c r="V13" s="220"/>
      <c r="W13" s="220"/>
      <c r="X13" s="220"/>
      <c r="Y13" s="220"/>
      <c r="Z13" s="220"/>
      <c r="AA13" s="221"/>
    </row>
    <row r="14" spans="1:45" ht="11.25" customHeight="1" x14ac:dyDescent="0.2">
      <c r="B14" s="37" t="s">
        <v>121</v>
      </c>
      <c r="C14" s="52">
        <f>+C13*C12</f>
        <v>333</v>
      </c>
      <c r="R14" s="34"/>
      <c r="S14" s="121"/>
      <c r="T14" s="219"/>
      <c r="U14" s="220"/>
      <c r="V14" s="220"/>
      <c r="W14" s="220"/>
      <c r="X14" s="220"/>
      <c r="Y14" s="220"/>
      <c r="Z14" s="220"/>
      <c r="AA14" s="221"/>
    </row>
    <row r="15" spans="1:45" ht="11.25" customHeight="1" x14ac:dyDescent="0.2">
      <c r="B15" s="37" t="s">
        <v>7</v>
      </c>
      <c r="C15" s="52">
        <f>_xlfn.XLOOKUP(D3, Pricing!K2:K12, Pricing!N2:N12, , 1)</f>
        <v>3</v>
      </c>
      <c r="R15" s="34"/>
      <c r="S15" s="121"/>
      <c r="T15" s="219"/>
      <c r="U15" s="220"/>
      <c r="V15" s="220"/>
      <c r="W15" s="220"/>
      <c r="X15" s="220"/>
      <c r="Y15" s="220"/>
      <c r="Z15" s="220"/>
      <c r="AA15" s="221"/>
    </row>
    <row r="16" spans="1:45" ht="11.25" customHeight="1" x14ac:dyDescent="0.2">
      <c r="B16" s="37" t="s">
        <v>252</v>
      </c>
      <c r="C16" s="50">
        <f>+F3*0.098</f>
        <v>1.0780000000000001</v>
      </c>
      <c r="R16" s="34"/>
      <c r="S16" s="121"/>
      <c r="T16" s="219"/>
      <c r="U16" s="220"/>
      <c r="V16" s="220"/>
      <c r="W16" s="220"/>
      <c r="X16" s="220"/>
      <c r="Y16" s="220"/>
      <c r="Z16" s="220"/>
      <c r="AA16" s="221"/>
    </row>
    <row r="17" spans="2:27" ht="11.25" customHeight="1" x14ac:dyDescent="0.2">
      <c r="B17" s="37" t="s">
        <v>8</v>
      </c>
      <c r="C17" s="51">
        <f>_xlfn.XLOOKUP(D3, Pricing!K2:K12, Pricing!M2:M12, , 1)</f>
        <v>7.5</v>
      </c>
      <c r="R17" s="34"/>
      <c r="S17" s="121"/>
      <c r="T17" s="219"/>
      <c r="U17" s="220"/>
      <c r="V17" s="220"/>
      <c r="W17" s="220"/>
      <c r="X17" s="220"/>
      <c r="Y17" s="220"/>
      <c r="Z17" s="220"/>
      <c r="AA17" s="221"/>
    </row>
    <row r="18" spans="2:27" ht="11.25" customHeight="1" x14ac:dyDescent="0.2">
      <c r="B18" s="38"/>
      <c r="C18" s="342"/>
      <c r="R18" s="34"/>
      <c r="S18" s="121"/>
      <c r="T18" s="219"/>
      <c r="U18" s="220"/>
      <c r="V18" s="220"/>
      <c r="W18" s="220"/>
      <c r="X18" s="220"/>
      <c r="Y18" s="220"/>
      <c r="Z18" s="220"/>
      <c r="AA18" s="221"/>
    </row>
    <row r="19" spans="2:27" ht="15" customHeight="1" x14ac:dyDescent="0.2">
      <c r="B19" s="38"/>
      <c r="R19" s="34"/>
      <c r="T19" s="219"/>
      <c r="U19" s="220"/>
      <c r="V19" s="220"/>
      <c r="W19" s="220"/>
      <c r="X19" s="220"/>
      <c r="Y19" s="220"/>
      <c r="Z19" s="220"/>
      <c r="AA19" s="221"/>
    </row>
    <row r="20" spans="2:27" ht="15" customHeight="1" x14ac:dyDescent="0.2">
      <c r="B20" s="38"/>
      <c r="R20" s="34"/>
      <c r="T20" s="219"/>
      <c r="U20" s="220"/>
      <c r="V20" s="220"/>
      <c r="W20" s="220"/>
      <c r="X20" s="220"/>
      <c r="Y20" s="220"/>
      <c r="Z20" s="220"/>
      <c r="AA20" s="221"/>
    </row>
    <row r="21" spans="2:27" ht="15.75" thickBot="1" x14ac:dyDescent="0.25">
      <c r="B21" s="126" t="s">
        <v>9</v>
      </c>
      <c r="C21" s="239" t="s">
        <v>10</v>
      </c>
      <c r="D21" s="240"/>
      <c r="E21" s="146" t="s">
        <v>230</v>
      </c>
      <c r="F21" s="146"/>
      <c r="J21" s="143" t="s">
        <v>127</v>
      </c>
      <c r="K21" s="143"/>
      <c r="L21" s="143"/>
      <c r="M21" s="143"/>
      <c r="N21" s="250">
        <f>+D3</f>
        <v>9</v>
      </c>
      <c r="O21" s="251"/>
      <c r="P21" s="57" t="s">
        <v>19</v>
      </c>
      <c r="R21" s="34"/>
      <c r="T21" s="222"/>
      <c r="U21" s="223"/>
      <c r="V21" s="223"/>
      <c r="W21" s="223"/>
      <c r="X21" s="223"/>
      <c r="Y21" s="223"/>
      <c r="Z21" s="223"/>
      <c r="AA21" s="224"/>
    </row>
    <row r="22" spans="2:27" ht="11.25" customHeight="1" thickBot="1" x14ac:dyDescent="0.25">
      <c r="B22" s="39" t="s">
        <v>145</v>
      </c>
      <c r="C22" s="48">
        <f>_xlfn.XLOOKUP(G3, Pricing!C154:C155, Pricing!F154:F155, , 1)</f>
        <v>0</v>
      </c>
      <c r="D22" s="241">
        <f>SUM(C23:C44)</f>
        <v>54310</v>
      </c>
      <c r="E22" s="49">
        <f t="shared" ref="E22:E39" si="0">C22*(1+$C$6)</f>
        <v>0</v>
      </c>
      <c r="F22" s="245">
        <f>SUM(E23:E44)</f>
        <v>70603</v>
      </c>
      <c r="J22" s="58" t="s">
        <v>11</v>
      </c>
      <c r="K22" s="59"/>
      <c r="L22" s="59"/>
      <c r="M22" s="60"/>
      <c r="N22" s="228" t="s">
        <v>12</v>
      </c>
      <c r="O22" s="229"/>
      <c r="P22" s="61" t="s">
        <v>129</v>
      </c>
      <c r="R22" s="34"/>
      <c r="T22" s="118"/>
      <c r="U22" s="118"/>
      <c r="V22" s="118"/>
      <c r="W22" s="118"/>
      <c r="X22" s="118"/>
      <c r="Y22" s="118"/>
      <c r="Z22" s="118"/>
      <c r="AA22" s="118"/>
    </row>
    <row r="23" spans="2:27" ht="11.25" customHeight="1" x14ac:dyDescent="0.25">
      <c r="B23" s="39" t="s">
        <v>138</v>
      </c>
      <c r="C23" s="47" cm="1">
        <f t="array" ref="C23">INDEX(Pricing!F121:F153,
      MATCH(1,
            (L3&gt;=--LEFT(Pricing!C121:C153,FIND("-",Pricing!C121:C153)-1)) *
            (L3&lt;=--MID(Pricing!C121:C153,FIND("-",Pricing!C121:C153)+1,99)) *
            (D3=Pricing!E121:E153),
            0
      )
)</f>
        <v>0</v>
      </c>
      <c r="D23" s="242"/>
      <c r="E23" s="49">
        <f t="shared" si="0"/>
        <v>0</v>
      </c>
      <c r="F23" s="246"/>
      <c r="J23" s="62" t="s">
        <v>13</v>
      </c>
      <c r="K23" s="63"/>
      <c r="L23" s="63"/>
      <c r="M23" s="64"/>
      <c r="N23" s="225">
        <f>+F22</f>
        <v>70603</v>
      </c>
      <c r="O23" s="226"/>
      <c r="R23" s="34"/>
      <c r="S23" s="122"/>
      <c r="T23" s="114" t="s">
        <v>270</v>
      </c>
      <c r="U23" s="115"/>
      <c r="V23" s="116"/>
      <c r="W23" s="116"/>
      <c r="X23" s="116"/>
      <c r="Y23" s="116"/>
      <c r="Z23" s="116"/>
      <c r="AA23" s="117"/>
    </row>
    <row r="24" spans="2:27" ht="11.25" customHeight="1" x14ac:dyDescent="0.25">
      <c r="B24" s="39" t="s">
        <v>133</v>
      </c>
      <c r="C24" s="48" cm="1">
        <f t="array" ref="C24">INDEX(Pricing!F66:F120,
      MATCH(1,
            (P3&gt;=--LEFT(Pricing!C66:C120,FIND("-",Pricing!C66:C120)-1)) *
            (P3&lt;=--MID(Pricing!C66:C120,FIND("-",Pricing!C66:C120)+1,99)) *
            (D3=Pricing!E66:E120),
            0
      )
)</f>
        <v>0</v>
      </c>
      <c r="D24" s="242"/>
      <c r="E24" s="49">
        <f t="shared" si="0"/>
        <v>0</v>
      </c>
      <c r="F24" s="246"/>
      <c r="J24" s="62" t="s">
        <v>132</v>
      </c>
      <c r="K24" s="63"/>
      <c r="L24" s="63"/>
      <c r="M24" s="64"/>
      <c r="N24" s="225">
        <f>SUM(N23:O23)*P24</f>
        <v>3530.15</v>
      </c>
      <c r="O24" s="226"/>
      <c r="P24" s="65">
        <v>0.05</v>
      </c>
      <c r="R24" s="34"/>
      <c r="S24" s="122"/>
      <c r="T24" s="343" t="str">
        <f>IF(AND(O3&gt;=10, O3&lt;=12), Alarms!A11, "")</f>
        <v/>
      </c>
      <c r="U24" s="124"/>
      <c r="AA24" s="34"/>
    </row>
    <row r="25" spans="2:27" ht="11.25" customHeight="1" x14ac:dyDescent="0.25">
      <c r="B25" s="39" t="s">
        <v>176</v>
      </c>
      <c r="C25" s="48">
        <f>_xlfn.XLOOKUP(O3, Pricing!C50:C54, Pricing!F50:F54, , 1)</f>
        <v>1400</v>
      </c>
      <c r="D25" s="242"/>
      <c r="E25" s="49">
        <f t="shared" si="0"/>
        <v>1820</v>
      </c>
      <c r="F25" s="246"/>
      <c r="J25" s="62" t="s">
        <v>130</v>
      </c>
      <c r="K25" s="63"/>
      <c r="L25" s="63"/>
      <c r="M25" s="64"/>
      <c r="N25" s="225">
        <f>SUM(N23:O23)*P25</f>
        <v>3530.15</v>
      </c>
      <c r="O25" s="226"/>
      <c r="P25" s="65">
        <v>0.05</v>
      </c>
      <c r="R25" s="34"/>
      <c r="S25" s="122"/>
      <c r="T25" s="343" t="str">
        <f>IF(AND(L3&gt;=0.05, L3&lt;=5), Alarms!A12, "")</f>
        <v/>
      </c>
      <c r="U25" s="124"/>
      <c r="AA25" s="34"/>
    </row>
    <row r="26" spans="2:27" ht="11.25" customHeight="1" x14ac:dyDescent="0.25">
      <c r="B26" s="39" t="s">
        <v>25</v>
      </c>
      <c r="C26" s="48" cm="1">
        <f t="array" ref="C26">INDEX(Pricing!F156:F188,
      MATCH(1,
            (M3&gt;=--LEFT(Pricing!C156:C188,FIND("-",Pricing!C156:C188)-1)) *
            (M3&lt;=--MID(Pricing!C156:C188,FIND("-",Pricing!C156:C188)+1,99)) *
            (D3=Pricing!E156:E188),
            0
      )
)</f>
        <v>0</v>
      </c>
      <c r="D26" s="242"/>
      <c r="E26" s="49">
        <f t="shared" si="0"/>
        <v>0</v>
      </c>
      <c r="F26" s="246"/>
      <c r="J26" s="62" t="s">
        <v>131</v>
      </c>
      <c r="K26" s="63"/>
      <c r="L26" s="63"/>
      <c r="M26" s="64"/>
      <c r="N26" s="225">
        <f>SUM(N23:O23)*P26</f>
        <v>1412.06</v>
      </c>
      <c r="O26" s="226"/>
      <c r="P26" s="65">
        <v>0.02</v>
      </c>
      <c r="R26" s="34"/>
      <c r="S26" s="122"/>
      <c r="T26" s="343" t="str">
        <f>IF(AND(G3&gt;=1, G3&lt;=3), Alarms!A9, "")</f>
        <v/>
      </c>
      <c r="U26" s="124"/>
      <c r="AA26" s="34"/>
    </row>
    <row r="27" spans="2:27" ht="11.25" customHeight="1" x14ac:dyDescent="0.25">
      <c r="B27" s="39" t="s">
        <v>175</v>
      </c>
      <c r="C27" s="48" cm="1">
        <f t="array" ref="C27">INDEX(Pricing!F189:F221,
      MATCH(1,
            (J3&gt;=--LEFT(Pricing!C189:C221,FIND("-",Pricing!C189:C221)-1)) *
            (J3&lt;=--MID(Pricing!C189:C221,FIND("-",Pricing!C189:C221)+1,99)) *
            (D3=Pricing!E189:E221),
            0
      )
)</f>
        <v>0</v>
      </c>
      <c r="D27" s="242"/>
      <c r="E27" s="49">
        <f t="shared" si="0"/>
        <v>0</v>
      </c>
      <c r="F27" s="246"/>
      <c r="J27" s="66" t="s">
        <v>14</v>
      </c>
      <c r="K27" s="67"/>
      <c r="L27" s="67"/>
      <c r="M27" s="68"/>
      <c r="N27" s="228">
        <f>SUM(N23:O26)</f>
        <v>79075.359999999986</v>
      </c>
      <c r="O27" s="229"/>
      <c r="R27" s="34"/>
      <c r="S27" s="122"/>
      <c r="T27" s="343" t="str">
        <f>IF(AND(R3&gt;=0, R3&lt;=15), Alarms!A1, "")</f>
        <v>WARNING - Temperature is low check this could effect flow - Perhaps increase size of system</v>
      </c>
      <c r="U27" s="124"/>
      <c r="AA27" s="34"/>
    </row>
    <row r="28" spans="2:27" ht="11.25" customHeight="1" x14ac:dyDescent="0.25">
      <c r="B28" s="39" t="s">
        <v>174</v>
      </c>
      <c r="C28" s="48" cm="1">
        <f t="array" ref="C28">INDEX(Pricing!F222:F253,
      MATCH(1,
            (K3&gt;=--LEFT(Pricing!C222:C254,FIND("-",Pricing!C222:C254)-1)) *
            (K3&lt;=--MID(Pricing!C222:C254,FIND("-",Pricing!C222:C254)+1,99)) *
            (D3=Pricing!E222:E254),
            0
      )
)</f>
        <v>0</v>
      </c>
      <c r="D28" s="242"/>
      <c r="E28" s="49">
        <f t="shared" si="0"/>
        <v>0</v>
      </c>
      <c r="F28" s="246"/>
      <c r="J28" s="62" t="s">
        <v>23</v>
      </c>
      <c r="K28" s="63"/>
      <c r="L28" s="63"/>
      <c r="M28" s="64"/>
      <c r="N28" s="225">
        <f>+N27*P28</f>
        <v>0</v>
      </c>
      <c r="O28" s="226"/>
      <c r="P28" s="65">
        <v>0</v>
      </c>
      <c r="R28" s="34"/>
      <c r="S28" s="122"/>
      <c r="T28" s="343" t="str">
        <f>IF(AND(J3&gt;=5.1, J3&lt;=500), Alarms!A7, "")</f>
        <v/>
      </c>
      <c r="U28" s="124"/>
      <c r="AA28" s="34"/>
    </row>
    <row r="29" spans="2:27" ht="11.25" customHeight="1" x14ac:dyDescent="0.25">
      <c r="B29" s="69" t="s">
        <v>173</v>
      </c>
      <c r="C29" s="48" cm="1">
        <f t="array" ref="C29">INDEX(Pricing!F255:F287,
      MATCH(1,
            (N3&gt;=--LEFT(Pricing!C255:C287,FIND("-",Pricing!C255:C287)-1)) *
            (N3&lt;=--MID(Pricing!C255:C287,FIND("-",Pricing!C255:C287)+1,99)) *
            (D3=Pricing!E255:E287),
            0
      )
)</f>
        <v>0</v>
      </c>
      <c r="D29" s="242"/>
      <c r="E29" s="49">
        <f t="shared" si="0"/>
        <v>0</v>
      </c>
      <c r="F29" s="246"/>
      <c r="J29" s="227" t="s">
        <v>154</v>
      </c>
      <c r="K29" s="227"/>
      <c r="L29" s="227"/>
      <c r="M29" s="227"/>
      <c r="N29" s="230">
        <f>(+N27-D22)/N27</f>
        <v>0.31318681318681307</v>
      </c>
      <c r="O29" s="231"/>
      <c r="P29" s="232"/>
      <c r="R29" s="34"/>
      <c r="S29" s="122"/>
      <c r="T29" s="343" t="str">
        <f>IF(AND(K3&gt;=501, K3&lt;=10000), Alarms!A6, "")</f>
        <v/>
      </c>
      <c r="U29" s="124"/>
      <c r="AA29" s="34"/>
    </row>
    <row r="30" spans="2:27" ht="11.25" customHeight="1" x14ac:dyDescent="0.25">
      <c r="B30" s="113" t="s">
        <v>169</v>
      </c>
      <c r="C30" s="49">
        <f>_xlfn.XLOOKUP(D3, Pricing!E2:E12, Pricing!F2:F12, , 1)</f>
        <v>15954</v>
      </c>
      <c r="D30" s="242"/>
      <c r="E30" s="49">
        <f t="shared" si="0"/>
        <v>20740.2</v>
      </c>
      <c r="F30" s="246"/>
      <c r="J30" s="227"/>
      <c r="K30" s="227"/>
      <c r="L30" s="227"/>
      <c r="M30" s="227"/>
      <c r="N30" s="233"/>
      <c r="O30" s="234"/>
      <c r="P30" s="235"/>
      <c r="R30" s="34"/>
      <c r="S30" s="121"/>
      <c r="T30" s="343" t="str">
        <f>IF(AND(K3&gt;=1000, K3&lt;=10000), Alarms!A5, "")</f>
        <v/>
      </c>
      <c r="U30" s="124"/>
      <c r="AA30" s="34"/>
    </row>
    <row r="31" spans="2:27" ht="11.25" customHeight="1" x14ac:dyDescent="0.25">
      <c r="B31" s="40" t="s">
        <v>126</v>
      </c>
      <c r="C31" s="49">
        <f>+Pricing!F13</f>
        <v>700</v>
      </c>
      <c r="D31" s="242"/>
      <c r="E31" s="49">
        <f t="shared" si="0"/>
        <v>910</v>
      </c>
      <c r="F31" s="246"/>
      <c r="J31" s="227" t="s">
        <v>15</v>
      </c>
      <c r="K31" s="227"/>
      <c r="L31" s="227"/>
      <c r="M31" s="227"/>
      <c r="N31" s="248">
        <f>+N27-N28</f>
        <v>79075.359999999986</v>
      </c>
      <c r="O31" s="248"/>
      <c r="P31" s="248"/>
      <c r="R31" s="34"/>
      <c r="S31" s="123"/>
      <c r="T31" s="343" t="str">
        <f>IF(AND(M3&gt;=5.1, M3&lt;=500), Alarms!A8, "")</f>
        <v/>
      </c>
      <c r="U31" s="124"/>
      <c r="AA31" s="34"/>
    </row>
    <row r="32" spans="2:27" ht="11.25" customHeight="1" x14ac:dyDescent="0.25">
      <c r="B32" s="37" t="s">
        <v>21</v>
      </c>
      <c r="C32" s="48">
        <f>+Pricing!F14*C13</f>
        <v>4140</v>
      </c>
      <c r="D32" s="242"/>
      <c r="E32" s="49">
        <f t="shared" si="0"/>
        <v>5382</v>
      </c>
      <c r="F32" s="246"/>
      <c r="J32" s="227"/>
      <c r="K32" s="227"/>
      <c r="L32" s="227"/>
      <c r="M32" s="227"/>
      <c r="N32" s="248"/>
      <c r="O32" s="248"/>
      <c r="P32" s="248"/>
      <c r="R32" s="34"/>
      <c r="S32" s="121"/>
      <c r="T32" s="343" t="str">
        <f>IF(AND(N3&gt;=6.1, N3&lt;=10), Alarms!A4, "")</f>
        <v/>
      </c>
      <c r="U32" s="124"/>
      <c r="AA32" s="34"/>
    </row>
    <row r="33" spans="2:27" ht="11.25" customHeight="1" x14ac:dyDescent="0.25">
      <c r="B33" s="37" t="s">
        <v>110</v>
      </c>
      <c r="C33" s="48" cm="1">
        <f t="array" ref="C33">INDEX(Pricing!F17:F49,
      MATCH(1,
            (Q3&gt;=--LEFT(Pricing!C17:C49,FIND("-",Pricing!C17:C49)-1)) *
            (Q3&lt;=--MID(Pricing!C17:C49,FIND("-",Pricing!C17:C49)+1,99)) *
            (D3=Pricing!E17:E49),
            0
      )
)</f>
        <v>1400</v>
      </c>
      <c r="D33" s="242"/>
      <c r="E33" s="49">
        <f t="shared" si="0"/>
        <v>1820</v>
      </c>
      <c r="F33" s="246"/>
      <c r="J33" s="252" t="s">
        <v>153</v>
      </c>
      <c r="K33" s="253"/>
      <c r="L33" s="253"/>
      <c r="M33" s="254"/>
      <c r="N33" s="249">
        <f>+N31-D22</f>
        <v>24765.359999999986</v>
      </c>
      <c r="O33" s="249"/>
      <c r="P33" s="249"/>
      <c r="R33" s="34"/>
      <c r="S33" s="121"/>
      <c r="T33" s="343" t="str">
        <f>IF(AND(P3&gt;=0.3, P3&lt;=5), Alarms!A10, "")</f>
        <v/>
      </c>
      <c r="U33" s="124"/>
      <c r="AA33" s="34"/>
    </row>
    <row r="34" spans="2:27" ht="11.25" customHeight="1" x14ac:dyDescent="0.25">
      <c r="B34" s="37" t="s">
        <v>107</v>
      </c>
      <c r="C34" s="48">
        <f>_xlfn.XLOOKUP(D3, Pricing!E2:E12, Pricing!S2:S12, , 1)</f>
        <v>4716</v>
      </c>
      <c r="D34" s="242"/>
      <c r="E34" s="49">
        <f t="shared" si="0"/>
        <v>6130.8</v>
      </c>
      <c r="F34" s="246"/>
      <c r="J34" s="255"/>
      <c r="K34" s="256"/>
      <c r="L34" s="256"/>
      <c r="M34" s="257"/>
      <c r="N34" s="249"/>
      <c r="O34" s="249"/>
      <c r="P34" s="249"/>
      <c r="R34" s="34"/>
      <c r="S34" s="121"/>
      <c r="T34" s="343" t="str">
        <f>IF(AND(P3&gt;=0.1, P3&lt;=0.3), Alarms!A13, "")</f>
        <v/>
      </c>
      <c r="U34" s="124"/>
      <c r="AA34" s="34"/>
    </row>
    <row r="35" spans="2:27" ht="11.25" customHeight="1" x14ac:dyDescent="0.25">
      <c r="B35" s="37" t="s">
        <v>104</v>
      </c>
      <c r="C35" s="49">
        <f>IF(I3="No",0,_xlfn.XLOOKUP(D3,Pricing!E55:E65,Pricing!F55:F65,,1))</f>
        <v>0</v>
      </c>
      <c r="D35" s="242"/>
      <c r="E35" s="49">
        <f t="shared" si="0"/>
        <v>0</v>
      </c>
      <c r="F35" s="246"/>
      <c r="J35" s="214" t="s">
        <v>213</v>
      </c>
      <c r="K35" s="214"/>
      <c r="L35" s="214"/>
      <c r="M35" s="214"/>
      <c r="N35" s="214"/>
      <c r="O35" s="214"/>
      <c r="P35" s="214"/>
      <c r="R35" s="34"/>
      <c r="S35" s="121"/>
      <c r="T35" s="343" t="str">
        <f>IF(AND(Q3&gt;=300, Q3&lt;=1000), Alarms!A15, "")</f>
        <v/>
      </c>
      <c r="U35" s="124"/>
      <c r="AA35" s="34"/>
    </row>
    <row r="36" spans="2:27" ht="11.25" customHeight="1" x14ac:dyDescent="0.25">
      <c r="B36" s="37" t="s">
        <v>140</v>
      </c>
      <c r="C36" s="49">
        <f>IF(H3="No",0,_xlfn.XLOOKUP(D3,Pricing!E2:E12,Pricing!J2:J12,,1))</f>
        <v>5500</v>
      </c>
      <c r="D36" s="242"/>
      <c r="E36" s="49">
        <f t="shared" si="0"/>
        <v>7150</v>
      </c>
      <c r="F36" s="246"/>
      <c r="J36" s="215"/>
      <c r="K36" s="215"/>
      <c r="L36" s="215"/>
      <c r="M36" s="215"/>
      <c r="N36" s="215"/>
      <c r="O36" s="215"/>
      <c r="P36" s="215"/>
      <c r="R36" s="34"/>
      <c r="S36" s="121"/>
      <c r="T36" s="343" t="str">
        <f>IF(AND(Q3&gt;=200, Q3&lt;=300), Alarms!A14, "")</f>
        <v/>
      </c>
      <c r="U36" s="125"/>
      <c r="AA36" s="34"/>
    </row>
    <row r="37" spans="2:27" ht="11.25" customHeight="1" x14ac:dyDescent="0.25">
      <c r="B37" s="37" t="s">
        <v>139</v>
      </c>
      <c r="C37" s="49">
        <f>VLOOKUP(D3, Pricing!K2:L12, 2, TRUE)</f>
        <v>9000</v>
      </c>
      <c r="D37" s="242"/>
      <c r="E37" s="49">
        <f t="shared" si="0"/>
        <v>11700</v>
      </c>
      <c r="F37" s="246"/>
      <c r="J37" s="215"/>
      <c r="K37" s="215"/>
      <c r="L37" s="215"/>
      <c r="M37" s="215"/>
      <c r="N37" s="215"/>
      <c r="O37" s="215"/>
      <c r="P37" s="215"/>
      <c r="R37" s="34"/>
      <c r="S37" s="121"/>
      <c r="T37" s="343" t="str">
        <f>IF(AND(E3&gt;=0, E3&lt;=9.9), Alarms!A3, "")</f>
        <v/>
      </c>
      <c r="AA37" s="34"/>
    </row>
    <row r="38" spans="2:27" ht="11.25" customHeight="1" x14ac:dyDescent="0.2">
      <c r="B38" s="37" t="s">
        <v>18</v>
      </c>
      <c r="C38" s="49">
        <f>_xlfn.XLOOKUP(D3, Pricing!K2:K12, Pricing!P2:P12, , 1)</f>
        <v>10000</v>
      </c>
      <c r="D38" s="242"/>
      <c r="E38" s="49">
        <f t="shared" si="0"/>
        <v>13000</v>
      </c>
      <c r="F38" s="246"/>
      <c r="J38" s="215"/>
      <c r="K38" s="215"/>
      <c r="L38" s="215"/>
      <c r="M38" s="215"/>
      <c r="N38" s="215"/>
      <c r="O38" s="215"/>
      <c r="P38" s="215"/>
      <c r="R38" s="34"/>
      <c r="T38" s="344"/>
      <c r="AA38" s="34"/>
    </row>
    <row r="39" spans="2:27" ht="11.25" customHeight="1" thickBot="1" x14ac:dyDescent="0.25">
      <c r="B39" s="131" t="s">
        <v>128</v>
      </c>
      <c r="C39" s="128">
        <f>_xlfn.XLOOKUP(D3, Pricing!K2:K12, Pricing!Q2:Q12, , 1)</f>
        <v>1500</v>
      </c>
      <c r="D39" s="242"/>
      <c r="E39" s="128">
        <f t="shared" si="0"/>
        <v>1950</v>
      </c>
      <c r="F39" s="246"/>
      <c r="R39" s="34"/>
      <c r="T39" s="345" t="str">
        <f>IF(AND(N29&gt;=10, N29&lt;=15), Alarms!A2, "")</f>
        <v/>
      </c>
      <c r="AA39" s="34"/>
    </row>
    <row r="40" spans="2:27" ht="11.25" customHeight="1" x14ac:dyDescent="0.2">
      <c r="B40" s="132" t="s">
        <v>232</v>
      </c>
      <c r="C40" s="133">
        <f>IF(E3&lt;9.9, _xlfn.XLOOKUP(C11, Pricing!E2:E12, Pricing!F2:F12), 0)</f>
        <v>0</v>
      </c>
      <c r="D40" s="243"/>
      <c r="E40" s="211">
        <f t="shared" ref="E40:E44" si="1">C40*(1+$C$6)</f>
        <v>0</v>
      </c>
      <c r="F40" s="242"/>
      <c r="R40" s="34"/>
      <c r="T40" s="345"/>
      <c r="AA40" s="34"/>
    </row>
    <row r="41" spans="2:27" ht="11.25" customHeight="1" x14ac:dyDescent="0.2">
      <c r="B41" s="137" t="s">
        <v>235</v>
      </c>
      <c r="C41" s="138"/>
      <c r="D41" s="243"/>
      <c r="E41" s="212"/>
      <c r="F41" s="242"/>
      <c r="R41" s="34"/>
      <c r="T41" s="345"/>
      <c r="AA41" s="34"/>
    </row>
    <row r="42" spans="2:27" ht="11.25" customHeight="1" x14ac:dyDescent="0.2">
      <c r="B42" s="137" t="s">
        <v>236</v>
      </c>
      <c r="C42" s="138"/>
      <c r="D42" s="243"/>
      <c r="E42" s="212"/>
      <c r="F42" s="242"/>
      <c r="R42" s="34"/>
      <c r="T42" s="345"/>
      <c r="AA42" s="34"/>
    </row>
    <row r="43" spans="2:27" ht="11.25" customHeight="1" x14ac:dyDescent="0.2">
      <c r="B43" s="134" t="s">
        <v>233</v>
      </c>
      <c r="C43" s="135">
        <f>IF(E3&lt;9.9, _xlfn.XLOOKUP(C11, Pricing!E2:E12, Pricing!L2:L12), 0)</f>
        <v>0</v>
      </c>
      <c r="D43" s="243"/>
      <c r="E43" s="212">
        <f t="shared" si="1"/>
        <v>0</v>
      </c>
      <c r="F43" s="242"/>
      <c r="R43" s="34"/>
      <c r="T43" s="345"/>
      <c r="AA43" s="34"/>
    </row>
    <row r="44" spans="2:27" ht="11.25" customHeight="1" thickBot="1" x14ac:dyDescent="0.25">
      <c r="B44" s="136" t="s">
        <v>234</v>
      </c>
      <c r="C44" s="135">
        <f>IF(E3&lt;9.9, _xlfn.XLOOKUP(C11, Pricing!E2:E12, Pricing!P2:P12), 0)</f>
        <v>0</v>
      </c>
      <c r="D44" s="244"/>
      <c r="E44" s="213">
        <f t="shared" si="1"/>
        <v>0</v>
      </c>
      <c r="F44" s="247"/>
      <c r="R44" s="34"/>
      <c r="T44" s="345"/>
      <c r="AA44" s="34"/>
    </row>
    <row r="45" spans="2:27" ht="12" thickBot="1" x14ac:dyDescent="0.25">
      <c r="B45" s="41"/>
      <c r="C45" s="42"/>
      <c r="D45" s="42"/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3"/>
      <c r="T45" s="346"/>
      <c r="U45" s="42"/>
      <c r="V45" s="42"/>
      <c r="W45" s="42"/>
      <c r="X45" s="42"/>
      <c r="Y45" s="42"/>
      <c r="Z45" s="42"/>
      <c r="AA45" s="43"/>
    </row>
    <row r="46" spans="2:27" s="118" customFormat="1" x14ac:dyDescent="0.2"/>
    <row r="47" spans="2:27" s="118" customFormat="1" x14ac:dyDescent="0.2"/>
    <row r="48" spans="2:27" s="118" customFormat="1" x14ac:dyDescent="0.2"/>
    <row r="49" s="118" customFormat="1" x14ac:dyDescent="0.2"/>
    <row r="50" s="118" customFormat="1" x14ac:dyDescent="0.2"/>
    <row r="51" s="118" customFormat="1" x14ac:dyDescent="0.2"/>
    <row r="52" s="118" customFormat="1" x14ac:dyDescent="0.2"/>
    <row r="53" s="118" customFormat="1" x14ac:dyDescent="0.2"/>
    <row r="54" s="118" customFormat="1" x14ac:dyDescent="0.2"/>
    <row r="55" s="118" customFormat="1" x14ac:dyDescent="0.2"/>
    <row r="56" s="118" customFormat="1" x14ac:dyDescent="0.2"/>
    <row r="57" s="118" customFormat="1" x14ac:dyDescent="0.2"/>
    <row r="58" s="118" customFormat="1" x14ac:dyDescent="0.2"/>
    <row r="59" s="118" customFormat="1" x14ac:dyDescent="0.2"/>
    <row r="60" s="118" customFormat="1" x14ac:dyDescent="0.2"/>
    <row r="61" s="118" customFormat="1" x14ac:dyDescent="0.2"/>
    <row r="62" s="118" customFormat="1" x14ac:dyDescent="0.2"/>
    <row r="63" s="118" customFormat="1" x14ac:dyDescent="0.2"/>
    <row r="64" s="118" customFormat="1" x14ac:dyDescent="0.2"/>
    <row r="65" s="118" customFormat="1" x14ac:dyDescent="0.2"/>
    <row r="66" s="118" customFormat="1" x14ac:dyDescent="0.2"/>
    <row r="67" s="118" customFormat="1" x14ac:dyDescent="0.2"/>
    <row r="68" s="118" customFormat="1" x14ac:dyDescent="0.2"/>
    <row r="69" s="118" customFormat="1" x14ac:dyDescent="0.2"/>
    <row r="70" s="118" customFormat="1" x14ac:dyDescent="0.2"/>
    <row r="71" s="118" customFormat="1" x14ac:dyDescent="0.2"/>
    <row r="72" s="118" customFormat="1" x14ac:dyDescent="0.2"/>
    <row r="73" s="118" customFormat="1" x14ac:dyDescent="0.2"/>
    <row r="74" s="118" customFormat="1" x14ac:dyDescent="0.2"/>
    <row r="75" s="118" customFormat="1" x14ac:dyDescent="0.2"/>
    <row r="76" s="118" customFormat="1" x14ac:dyDescent="0.2"/>
    <row r="77" s="118" customFormat="1" x14ac:dyDescent="0.2"/>
    <row r="78" s="118" customFormat="1" x14ac:dyDescent="0.2"/>
    <row r="79" s="118" customFormat="1" x14ac:dyDescent="0.2"/>
    <row r="80" s="118" customFormat="1" x14ac:dyDescent="0.2"/>
    <row r="81" s="118" customFormat="1" x14ac:dyDescent="0.2"/>
    <row r="82" s="118" customFormat="1" x14ac:dyDescent="0.2"/>
    <row r="83" s="118" customFormat="1" x14ac:dyDescent="0.2"/>
    <row r="84" s="118" customFormat="1" x14ac:dyDescent="0.2"/>
    <row r="85" s="118" customFormat="1" x14ac:dyDescent="0.2"/>
    <row r="86" s="118" customFormat="1" x14ac:dyDescent="0.2"/>
    <row r="87" s="118" customFormat="1" x14ac:dyDescent="0.2"/>
    <row r="88" s="118" customFormat="1" x14ac:dyDescent="0.2"/>
    <row r="89" s="118" customFormat="1" x14ac:dyDescent="0.2"/>
    <row r="90" s="118" customFormat="1" x14ac:dyDescent="0.2"/>
    <row r="91" s="118" customFormat="1" x14ac:dyDescent="0.2"/>
    <row r="92" s="118" customFormat="1" x14ac:dyDescent="0.2"/>
    <row r="93" s="118" customFormat="1" x14ac:dyDescent="0.2"/>
    <row r="94" s="118" customFormat="1" x14ac:dyDescent="0.2"/>
    <row r="95" s="118" customFormat="1" x14ac:dyDescent="0.2"/>
    <row r="96" s="118" customFormat="1" x14ac:dyDescent="0.2"/>
    <row r="97" s="118" customFormat="1" x14ac:dyDescent="0.2"/>
    <row r="98" s="118" customFormat="1" x14ac:dyDescent="0.2"/>
    <row r="99" s="118" customFormat="1" x14ac:dyDescent="0.2"/>
    <row r="100" s="118" customFormat="1" x14ac:dyDescent="0.2"/>
    <row r="101" s="118" customFormat="1" x14ac:dyDescent="0.2"/>
    <row r="102" s="118" customFormat="1" x14ac:dyDescent="0.2"/>
    <row r="103" s="118" customFormat="1" x14ac:dyDescent="0.2"/>
    <row r="104" s="118" customFormat="1" x14ac:dyDescent="0.2"/>
    <row r="105" s="118" customFormat="1" x14ac:dyDescent="0.2"/>
    <row r="106" s="118" customFormat="1" x14ac:dyDescent="0.2"/>
    <row r="107" s="118" customFormat="1" x14ac:dyDescent="0.2"/>
    <row r="108" s="118" customFormat="1" x14ac:dyDescent="0.2"/>
    <row r="109" s="118" customFormat="1" x14ac:dyDescent="0.2"/>
    <row r="110" s="118" customFormat="1" x14ac:dyDescent="0.2"/>
    <row r="111" s="118" customFormat="1" x14ac:dyDescent="0.2"/>
    <row r="112" s="118" customFormat="1" x14ac:dyDescent="0.2"/>
    <row r="113" s="118" customFormat="1" x14ac:dyDescent="0.2"/>
    <row r="114" s="118" customFormat="1" x14ac:dyDescent="0.2"/>
    <row r="115" s="118" customFormat="1" x14ac:dyDescent="0.2"/>
    <row r="116" s="118" customFormat="1" x14ac:dyDescent="0.2"/>
    <row r="117" s="118" customFormat="1" x14ac:dyDescent="0.2"/>
    <row r="118" s="118" customFormat="1" x14ac:dyDescent="0.2"/>
    <row r="119" s="118" customFormat="1" x14ac:dyDescent="0.2"/>
    <row r="120" s="118" customFormat="1" x14ac:dyDescent="0.2"/>
    <row r="121" s="118" customFormat="1" x14ac:dyDescent="0.2"/>
    <row r="122" s="118" customFormat="1" x14ac:dyDescent="0.2"/>
    <row r="123" s="118" customFormat="1" x14ac:dyDescent="0.2"/>
    <row r="124" s="118" customFormat="1" x14ac:dyDescent="0.2"/>
    <row r="125" s="118" customFormat="1" x14ac:dyDescent="0.2"/>
    <row r="126" s="118" customFormat="1" x14ac:dyDescent="0.2"/>
    <row r="127" s="118" customFormat="1" x14ac:dyDescent="0.2"/>
    <row r="128" s="118" customFormat="1" x14ac:dyDescent="0.2"/>
    <row r="129" s="118" customFormat="1" x14ac:dyDescent="0.2"/>
    <row r="130" s="118" customFormat="1" x14ac:dyDescent="0.2"/>
    <row r="131" s="118" customFormat="1" x14ac:dyDescent="0.2"/>
    <row r="132" s="118" customFormat="1" x14ac:dyDescent="0.2"/>
    <row r="133" s="118" customFormat="1" x14ac:dyDescent="0.2"/>
    <row r="134" s="118" customFormat="1" x14ac:dyDescent="0.2"/>
    <row r="135" s="118" customFormat="1" x14ac:dyDescent="0.2"/>
    <row r="136" s="118" customFormat="1" x14ac:dyDescent="0.2"/>
    <row r="137" s="118" customFormat="1" x14ac:dyDescent="0.2"/>
    <row r="138" s="118" customFormat="1" x14ac:dyDescent="0.2"/>
    <row r="139" s="118" customFormat="1" x14ac:dyDescent="0.2"/>
    <row r="140" s="118" customFormat="1" x14ac:dyDescent="0.2"/>
    <row r="141" s="118" customFormat="1" x14ac:dyDescent="0.2"/>
    <row r="142" s="118" customFormat="1" x14ac:dyDescent="0.2"/>
    <row r="143" s="118" customFormat="1" x14ac:dyDescent="0.2"/>
    <row r="144" s="118" customFormat="1" x14ac:dyDescent="0.2"/>
    <row r="145" s="118" customFormat="1" x14ac:dyDescent="0.2"/>
    <row r="146" s="118" customFormat="1" x14ac:dyDescent="0.2"/>
    <row r="147" s="118" customFormat="1" x14ac:dyDescent="0.2"/>
    <row r="148" s="118" customFormat="1" x14ac:dyDescent="0.2"/>
    <row r="149" s="118" customFormat="1" x14ac:dyDescent="0.2"/>
    <row r="150" s="118" customFormat="1" x14ac:dyDescent="0.2"/>
    <row r="151" s="118" customFormat="1" x14ac:dyDescent="0.2"/>
    <row r="152" s="118" customFormat="1" x14ac:dyDescent="0.2"/>
    <row r="153" s="118" customFormat="1" x14ac:dyDescent="0.2"/>
    <row r="154" s="118" customFormat="1" x14ac:dyDescent="0.2"/>
    <row r="155" s="118" customFormat="1" x14ac:dyDescent="0.2"/>
    <row r="156" s="118" customFormat="1" x14ac:dyDescent="0.2"/>
    <row r="157" s="118" customFormat="1" x14ac:dyDescent="0.2"/>
    <row r="158" s="118" customFormat="1" x14ac:dyDescent="0.2"/>
    <row r="159" s="118" customFormat="1" x14ac:dyDescent="0.2"/>
    <row r="160" s="118" customFormat="1" x14ac:dyDescent="0.2"/>
    <row r="161" s="118" customFormat="1" x14ac:dyDescent="0.2"/>
    <row r="162" s="118" customFormat="1" x14ac:dyDescent="0.2"/>
    <row r="163" s="118" customFormat="1" x14ac:dyDescent="0.2"/>
    <row r="164" s="118" customFormat="1" x14ac:dyDescent="0.2"/>
    <row r="165" s="118" customFormat="1" x14ac:dyDescent="0.2"/>
    <row r="166" s="118" customFormat="1" x14ac:dyDescent="0.2"/>
    <row r="167" s="118" customFormat="1" x14ac:dyDescent="0.2"/>
    <row r="168" s="118" customFormat="1" x14ac:dyDescent="0.2"/>
    <row r="169" s="118" customFormat="1" x14ac:dyDescent="0.2"/>
    <row r="170" s="118" customFormat="1" x14ac:dyDescent="0.2"/>
    <row r="171" s="118" customFormat="1" x14ac:dyDescent="0.2"/>
    <row r="172" s="118" customFormat="1" x14ac:dyDescent="0.2"/>
    <row r="173" s="118" customFormat="1" x14ac:dyDescent="0.2"/>
    <row r="174" s="118" customFormat="1" x14ac:dyDescent="0.2"/>
    <row r="175" s="118" customFormat="1" x14ac:dyDescent="0.2"/>
    <row r="176" s="118" customFormat="1" x14ac:dyDescent="0.2"/>
    <row r="177" s="118" customFormat="1" x14ac:dyDescent="0.2"/>
    <row r="178" s="118" customFormat="1" x14ac:dyDescent="0.2"/>
    <row r="179" s="118" customFormat="1" x14ac:dyDescent="0.2"/>
    <row r="180" s="118" customFormat="1" x14ac:dyDescent="0.2"/>
    <row r="181" s="118" customFormat="1" x14ac:dyDescent="0.2"/>
    <row r="182" s="118" customFormat="1" x14ac:dyDescent="0.2"/>
    <row r="183" s="118" customFormat="1" x14ac:dyDescent="0.2"/>
    <row r="184" s="118" customFormat="1" x14ac:dyDescent="0.2"/>
    <row r="185" s="118" customFormat="1" x14ac:dyDescent="0.2"/>
    <row r="186" s="118" customFormat="1" x14ac:dyDescent="0.2"/>
    <row r="187" s="118" customFormat="1" x14ac:dyDescent="0.2"/>
    <row r="188" s="118" customFormat="1" x14ac:dyDescent="0.2"/>
    <row r="189" s="118" customFormat="1" x14ac:dyDescent="0.2"/>
    <row r="190" s="118" customFormat="1" x14ac:dyDescent="0.2"/>
    <row r="191" s="118" customFormat="1" x14ac:dyDescent="0.2"/>
    <row r="192" s="118" customFormat="1" x14ac:dyDescent="0.2"/>
    <row r="193" s="118" customFormat="1" x14ac:dyDescent="0.2"/>
    <row r="194" s="118" customFormat="1" x14ac:dyDescent="0.2"/>
    <row r="195" s="118" customFormat="1" x14ac:dyDescent="0.2"/>
    <row r="196" s="118" customFormat="1" x14ac:dyDescent="0.2"/>
    <row r="197" s="118" customFormat="1" x14ac:dyDescent="0.2"/>
    <row r="198" s="118" customFormat="1" x14ac:dyDescent="0.2"/>
    <row r="199" s="118" customFormat="1" x14ac:dyDescent="0.2"/>
    <row r="200" s="118" customFormat="1" x14ac:dyDescent="0.2"/>
    <row r="201" s="118" customFormat="1" x14ac:dyDescent="0.2"/>
    <row r="202" s="118" customFormat="1" x14ac:dyDescent="0.2"/>
    <row r="203" s="118" customFormat="1" x14ac:dyDescent="0.2"/>
    <row r="204" s="118" customFormat="1" x14ac:dyDescent="0.2"/>
    <row r="205" s="118" customFormat="1" x14ac:dyDescent="0.2"/>
    <row r="206" s="118" customFormat="1" x14ac:dyDescent="0.2"/>
    <row r="207" s="118" customFormat="1" x14ac:dyDescent="0.2"/>
    <row r="208" s="118" customFormat="1" x14ac:dyDescent="0.2"/>
    <row r="209" s="118" customFormat="1" x14ac:dyDescent="0.2"/>
    <row r="210" s="118" customFormat="1" x14ac:dyDescent="0.2"/>
    <row r="211" s="118" customFormat="1" x14ac:dyDescent="0.2"/>
    <row r="212" s="118" customFormat="1" x14ac:dyDescent="0.2"/>
    <row r="213" s="118" customFormat="1" x14ac:dyDescent="0.2"/>
    <row r="214" s="118" customFormat="1" x14ac:dyDescent="0.2"/>
    <row r="215" s="118" customFormat="1" x14ac:dyDescent="0.2"/>
    <row r="216" s="118" customFormat="1" x14ac:dyDescent="0.2"/>
    <row r="217" s="118" customFormat="1" x14ac:dyDescent="0.2"/>
    <row r="218" s="118" customFormat="1" x14ac:dyDescent="0.2"/>
    <row r="219" s="118" customFormat="1" x14ac:dyDescent="0.2"/>
    <row r="220" s="118" customFormat="1" x14ac:dyDescent="0.2"/>
    <row r="221" s="118" customFormat="1" x14ac:dyDescent="0.2"/>
    <row r="222" s="118" customFormat="1" x14ac:dyDescent="0.2"/>
    <row r="223" s="118" customFormat="1" x14ac:dyDescent="0.2"/>
    <row r="224" s="118" customFormat="1" x14ac:dyDescent="0.2"/>
    <row r="225" s="118" customFormat="1" x14ac:dyDescent="0.2"/>
    <row r="226" s="118" customFormat="1" x14ac:dyDescent="0.2"/>
    <row r="227" s="118" customFormat="1" x14ac:dyDescent="0.2"/>
    <row r="228" s="118" customFormat="1" x14ac:dyDescent="0.2"/>
    <row r="229" s="118" customFormat="1" x14ac:dyDescent="0.2"/>
    <row r="230" s="118" customFormat="1" x14ac:dyDescent="0.2"/>
    <row r="231" s="118" customFormat="1" x14ac:dyDescent="0.2"/>
    <row r="232" s="118" customFormat="1" x14ac:dyDescent="0.2"/>
    <row r="233" s="118" customFormat="1" x14ac:dyDescent="0.2"/>
    <row r="234" s="118" customFormat="1" x14ac:dyDescent="0.2"/>
    <row r="235" s="118" customFormat="1" x14ac:dyDescent="0.2"/>
    <row r="236" s="118" customFormat="1" x14ac:dyDescent="0.2"/>
    <row r="237" s="118" customFormat="1" x14ac:dyDescent="0.2"/>
    <row r="238" s="118" customFormat="1" x14ac:dyDescent="0.2"/>
    <row r="239" s="118" customFormat="1" x14ac:dyDescent="0.2"/>
    <row r="240" s="118" customFormat="1" x14ac:dyDescent="0.2"/>
    <row r="241" s="118" customFormat="1" x14ac:dyDescent="0.2"/>
    <row r="242" s="118" customFormat="1" x14ac:dyDescent="0.2"/>
    <row r="243" s="118" customFormat="1" x14ac:dyDescent="0.2"/>
    <row r="244" s="118" customFormat="1" x14ac:dyDescent="0.2"/>
    <row r="245" s="118" customFormat="1" x14ac:dyDescent="0.2"/>
    <row r="246" s="118" customFormat="1" x14ac:dyDescent="0.2"/>
    <row r="247" s="118" customFormat="1" x14ac:dyDescent="0.2"/>
    <row r="248" s="118" customFormat="1" x14ac:dyDescent="0.2"/>
    <row r="249" s="118" customFormat="1" x14ac:dyDescent="0.2"/>
    <row r="250" s="118" customFormat="1" x14ac:dyDescent="0.2"/>
    <row r="251" s="118" customFormat="1" x14ac:dyDescent="0.2"/>
    <row r="252" s="118" customFormat="1" x14ac:dyDescent="0.2"/>
    <row r="253" s="118" customFormat="1" x14ac:dyDescent="0.2"/>
    <row r="254" s="118" customFormat="1" x14ac:dyDescent="0.2"/>
    <row r="255" s="118" customFormat="1" x14ac:dyDescent="0.2"/>
    <row r="256" s="118" customFormat="1" x14ac:dyDescent="0.2"/>
    <row r="257" s="118" customFormat="1" x14ac:dyDescent="0.2"/>
    <row r="258" s="118" customFormat="1" x14ac:dyDescent="0.2"/>
    <row r="259" s="118" customFormat="1" x14ac:dyDescent="0.2"/>
    <row r="260" s="118" customFormat="1" x14ac:dyDescent="0.2"/>
    <row r="261" s="118" customFormat="1" x14ac:dyDescent="0.2"/>
    <row r="262" s="118" customFormat="1" x14ac:dyDescent="0.2"/>
    <row r="263" s="118" customFormat="1" x14ac:dyDescent="0.2"/>
    <row r="264" s="118" customFormat="1" x14ac:dyDescent="0.2"/>
    <row r="265" s="118" customFormat="1" x14ac:dyDescent="0.2"/>
    <row r="266" s="118" customFormat="1" x14ac:dyDescent="0.2"/>
    <row r="267" s="118" customFormat="1" x14ac:dyDescent="0.2"/>
    <row r="268" s="118" customFormat="1" x14ac:dyDescent="0.2"/>
    <row r="269" s="118" customFormat="1" x14ac:dyDescent="0.2"/>
    <row r="270" s="118" customFormat="1" x14ac:dyDescent="0.2"/>
    <row r="271" s="118" customFormat="1" x14ac:dyDescent="0.2"/>
    <row r="272" s="118" customFormat="1" x14ac:dyDescent="0.2"/>
    <row r="273" s="118" customFormat="1" x14ac:dyDescent="0.2"/>
    <row r="274" s="118" customFormat="1" x14ac:dyDescent="0.2"/>
    <row r="275" s="118" customFormat="1" x14ac:dyDescent="0.2"/>
    <row r="276" s="118" customFormat="1" x14ac:dyDescent="0.2"/>
    <row r="277" s="118" customFormat="1" x14ac:dyDescent="0.2"/>
    <row r="278" s="118" customFormat="1" x14ac:dyDescent="0.2"/>
    <row r="279" s="118" customFormat="1" x14ac:dyDescent="0.2"/>
    <row r="280" s="118" customFormat="1" x14ac:dyDescent="0.2"/>
    <row r="281" s="118" customFormat="1" x14ac:dyDescent="0.2"/>
    <row r="282" s="118" customFormat="1" x14ac:dyDescent="0.2"/>
    <row r="283" s="118" customFormat="1" x14ac:dyDescent="0.2"/>
    <row r="284" s="118" customFormat="1" x14ac:dyDescent="0.2"/>
    <row r="285" s="118" customFormat="1" x14ac:dyDescent="0.2"/>
    <row r="286" s="118" customFormat="1" x14ac:dyDescent="0.2"/>
    <row r="287" s="118" customFormat="1" x14ac:dyDescent="0.2"/>
    <row r="288" s="118" customFormat="1" x14ac:dyDescent="0.2"/>
    <row r="289" s="118" customFormat="1" x14ac:dyDescent="0.2"/>
    <row r="290" s="118" customFormat="1" x14ac:dyDescent="0.2"/>
    <row r="291" s="118" customFormat="1" x14ac:dyDescent="0.2"/>
    <row r="292" s="118" customFormat="1" x14ac:dyDescent="0.2"/>
    <row r="293" s="118" customFormat="1" x14ac:dyDescent="0.2"/>
    <row r="294" s="118" customFormat="1" x14ac:dyDescent="0.2"/>
    <row r="295" s="118" customFormat="1" x14ac:dyDescent="0.2"/>
    <row r="296" s="118" customFormat="1" x14ac:dyDescent="0.2"/>
    <row r="297" s="118" customFormat="1" x14ac:dyDescent="0.2"/>
    <row r="298" s="118" customFormat="1" x14ac:dyDescent="0.2"/>
    <row r="299" s="118" customFormat="1" x14ac:dyDescent="0.2"/>
    <row r="300" s="118" customFormat="1" x14ac:dyDescent="0.2"/>
    <row r="301" s="118" customFormat="1" x14ac:dyDescent="0.2"/>
    <row r="302" s="118" customFormat="1" x14ac:dyDescent="0.2"/>
    <row r="303" s="118" customFormat="1" x14ac:dyDescent="0.2"/>
    <row r="304" s="118" customFormat="1" x14ac:dyDescent="0.2"/>
    <row r="305" s="118" customFormat="1" x14ac:dyDescent="0.2"/>
    <row r="306" s="118" customFormat="1" x14ac:dyDescent="0.2"/>
    <row r="307" s="118" customFormat="1" x14ac:dyDescent="0.2"/>
    <row r="308" s="118" customFormat="1" x14ac:dyDescent="0.2"/>
    <row r="309" s="118" customFormat="1" x14ac:dyDescent="0.2"/>
    <row r="310" s="118" customFormat="1" x14ac:dyDescent="0.2"/>
    <row r="311" s="118" customFormat="1" x14ac:dyDescent="0.2"/>
    <row r="312" s="118" customFormat="1" x14ac:dyDescent="0.2"/>
    <row r="313" s="118" customFormat="1" x14ac:dyDescent="0.2"/>
    <row r="314" s="118" customFormat="1" x14ac:dyDescent="0.2"/>
    <row r="315" s="118" customFormat="1" x14ac:dyDescent="0.2"/>
    <row r="316" s="118" customFormat="1" x14ac:dyDescent="0.2"/>
    <row r="317" s="118" customFormat="1" x14ac:dyDescent="0.2"/>
    <row r="318" s="118" customFormat="1" x14ac:dyDescent="0.2"/>
    <row r="319" s="118" customFormat="1" x14ac:dyDescent="0.2"/>
    <row r="320" s="118" customFormat="1" x14ac:dyDescent="0.2"/>
    <row r="321" s="118" customFormat="1" x14ac:dyDescent="0.2"/>
    <row r="322" s="118" customFormat="1" x14ac:dyDescent="0.2"/>
    <row r="323" s="118" customFormat="1" x14ac:dyDescent="0.2"/>
    <row r="324" s="118" customFormat="1" x14ac:dyDescent="0.2"/>
    <row r="325" s="118" customFormat="1" x14ac:dyDescent="0.2"/>
    <row r="326" s="118" customFormat="1" x14ac:dyDescent="0.2"/>
    <row r="327" s="118" customFormat="1" x14ac:dyDescent="0.2"/>
    <row r="328" s="118" customFormat="1" x14ac:dyDescent="0.2"/>
    <row r="329" s="118" customFormat="1" x14ac:dyDescent="0.2"/>
    <row r="330" s="118" customFormat="1" x14ac:dyDescent="0.2"/>
    <row r="331" s="118" customFormat="1" x14ac:dyDescent="0.2"/>
    <row r="332" s="118" customFormat="1" x14ac:dyDescent="0.2"/>
    <row r="333" s="118" customFormat="1" x14ac:dyDescent="0.2"/>
    <row r="334" s="118" customFormat="1" x14ac:dyDescent="0.2"/>
    <row r="335" s="118" customFormat="1" x14ac:dyDescent="0.2"/>
    <row r="336" s="118" customFormat="1" x14ac:dyDescent="0.2"/>
    <row r="337" s="118" customFormat="1" x14ac:dyDescent="0.2"/>
    <row r="338" s="118" customFormat="1" x14ac:dyDescent="0.2"/>
    <row r="339" s="118" customFormat="1" x14ac:dyDescent="0.2"/>
    <row r="340" s="118" customFormat="1" x14ac:dyDescent="0.2"/>
    <row r="341" s="118" customFormat="1" x14ac:dyDescent="0.2"/>
    <row r="342" s="118" customFormat="1" x14ac:dyDescent="0.2"/>
    <row r="343" s="118" customFormat="1" x14ac:dyDescent="0.2"/>
    <row r="344" s="118" customFormat="1" x14ac:dyDescent="0.2"/>
    <row r="345" s="118" customFormat="1" x14ac:dyDescent="0.2"/>
    <row r="346" s="118" customFormat="1" x14ac:dyDescent="0.2"/>
    <row r="347" s="118" customFormat="1" x14ac:dyDescent="0.2"/>
    <row r="348" s="118" customFormat="1" x14ac:dyDescent="0.2"/>
    <row r="349" s="118" customFormat="1" x14ac:dyDescent="0.2"/>
    <row r="350" s="118" customFormat="1" x14ac:dyDescent="0.2"/>
    <row r="351" s="118" customFormat="1" x14ac:dyDescent="0.2"/>
    <row r="352" s="118" customFormat="1" x14ac:dyDescent="0.2"/>
    <row r="353" s="118" customFormat="1" x14ac:dyDescent="0.2"/>
    <row r="354" s="118" customFormat="1" x14ac:dyDescent="0.2"/>
    <row r="355" s="118" customFormat="1" x14ac:dyDescent="0.2"/>
    <row r="356" s="118" customFormat="1" x14ac:dyDescent="0.2"/>
    <row r="357" s="118" customFormat="1" x14ac:dyDescent="0.2"/>
    <row r="358" s="118" customFormat="1" x14ac:dyDescent="0.2"/>
    <row r="359" s="118" customFormat="1" x14ac:dyDescent="0.2"/>
    <row r="360" s="118" customFormat="1" x14ac:dyDescent="0.2"/>
    <row r="361" s="118" customFormat="1" x14ac:dyDescent="0.2"/>
    <row r="362" s="118" customFormat="1" x14ac:dyDescent="0.2"/>
    <row r="363" s="118" customFormat="1" x14ac:dyDescent="0.2"/>
    <row r="364" s="118" customFormat="1" x14ac:dyDescent="0.2"/>
    <row r="365" s="118" customFormat="1" x14ac:dyDescent="0.2"/>
    <row r="366" s="118" customFormat="1" x14ac:dyDescent="0.2"/>
    <row r="367" s="118" customFormat="1" x14ac:dyDescent="0.2"/>
    <row r="368" s="118" customFormat="1" x14ac:dyDescent="0.2"/>
    <row r="369" s="118" customFormat="1" x14ac:dyDescent="0.2"/>
    <row r="370" s="118" customFormat="1" x14ac:dyDescent="0.2"/>
    <row r="371" s="118" customFormat="1" x14ac:dyDescent="0.2"/>
    <row r="372" s="118" customFormat="1" x14ac:dyDescent="0.2"/>
    <row r="373" s="118" customFormat="1" x14ac:dyDescent="0.2"/>
    <row r="374" s="118" customFormat="1" x14ac:dyDescent="0.2"/>
    <row r="375" s="118" customFormat="1" x14ac:dyDescent="0.2"/>
    <row r="376" s="118" customFormat="1" x14ac:dyDescent="0.2"/>
    <row r="377" s="118" customFormat="1" x14ac:dyDescent="0.2"/>
    <row r="378" s="118" customFormat="1" x14ac:dyDescent="0.2"/>
    <row r="379" s="118" customFormat="1" x14ac:dyDescent="0.2"/>
    <row r="380" s="118" customFormat="1" x14ac:dyDescent="0.2"/>
    <row r="381" s="118" customFormat="1" x14ac:dyDescent="0.2"/>
    <row r="382" s="118" customFormat="1" x14ac:dyDescent="0.2"/>
    <row r="383" s="118" customFormat="1" x14ac:dyDescent="0.2"/>
    <row r="384" s="118" customFormat="1" x14ac:dyDescent="0.2"/>
    <row r="385" s="118" customFormat="1" x14ac:dyDescent="0.2"/>
    <row r="386" s="118" customFormat="1" x14ac:dyDescent="0.2"/>
    <row r="387" s="118" customFormat="1" x14ac:dyDescent="0.2"/>
    <row r="388" s="118" customFormat="1" x14ac:dyDescent="0.2"/>
    <row r="389" s="118" customFormat="1" x14ac:dyDescent="0.2"/>
    <row r="390" s="118" customFormat="1" x14ac:dyDescent="0.2"/>
    <row r="391" s="118" customFormat="1" x14ac:dyDescent="0.2"/>
    <row r="392" s="118" customFormat="1" x14ac:dyDescent="0.2"/>
    <row r="393" s="118" customFormat="1" x14ac:dyDescent="0.2"/>
    <row r="394" s="118" customFormat="1" x14ac:dyDescent="0.2"/>
    <row r="395" s="118" customFormat="1" x14ac:dyDescent="0.2"/>
    <row r="396" s="118" customFormat="1" x14ac:dyDescent="0.2"/>
    <row r="397" s="118" customFormat="1" x14ac:dyDescent="0.2"/>
    <row r="398" s="118" customFormat="1" x14ac:dyDescent="0.2"/>
    <row r="399" s="118" customFormat="1" x14ac:dyDescent="0.2"/>
    <row r="400" s="118" customFormat="1" x14ac:dyDescent="0.2"/>
    <row r="401" s="118" customFormat="1" x14ac:dyDescent="0.2"/>
    <row r="402" s="118" customFormat="1" x14ac:dyDescent="0.2"/>
    <row r="403" s="118" customFormat="1" x14ac:dyDescent="0.2"/>
    <row r="404" s="118" customFormat="1" x14ac:dyDescent="0.2"/>
    <row r="405" s="118" customFormat="1" x14ac:dyDescent="0.2"/>
    <row r="406" s="118" customFormat="1" x14ac:dyDescent="0.2"/>
    <row r="407" s="118" customFormat="1" x14ac:dyDescent="0.2"/>
    <row r="408" s="118" customFormat="1" x14ac:dyDescent="0.2"/>
    <row r="409" s="118" customFormat="1" x14ac:dyDescent="0.2"/>
    <row r="410" s="118" customFormat="1" x14ac:dyDescent="0.2"/>
    <row r="411" s="118" customFormat="1" x14ac:dyDescent="0.2"/>
    <row r="412" s="118" customFormat="1" x14ac:dyDescent="0.2"/>
    <row r="413" s="118" customFormat="1" x14ac:dyDescent="0.2"/>
    <row r="414" s="118" customFormat="1" x14ac:dyDescent="0.2"/>
    <row r="415" s="118" customFormat="1" x14ac:dyDescent="0.2"/>
    <row r="416" s="118" customFormat="1" x14ac:dyDescent="0.2"/>
    <row r="417" s="118" customFormat="1" x14ac:dyDescent="0.2"/>
    <row r="418" s="118" customFormat="1" x14ac:dyDescent="0.2"/>
    <row r="419" s="118" customFormat="1" x14ac:dyDescent="0.2"/>
    <row r="420" s="118" customFormat="1" x14ac:dyDescent="0.2"/>
    <row r="421" s="118" customFormat="1" x14ac:dyDescent="0.2"/>
    <row r="422" s="118" customFormat="1" x14ac:dyDescent="0.2"/>
    <row r="423" s="118" customFormat="1" x14ac:dyDescent="0.2"/>
    <row r="424" s="118" customFormat="1" x14ac:dyDescent="0.2"/>
    <row r="425" s="118" customFormat="1" x14ac:dyDescent="0.2"/>
    <row r="426" s="118" customFormat="1" x14ac:dyDescent="0.2"/>
    <row r="427" s="118" customFormat="1" x14ac:dyDescent="0.2"/>
    <row r="428" s="118" customFormat="1" x14ac:dyDescent="0.2"/>
    <row r="429" s="118" customFormat="1" x14ac:dyDescent="0.2"/>
    <row r="430" s="118" customFormat="1" x14ac:dyDescent="0.2"/>
    <row r="431" s="118" customFormat="1" x14ac:dyDescent="0.2"/>
    <row r="432" s="118" customFormat="1" x14ac:dyDescent="0.2"/>
    <row r="433" s="118" customFormat="1" x14ac:dyDescent="0.2"/>
    <row r="434" s="118" customFormat="1" x14ac:dyDescent="0.2"/>
    <row r="435" s="118" customFormat="1" x14ac:dyDescent="0.2"/>
    <row r="436" s="118" customFormat="1" x14ac:dyDescent="0.2"/>
    <row r="437" s="118" customFormat="1" x14ac:dyDescent="0.2"/>
    <row r="438" s="118" customFormat="1" x14ac:dyDescent="0.2"/>
    <row r="439" s="118" customFormat="1" x14ac:dyDescent="0.2"/>
    <row r="440" s="118" customFormat="1" x14ac:dyDescent="0.2"/>
    <row r="441" s="118" customFormat="1" x14ac:dyDescent="0.2"/>
    <row r="442" s="118" customFormat="1" x14ac:dyDescent="0.2"/>
    <row r="443" s="118" customFormat="1" x14ac:dyDescent="0.2"/>
    <row r="444" s="118" customFormat="1" x14ac:dyDescent="0.2"/>
    <row r="445" s="118" customFormat="1" x14ac:dyDescent="0.2"/>
    <row r="446" s="118" customFormat="1" x14ac:dyDescent="0.2"/>
    <row r="447" s="118" customFormat="1" x14ac:dyDescent="0.2"/>
    <row r="448" s="118" customFormat="1" x14ac:dyDescent="0.2"/>
    <row r="449" s="118" customFormat="1" x14ac:dyDescent="0.2"/>
    <row r="450" s="118" customFormat="1" x14ac:dyDescent="0.2"/>
    <row r="451" s="118" customFormat="1" x14ac:dyDescent="0.2"/>
    <row r="452" s="118" customFormat="1" x14ac:dyDescent="0.2"/>
    <row r="453" s="118" customFormat="1" x14ac:dyDescent="0.2"/>
    <row r="454" s="118" customFormat="1" x14ac:dyDescent="0.2"/>
    <row r="455" s="118" customFormat="1" x14ac:dyDescent="0.2"/>
    <row r="456" s="118" customFormat="1" x14ac:dyDescent="0.2"/>
    <row r="457" s="118" customFormat="1" x14ac:dyDescent="0.2"/>
    <row r="458" s="118" customFormat="1" x14ac:dyDescent="0.2"/>
    <row r="459" s="118" customFormat="1" x14ac:dyDescent="0.2"/>
    <row r="460" s="118" customFormat="1" x14ac:dyDescent="0.2"/>
    <row r="461" s="118" customFormat="1" x14ac:dyDescent="0.2"/>
    <row r="462" s="118" customFormat="1" x14ac:dyDescent="0.2"/>
    <row r="463" s="118" customFormat="1" x14ac:dyDescent="0.2"/>
    <row r="464" s="118" customFormat="1" x14ac:dyDescent="0.2"/>
    <row r="465" s="118" customFormat="1" x14ac:dyDescent="0.2"/>
    <row r="466" s="118" customFormat="1" x14ac:dyDescent="0.2"/>
    <row r="467" s="118" customFormat="1" x14ac:dyDescent="0.2"/>
    <row r="468" s="118" customFormat="1" x14ac:dyDescent="0.2"/>
    <row r="469" s="118" customFormat="1" x14ac:dyDescent="0.2"/>
    <row r="470" s="118" customFormat="1" x14ac:dyDescent="0.2"/>
    <row r="471" s="118" customFormat="1" x14ac:dyDescent="0.2"/>
    <row r="472" s="118" customFormat="1" x14ac:dyDescent="0.2"/>
    <row r="473" s="118" customFormat="1" x14ac:dyDescent="0.2"/>
    <row r="474" s="118" customFormat="1" x14ac:dyDescent="0.2"/>
    <row r="475" s="118" customFormat="1" x14ac:dyDescent="0.2"/>
    <row r="476" s="118" customFormat="1" x14ac:dyDescent="0.2"/>
    <row r="477" s="118" customFormat="1" x14ac:dyDescent="0.2"/>
    <row r="478" s="118" customFormat="1" x14ac:dyDescent="0.2"/>
    <row r="479" s="118" customFormat="1" x14ac:dyDescent="0.2"/>
    <row r="480" s="118" customFormat="1" x14ac:dyDescent="0.2"/>
    <row r="481" s="118" customFormat="1" x14ac:dyDescent="0.2"/>
    <row r="482" s="118" customFormat="1" x14ac:dyDescent="0.2"/>
    <row r="483" s="118" customFormat="1" x14ac:dyDescent="0.2"/>
    <row r="484" s="118" customFormat="1" x14ac:dyDescent="0.2"/>
    <row r="485" s="118" customFormat="1" x14ac:dyDescent="0.2"/>
    <row r="486" s="118" customFormat="1" x14ac:dyDescent="0.2"/>
    <row r="487" s="118" customFormat="1" x14ac:dyDescent="0.2"/>
    <row r="488" s="118" customFormat="1" x14ac:dyDescent="0.2"/>
    <row r="489" s="118" customFormat="1" x14ac:dyDescent="0.2"/>
  </sheetData>
  <mergeCells count="21">
    <mergeCell ref="B2:C3"/>
    <mergeCell ref="B8:C8"/>
    <mergeCell ref="C21:D21"/>
    <mergeCell ref="D22:D44"/>
    <mergeCell ref="F22:F44"/>
    <mergeCell ref="J35:P38"/>
    <mergeCell ref="T4:AA21"/>
    <mergeCell ref="N24:O24"/>
    <mergeCell ref="J31:M32"/>
    <mergeCell ref="N22:O22"/>
    <mergeCell ref="N26:O26"/>
    <mergeCell ref="N28:O28"/>
    <mergeCell ref="N27:O27"/>
    <mergeCell ref="N25:O25"/>
    <mergeCell ref="J29:M30"/>
    <mergeCell ref="N29:P30"/>
    <mergeCell ref="N31:P32"/>
    <mergeCell ref="N33:P34"/>
    <mergeCell ref="N23:O23"/>
    <mergeCell ref="N21:O21"/>
    <mergeCell ref="J33:M34"/>
  </mergeCells>
  <conditionalFormatting sqref="E3:F3">
    <cfRule type="expression" dxfId="29" priority="1">
      <formula>AND(E3&gt;=10, E3&lt;=50)</formula>
    </cfRule>
    <cfRule type="expression" dxfId="28" priority="2">
      <formula>AND(E3&gt;=0, E3&lt;=10)</formula>
    </cfRule>
  </conditionalFormatting>
  <conditionalFormatting sqref="G3">
    <cfRule type="expression" dxfId="27" priority="26">
      <formula>AND(G3&gt;=0, G3&lt;=3)</formula>
    </cfRule>
  </conditionalFormatting>
  <conditionalFormatting sqref="J3">
    <cfRule type="expression" dxfId="26" priority="23">
      <formula>AND(J3&gt;=5.1, J3&lt;=50)</formula>
    </cfRule>
    <cfRule type="expression" dxfId="25" priority="24">
      <formula>AND(J3&gt;=0, J3&lt;=1)</formula>
    </cfRule>
    <cfRule type="expression" dxfId="24" priority="25">
      <formula>AND(J3&gt;=1.1, J3&lt;=5)</formula>
    </cfRule>
  </conditionalFormatting>
  <conditionalFormatting sqref="K3">
    <cfRule type="expression" dxfId="23" priority="20">
      <formula>AND(K3&gt;=1000, K3&lt;=10000)</formula>
    </cfRule>
    <cfRule type="expression" dxfId="22" priority="21">
      <formula>AND(K3&gt;=500, K3&lt;=999)</formula>
    </cfRule>
    <cfRule type="expression" dxfId="21" priority="22">
      <formula>AND(K3&gt;=0, K3&lt;=499)</formula>
    </cfRule>
  </conditionalFormatting>
  <conditionalFormatting sqref="L3">
    <cfRule type="expression" dxfId="20" priority="17">
      <formula>AND(L3&gt;=0.06, L3&lt;=2)</formula>
    </cfRule>
    <cfRule type="expression" dxfId="19" priority="18">
      <formula>AND(L3&gt;=0.021, L3&lt;=0.05)</formula>
    </cfRule>
    <cfRule type="expression" dxfId="18" priority="19">
      <formula>AND(L3&gt;=0, L3&lt;=0.02)</formula>
    </cfRule>
  </conditionalFormatting>
  <conditionalFormatting sqref="M3">
    <cfRule type="expression" dxfId="17" priority="14">
      <formula>AND(M3&gt;=5.1, M3&lt;=20)</formula>
    </cfRule>
    <cfRule type="expression" dxfId="16" priority="15">
      <formula>AND(M3&gt;=1.1, M3&lt;=5)</formula>
    </cfRule>
    <cfRule type="expression" dxfId="15" priority="16">
      <formula>AND(M3&gt;=0, M3&lt;=1)</formula>
    </cfRule>
  </conditionalFormatting>
  <conditionalFormatting sqref="N3">
    <cfRule type="expression" dxfId="14" priority="11">
      <formula>AND(N3&gt;=6.1, N3&lt;=20)</formula>
    </cfRule>
    <cfRule type="expression" dxfId="13" priority="12">
      <formula>AND(N3&gt;=5.1, N3&lt;=6)</formula>
    </cfRule>
    <cfRule type="expression" dxfId="12" priority="13">
      <formula>AND(N3&gt;=0, N3&lt;=5)</formula>
    </cfRule>
  </conditionalFormatting>
  <conditionalFormatting sqref="N29">
    <cfRule type="expression" dxfId="11" priority="3">
      <formula>AND(N29&gt;=20%, N29&lt;=100%)</formula>
    </cfRule>
    <cfRule type="expression" dxfId="10" priority="4">
      <formula>AND(N29&gt;=0%, N29&lt;=19%)</formula>
    </cfRule>
  </conditionalFormatting>
  <conditionalFormatting sqref="O3">
    <cfRule type="expression" dxfId="9" priority="27">
      <formula>AND(O3&gt;=9.1, O3&lt;=12)</formula>
    </cfRule>
    <cfRule type="expression" dxfId="8" priority="28">
      <formula>AND(O3&gt;=1, O3&lt;=4.9)</formula>
    </cfRule>
    <cfRule type="expression" dxfId="7" priority="29">
      <formula>AND(O3&gt;=5, O3&lt;=8.5)</formula>
    </cfRule>
    <cfRule type="expression" dxfId="6" priority="31">
      <formula>AND(O3&gt;=8.6, O3&lt;=9)</formula>
    </cfRule>
  </conditionalFormatting>
  <conditionalFormatting sqref="P3">
    <cfRule type="expression" dxfId="5" priority="8">
      <formula>AND(P3&gt;=0.11, P3&lt;=5)</formula>
    </cfRule>
    <cfRule type="expression" dxfId="4" priority="9">
      <formula>AND(P3&gt;=0.021, P3&lt;=0.1)</formula>
    </cfRule>
    <cfRule type="expression" dxfId="3" priority="10">
      <formula>AND(P3&gt;=0, P3&lt;=0.02)</formula>
    </cfRule>
  </conditionalFormatting>
  <conditionalFormatting sqref="Q3">
    <cfRule type="expression" dxfId="2" priority="5">
      <formula>AND(Q3&gt;=300, Q3&lt;=10000)</formula>
    </cfRule>
    <cfRule type="expression" dxfId="1" priority="6">
      <formula>AND(Q3&gt;=101, Q3&lt;=299)</formula>
    </cfRule>
    <cfRule type="expression" dxfId="0" priority="7">
      <formula>AND(Q3&gt;=0, Q3&lt;=100)</formula>
    </cfRule>
  </conditionalFormatting>
  <pageMargins left="0.7" right="0.7" top="0.75" bottom="0.75" header="0.3" footer="0.3"/>
  <drawing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94451A8B-1554-456D-927C-72F49A11A1DC}">
          <x14:formula1>
            <xm:f>'Drop Down'!$B$3:$B$8</xm:f>
          </x14:formula1>
          <xm:sqref>C6</xm:sqref>
        </x14:dataValidation>
        <x14:dataValidation type="list" allowBlank="1" showInputMessage="1" showErrorMessage="1" xr:uid="{128336D4-6FB1-4068-9BDC-4F213B7628B8}">
          <x14:formula1>
            <xm:f>'Drop Down'!$C$3:$C$4</xm:f>
          </x14:formula1>
          <xm:sqref>H3:I3</xm:sqref>
        </x14:dataValidation>
        <x14:dataValidation type="list" allowBlank="1" showInputMessage="1" showErrorMessage="1" xr:uid="{90593461-5613-418A-9A17-C7E96D3314CE}">
          <x14:formula1>
            <xm:f>'Drop Down'!$A$3:$A$9</xm:f>
          </x14:formula1>
          <xm:sqref>R3</xm:sqref>
        </x14:dataValidation>
        <x14:dataValidation type="list" allowBlank="1" showInputMessage="1" showErrorMessage="1" xr:uid="{69018F80-36B7-4703-97C4-08D79781574B}">
          <x14:formula1>
            <xm:f>'Drop Down'!$D$3:$D$13</xm:f>
          </x14:formula1>
          <xm:sqref>D3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5B5EC-3890-4EA4-BB08-F1BFAF9E2C58}">
  <sheetPr>
    <tabColor rgb="FFFF0000"/>
  </sheetPr>
  <dimension ref="A1:A15"/>
  <sheetViews>
    <sheetView showGridLines="0" workbookViewId="0">
      <selection activeCell="E5" sqref="E5"/>
    </sheetView>
  </sheetViews>
  <sheetFormatPr defaultRowHeight="15" x14ac:dyDescent="0.25"/>
  <cols>
    <col min="1" max="1" width="87.140625" customWidth="1"/>
  </cols>
  <sheetData>
    <row r="1" spans="1:1" x14ac:dyDescent="0.25">
      <c r="A1" s="139" t="s">
        <v>271</v>
      </c>
    </row>
    <row r="2" spans="1:1" x14ac:dyDescent="0.25">
      <c r="A2" s="139" t="s">
        <v>243</v>
      </c>
    </row>
    <row r="3" spans="1:1" x14ac:dyDescent="0.25">
      <c r="A3" s="139" t="s">
        <v>251</v>
      </c>
    </row>
    <row r="4" spans="1:1" x14ac:dyDescent="0.25">
      <c r="A4" s="140" t="s">
        <v>242</v>
      </c>
    </row>
    <row r="5" spans="1:1" x14ac:dyDescent="0.25">
      <c r="A5" s="140" t="s">
        <v>241</v>
      </c>
    </row>
    <row r="6" spans="1:1" x14ac:dyDescent="0.25">
      <c r="A6" s="140" t="s">
        <v>240</v>
      </c>
    </row>
    <row r="7" spans="1:1" x14ac:dyDescent="0.25">
      <c r="A7" s="140" t="s">
        <v>239</v>
      </c>
    </row>
    <row r="8" spans="1:1" x14ac:dyDescent="0.25">
      <c r="A8" s="141" t="s">
        <v>238</v>
      </c>
    </row>
    <row r="9" spans="1:1" x14ac:dyDescent="0.25">
      <c r="A9" s="139" t="s">
        <v>237</v>
      </c>
    </row>
    <row r="10" spans="1:1" x14ac:dyDescent="0.25">
      <c r="A10" s="140" t="s">
        <v>247</v>
      </c>
    </row>
    <row r="11" spans="1:1" x14ac:dyDescent="0.25">
      <c r="A11" s="140" t="s">
        <v>245</v>
      </c>
    </row>
    <row r="12" spans="1:1" x14ac:dyDescent="0.25">
      <c r="A12" s="141" t="s">
        <v>246</v>
      </c>
    </row>
    <row r="13" spans="1:1" x14ac:dyDescent="0.25">
      <c r="A13" s="140" t="s">
        <v>244</v>
      </c>
    </row>
    <row r="14" spans="1:1" x14ac:dyDescent="0.25">
      <c r="A14" s="142" t="s">
        <v>248</v>
      </c>
    </row>
    <row r="15" spans="1:1" x14ac:dyDescent="0.25">
      <c r="A15" s="142" t="s">
        <v>249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619E0E-7CCC-4280-A979-5F56C7C3CF8F}">
  <sheetPr>
    <tabColor rgb="FF0070C0"/>
  </sheetPr>
  <dimension ref="B1:S287"/>
  <sheetViews>
    <sheetView showGridLines="0" topLeftCell="A21" zoomScale="70" zoomScaleNormal="70" workbookViewId="0">
      <selection activeCell="H26" sqref="H26"/>
    </sheetView>
  </sheetViews>
  <sheetFormatPr defaultRowHeight="15" x14ac:dyDescent="0.25"/>
  <cols>
    <col min="1" max="1" width="1.5703125" style="1" customWidth="1"/>
    <col min="2" max="2" width="37.140625" style="1" customWidth="1"/>
    <col min="3" max="3" width="20.7109375" style="1" customWidth="1"/>
    <col min="4" max="4" width="32.28515625" style="1" customWidth="1"/>
    <col min="5" max="5" width="10.42578125" style="1" customWidth="1"/>
    <col min="6" max="8" width="18.28515625" style="194" customWidth="1"/>
    <col min="9" max="9" width="4.28515625" style="1" customWidth="1"/>
    <col min="10" max="10" width="14.140625" style="1" customWidth="1"/>
    <col min="11" max="11" width="12.42578125" style="1" customWidth="1"/>
    <col min="12" max="12" width="15.140625" style="1" customWidth="1"/>
    <col min="13" max="19" width="14.5703125" style="1" customWidth="1"/>
    <col min="20" max="20" width="9.140625" style="1" customWidth="1"/>
    <col min="21" max="16384" width="9.140625" style="1"/>
  </cols>
  <sheetData>
    <row r="1" spans="2:19" ht="55.5" customHeight="1" thickBot="1" x14ac:dyDescent="0.3">
      <c r="F1" s="151" t="s">
        <v>254</v>
      </c>
      <c r="G1" s="152" t="s">
        <v>268</v>
      </c>
      <c r="H1" s="153" t="s">
        <v>269</v>
      </c>
      <c r="I1" s="273" t="s">
        <v>214</v>
      </c>
      <c r="J1" s="274"/>
      <c r="K1" s="111" t="s">
        <v>215</v>
      </c>
      <c r="L1" s="111" t="s">
        <v>216</v>
      </c>
      <c r="M1" s="209" t="s">
        <v>141</v>
      </c>
      <c r="N1" s="209" t="s">
        <v>152</v>
      </c>
      <c r="O1" s="209" t="s">
        <v>20</v>
      </c>
      <c r="P1" s="209" t="s">
        <v>18</v>
      </c>
      <c r="Q1" s="209" t="s">
        <v>151</v>
      </c>
      <c r="R1" s="209" t="s">
        <v>150</v>
      </c>
      <c r="S1" s="210" t="s">
        <v>107</v>
      </c>
    </row>
    <row r="2" spans="2:19" x14ac:dyDescent="0.25">
      <c r="B2" s="280" t="s">
        <v>95</v>
      </c>
      <c r="C2" s="154" t="s">
        <v>103</v>
      </c>
      <c r="D2" s="287" t="s">
        <v>19</v>
      </c>
      <c r="E2" s="155">
        <v>0.25</v>
      </c>
      <c r="F2" s="156">
        <v>1700</v>
      </c>
      <c r="G2" s="156"/>
      <c r="H2" s="157"/>
      <c r="I2" s="158">
        <v>10</v>
      </c>
      <c r="J2" s="159">
        <v>3000</v>
      </c>
      <c r="K2" s="155">
        <v>0.25</v>
      </c>
      <c r="L2" s="159">
        <v>3000</v>
      </c>
      <c r="M2" s="160"/>
      <c r="N2" s="161">
        <v>1</v>
      </c>
      <c r="O2" s="161">
        <v>1</v>
      </c>
      <c r="P2" s="159">
        <v>2000</v>
      </c>
      <c r="Q2" s="159">
        <v>1000</v>
      </c>
      <c r="R2" s="155">
        <v>0.25</v>
      </c>
      <c r="S2" s="162">
        <v>3500</v>
      </c>
    </row>
    <row r="3" spans="2:19" x14ac:dyDescent="0.25">
      <c r="B3" s="281"/>
      <c r="C3" s="2" t="s">
        <v>102</v>
      </c>
      <c r="D3" s="288"/>
      <c r="E3" s="163">
        <v>0.5</v>
      </c>
      <c r="F3" s="164">
        <v>2200</v>
      </c>
      <c r="G3" s="164"/>
      <c r="H3" s="165"/>
      <c r="I3" s="166">
        <v>10</v>
      </c>
      <c r="J3" s="159">
        <v>3000</v>
      </c>
      <c r="K3" s="163">
        <v>0.5</v>
      </c>
      <c r="L3" s="167">
        <f>+L2+1000</f>
        <v>4000</v>
      </c>
      <c r="M3" s="168"/>
      <c r="N3" s="2">
        <v>1</v>
      </c>
      <c r="O3" s="2">
        <v>2</v>
      </c>
      <c r="P3" s="167">
        <v>3000</v>
      </c>
      <c r="Q3" s="167">
        <v>1000</v>
      </c>
      <c r="R3" s="163">
        <v>0.5</v>
      </c>
      <c r="S3" s="165">
        <v>3500</v>
      </c>
    </row>
    <row r="4" spans="2:19" x14ac:dyDescent="0.25">
      <c r="B4" s="281"/>
      <c r="C4" s="2" t="s">
        <v>101</v>
      </c>
      <c r="D4" s="288"/>
      <c r="E4" s="163">
        <v>1</v>
      </c>
      <c r="F4" s="164">
        <v>3500</v>
      </c>
      <c r="G4" s="164"/>
      <c r="H4" s="165"/>
      <c r="I4" s="166">
        <v>10</v>
      </c>
      <c r="J4" s="159">
        <v>3000</v>
      </c>
      <c r="K4" s="163">
        <v>1</v>
      </c>
      <c r="L4" s="167">
        <f t="shared" ref="L4:L12" si="0">+L3+1000</f>
        <v>5000</v>
      </c>
      <c r="M4" s="168"/>
      <c r="N4" s="2">
        <v>1</v>
      </c>
      <c r="O4" s="2">
        <v>4</v>
      </c>
      <c r="P4" s="167">
        <v>4000</v>
      </c>
      <c r="Q4" s="167">
        <v>1000</v>
      </c>
      <c r="R4" s="163">
        <v>1</v>
      </c>
      <c r="S4" s="165">
        <v>3500</v>
      </c>
    </row>
    <row r="5" spans="2:19" x14ac:dyDescent="0.25">
      <c r="B5" s="281"/>
      <c r="C5" s="2"/>
      <c r="D5" s="288"/>
      <c r="E5" s="163">
        <v>1.5</v>
      </c>
      <c r="F5" s="164"/>
      <c r="G5" s="164"/>
      <c r="H5" s="165"/>
      <c r="I5" s="166">
        <v>10</v>
      </c>
      <c r="J5" s="159">
        <v>3000</v>
      </c>
      <c r="K5" s="163">
        <v>1.5</v>
      </c>
      <c r="L5" s="167">
        <f t="shared" si="0"/>
        <v>6000</v>
      </c>
      <c r="M5" s="168"/>
      <c r="N5" s="2"/>
      <c r="O5" s="2"/>
      <c r="P5" s="167">
        <v>4000</v>
      </c>
      <c r="Q5" s="167">
        <v>1000</v>
      </c>
      <c r="R5" s="163">
        <v>1.5</v>
      </c>
      <c r="S5" s="165">
        <v>3500</v>
      </c>
    </row>
    <row r="6" spans="2:19" x14ac:dyDescent="0.25">
      <c r="B6" s="281"/>
      <c r="C6" s="2" t="s">
        <v>100</v>
      </c>
      <c r="D6" s="288"/>
      <c r="E6" s="163">
        <v>2</v>
      </c>
      <c r="F6" s="164">
        <v>4500</v>
      </c>
      <c r="G6" s="164"/>
      <c r="H6" s="165"/>
      <c r="I6" s="166">
        <v>12</v>
      </c>
      <c r="J6" s="159">
        <v>3500</v>
      </c>
      <c r="K6" s="163">
        <v>2</v>
      </c>
      <c r="L6" s="167">
        <f>+L4+1000</f>
        <v>6000</v>
      </c>
      <c r="M6" s="168">
        <v>3</v>
      </c>
      <c r="N6" s="2">
        <v>2</v>
      </c>
      <c r="O6" s="2">
        <v>2</v>
      </c>
      <c r="P6" s="167">
        <v>5000</v>
      </c>
      <c r="Q6" s="167">
        <v>1000</v>
      </c>
      <c r="R6" s="163">
        <v>2</v>
      </c>
      <c r="S6" s="165">
        <v>3500</v>
      </c>
    </row>
    <row r="7" spans="2:19" x14ac:dyDescent="0.25">
      <c r="B7" s="281"/>
      <c r="C7" s="2"/>
      <c r="D7" s="288"/>
      <c r="E7" s="163">
        <v>3</v>
      </c>
      <c r="F7" s="164"/>
      <c r="G7" s="164"/>
      <c r="H7" s="165"/>
      <c r="I7" s="166">
        <v>12</v>
      </c>
      <c r="J7" s="159">
        <v>3500</v>
      </c>
      <c r="K7" s="169">
        <v>3</v>
      </c>
      <c r="L7" s="167">
        <f>+L5+1000</f>
        <v>7000</v>
      </c>
      <c r="M7" s="168"/>
      <c r="N7" s="2"/>
      <c r="O7" s="2"/>
      <c r="P7" s="167">
        <v>5000</v>
      </c>
      <c r="Q7" s="167">
        <v>1000</v>
      </c>
      <c r="R7" s="163">
        <v>3</v>
      </c>
      <c r="S7" s="165">
        <v>3500</v>
      </c>
    </row>
    <row r="8" spans="2:19" x14ac:dyDescent="0.25">
      <c r="B8" s="281"/>
      <c r="C8" s="2" t="s">
        <v>99</v>
      </c>
      <c r="D8" s="288"/>
      <c r="E8" s="170">
        <v>4</v>
      </c>
      <c r="F8" s="164">
        <v>5500</v>
      </c>
      <c r="G8" s="164"/>
      <c r="H8" s="165"/>
      <c r="I8" s="166">
        <v>20</v>
      </c>
      <c r="J8" s="167">
        <v>5500</v>
      </c>
      <c r="K8" s="169">
        <v>4</v>
      </c>
      <c r="L8" s="167">
        <f>+L6+1000</f>
        <v>7000</v>
      </c>
      <c r="M8" s="168">
        <v>4</v>
      </c>
      <c r="N8" s="2">
        <v>2</v>
      </c>
      <c r="O8" s="2">
        <v>4</v>
      </c>
      <c r="P8" s="167">
        <v>6000</v>
      </c>
      <c r="Q8" s="167">
        <v>1500</v>
      </c>
      <c r="R8" s="169">
        <v>4</v>
      </c>
      <c r="S8" s="165">
        <v>3500</v>
      </c>
    </row>
    <row r="9" spans="2:19" x14ac:dyDescent="0.25">
      <c r="B9" s="281"/>
      <c r="C9" s="2" t="s">
        <v>98</v>
      </c>
      <c r="D9" s="288"/>
      <c r="E9" s="170">
        <v>6</v>
      </c>
      <c r="F9" s="164">
        <v>12100</v>
      </c>
      <c r="G9" s="164"/>
      <c r="H9" s="165"/>
      <c r="I9" s="166">
        <v>20</v>
      </c>
      <c r="J9" s="167">
        <v>5500</v>
      </c>
      <c r="K9" s="169">
        <v>6</v>
      </c>
      <c r="L9" s="167">
        <f t="shared" si="0"/>
        <v>8000</v>
      </c>
      <c r="M9" s="168">
        <v>7.5</v>
      </c>
      <c r="N9" s="2">
        <v>3</v>
      </c>
      <c r="O9" s="2">
        <v>6</v>
      </c>
      <c r="P9" s="167">
        <v>8000</v>
      </c>
      <c r="Q9" s="167">
        <v>1500</v>
      </c>
      <c r="R9" s="169">
        <v>6</v>
      </c>
      <c r="S9" s="165">
        <v>3500</v>
      </c>
    </row>
    <row r="10" spans="2:19" x14ac:dyDescent="0.25">
      <c r="B10" s="281"/>
      <c r="C10" s="2" t="s">
        <v>109</v>
      </c>
      <c r="D10" s="288"/>
      <c r="E10" s="170">
        <v>9</v>
      </c>
      <c r="F10" s="171">
        <v>15954</v>
      </c>
      <c r="G10" s="171"/>
      <c r="H10" s="172"/>
      <c r="I10" s="166">
        <v>20</v>
      </c>
      <c r="J10" s="167">
        <v>5500</v>
      </c>
      <c r="K10" s="169">
        <v>9</v>
      </c>
      <c r="L10" s="167">
        <f t="shared" si="0"/>
        <v>9000</v>
      </c>
      <c r="M10" s="168">
        <v>7.5</v>
      </c>
      <c r="N10" s="2">
        <v>3</v>
      </c>
      <c r="O10" s="2">
        <v>9</v>
      </c>
      <c r="P10" s="167">
        <v>10000</v>
      </c>
      <c r="Q10" s="167">
        <v>1500</v>
      </c>
      <c r="R10" s="169">
        <v>9</v>
      </c>
      <c r="S10" s="165">
        <v>4716</v>
      </c>
    </row>
    <row r="11" spans="2:19" x14ac:dyDescent="0.25">
      <c r="B11" s="281"/>
      <c r="C11" s="2" t="s">
        <v>97</v>
      </c>
      <c r="D11" s="288"/>
      <c r="E11" s="170">
        <v>12</v>
      </c>
      <c r="F11" s="164">
        <v>23250</v>
      </c>
      <c r="G11" s="164"/>
      <c r="H11" s="165"/>
      <c r="I11" s="166">
        <v>30</v>
      </c>
      <c r="J11" s="167">
        <v>8000</v>
      </c>
      <c r="K11" s="169">
        <v>12</v>
      </c>
      <c r="L11" s="167">
        <f t="shared" si="0"/>
        <v>10000</v>
      </c>
      <c r="M11" s="168">
        <v>11</v>
      </c>
      <c r="N11" s="2">
        <v>4</v>
      </c>
      <c r="O11" s="2">
        <v>12</v>
      </c>
      <c r="P11" s="167">
        <v>12000</v>
      </c>
      <c r="Q11" s="167">
        <v>2500</v>
      </c>
      <c r="R11" s="169">
        <v>12</v>
      </c>
      <c r="S11" s="165">
        <v>4716</v>
      </c>
    </row>
    <row r="12" spans="2:19" ht="15.75" thickBot="1" x14ac:dyDescent="0.3">
      <c r="B12" s="285"/>
      <c r="C12" s="173" t="s">
        <v>108</v>
      </c>
      <c r="D12" s="289"/>
      <c r="E12" s="175">
        <v>16</v>
      </c>
      <c r="F12" s="176">
        <v>27500</v>
      </c>
      <c r="G12" s="176"/>
      <c r="H12" s="177"/>
      <c r="I12" s="178">
        <v>40</v>
      </c>
      <c r="J12" s="179">
        <v>10500</v>
      </c>
      <c r="K12" s="180">
        <v>16</v>
      </c>
      <c r="L12" s="181">
        <f t="shared" si="0"/>
        <v>11000</v>
      </c>
      <c r="M12" s="182">
        <v>11</v>
      </c>
      <c r="N12" s="173">
        <v>4</v>
      </c>
      <c r="O12" s="173">
        <v>16</v>
      </c>
      <c r="P12" s="181">
        <v>15000</v>
      </c>
      <c r="Q12" s="181">
        <f>+F12*0.1</f>
        <v>2750</v>
      </c>
      <c r="R12" s="180">
        <v>16</v>
      </c>
      <c r="S12" s="177">
        <v>4716</v>
      </c>
    </row>
    <row r="13" spans="2:19" s="184" customFormat="1" ht="30.75" thickBot="1" x14ac:dyDescent="0.3">
      <c r="B13" s="127" t="s">
        <v>136</v>
      </c>
      <c r="C13" s="174" t="s">
        <v>125</v>
      </c>
      <c r="D13" s="174"/>
      <c r="E13" s="174">
        <v>1</v>
      </c>
      <c r="F13" s="183">
        <v>700</v>
      </c>
      <c r="G13" s="1"/>
      <c r="H13" s="1"/>
      <c r="I13" s="1"/>
      <c r="J13" s="1"/>
    </row>
    <row r="14" spans="2:19" x14ac:dyDescent="0.25">
      <c r="B14" s="280" t="s">
        <v>20</v>
      </c>
      <c r="C14" s="154"/>
      <c r="D14" s="154">
        <v>8040</v>
      </c>
      <c r="E14" s="154">
        <v>1</v>
      </c>
      <c r="F14" s="157">
        <v>460</v>
      </c>
      <c r="G14" s="1"/>
      <c r="H14" s="1"/>
    </row>
    <row r="15" spans="2:19" ht="15.75" thickBot="1" x14ac:dyDescent="0.3">
      <c r="B15" s="285"/>
      <c r="C15" s="173"/>
      <c r="D15" s="173">
        <v>4040</v>
      </c>
      <c r="E15" s="173">
        <v>1</v>
      </c>
      <c r="F15" s="177">
        <v>150</v>
      </c>
      <c r="G15" s="1"/>
      <c r="H15" s="1"/>
    </row>
    <row r="16" spans="2:19" ht="15.75" thickBot="1" x14ac:dyDescent="0.3">
      <c r="B16" s="208" t="s">
        <v>22</v>
      </c>
      <c r="C16" s="185"/>
      <c r="D16" s="185"/>
      <c r="E16" s="185">
        <v>1</v>
      </c>
      <c r="F16" s="186">
        <v>600</v>
      </c>
      <c r="G16" s="1"/>
      <c r="H16" s="1"/>
    </row>
    <row r="17" spans="2:8" x14ac:dyDescent="0.25">
      <c r="B17" s="277" t="s">
        <v>111</v>
      </c>
      <c r="C17" s="187" t="s">
        <v>217</v>
      </c>
      <c r="D17" s="261" t="s">
        <v>112</v>
      </c>
      <c r="E17" s="154">
        <v>0.25</v>
      </c>
      <c r="F17" s="188">
        <v>0</v>
      </c>
      <c r="G17" s="189"/>
      <c r="H17" s="189"/>
    </row>
    <row r="18" spans="2:8" x14ac:dyDescent="0.25">
      <c r="B18" s="278"/>
      <c r="C18" s="190" t="s">
        <v>217</v>
      </c>
      <c r="D18" s="259"/>
      <c r="E18" s="2">
        <v>0.5</v>
      </c>
      <c r="F18" s="191">
        <v>0</v>
      </c>
      <c r="G18" s="189"/>
      <c r="H18" s="189"/>
    </row>
    <row r="19" spans="2:8" x14ac:dyDescent="0.25">
      <c r="B19" s="278"/>
      <c r="C19" s="190" t="s">
        <v>217</v>
      </c>
      <c r="D19" s="259"/>
      <c r="E19" s="2">
        <v>1</v>
      </c>
      <c r="F19" s="191">
        <v>0</v>
      </c>
      <c r="G19" s="189"/>
      <c r="H19" s="189"/>
    </row>
    <row r="20" spans="2:8" x14ac:dyDescent="0.25">
      <c r="B20" s="278"/>
      <c r="C20" s="190" t="s">
        <v>217</v>
      </c>
      <c r="D20" s="259"/>
      <c r="E20" s="2">
        <v>1.5</v>
      </c>
      <c r="F20" s="191">
        <v>0</v>
      </c>
      <c r="G20" s="189"/>
      <c r="H20" s="189"/>
    </row>
    <row r="21" spans="2:8" x14ac:dyDescent="0.25">
      <c r="B21" s="278"/>
      <c r="C21" s="190" t="s">
        <v>217</v>
      </c>
      <c r="D21" s="259"/>
      <c r="E21" s="2">
        <v>2</v>
      </c>
      <c r="F21" s="191">
        <v>0</v>
      </c>
      <c r="G21" s="189"/>
      <c r="H21" s="189"/>
    </row>
    <row r="22" spans="2:8" x14ac:dyDescent="0.25">
      <c r="B22" s="278"/>
      <c r="C22" s="190" t="s">
        <v>217</v>
      </c>
      <c r="D22" s="259"/>
      <c r="E22" s="2">
        <v>3</v>
      </c>
      <c r="F22" s="191">
        <v>0</v>
      </c>
      <c r="G22" s="189"/>
      <c r="H22" s="189"/>
    </row>
    <row r="23" spans="2:8" x14ac:dyDescent="0.25">
      <c r="B23" s="278"/>
      <c r="C23" s="190" t="s">
        <v>217</v>
      </c>
      <c r="D23" s="259"/>
      <c r="E23" s="2">
        <v>4</v>
      </c>
      <c r="F23" s="191">
        <v>0</v>
      </c>
      <c r="G23" s="189"/>
      <c r="H23" s="189"/>
    </row>
    <row r="24" spans="2:8" x14ac:dyDescent="0.25">
      <c r="B24" s="278"/>
      <c r="C24" s="190" t="s">
        <v>217</v>
      </c>
      <c r="D24" s="259"/>
      <c r="E24" s="2">
        <v>6</v>
      </c>
      <c r="F24" s="191">
        <v>0</v>
      </c>
      <c r="G24" s="189"/>
      <c r="H24" s="189"/>
    </row>
    <row r="25" spans="2:8" x14ac:dyDescent="0.25">
      <c r="B25" s="278"/>
      <c r="C25" s="190" t="s">
        <v>217</v>
      </c>
      <c r="D25" s="259"/>
      <c r="E25" s="2">
        <v>9</v>
      </c>
      <c r="F25" s="191">
        <v>0</v>
      </c>
      <c r="G25" s="189"/>
      <c r="H25" s="189"/>
    </row>
    <row r="26" spans="2:8" x14ac:dyDescent="0.25">
      <c r="B26" s="278"/>
      <c r="C26" s="190" t="s">
        <v>217</v>
      </c>
      <c r="D26" s="259"/>
      <c r="E26" s="2">
        <v>12</v>
      </c>
      <c r="F26" s="191">
        <v>0</v>
      </c>
      <c r="G26" s="189"/>
      <c r="H26" s="189"/>
    </row>
    <row r="27" spans="2:8" x14ac:dyDescent="0.25">
      <c r="B27" s="278"/>
      <c r="C27" s="190" t="s">
        <v>217</v>
      </c>
      <c r="D27" s="259"/>
      <c r="E27" s="2">
        <v>16</v>
      </c>
      <c r="F27" s="192">
        <v>0</v>
      </c>
      <c r="G27" s="189"/>
      <c r="H27" s="189"/>
    </row>
    <row r="28" spans="2:8" x14ac:dyDescent="0.25">
      <c r="B28" s="278"/>
      <c r="C28" s="190" t="s">
        <v>218</v>
      </c>
      <c r="D28" s="259"/>
      <c r="E28" s="2">
        <v>0.25</v>
      </c>
      <c r="F28" s="192">
        <f>900+500</f>
        <v>1400</v>
      </c>
      <c r="G28" s="189"/>
      <c r="H28" s="189"/>
    </row>
    <row r="29" spans="2:8" x14ac:dyDescent="0.25">
      <c r="B29" s="278"/>
      <c r="C29" s="190" t="s">
        <v>218</v>
      </c>
      <c r="D29" s="259"/>
      <c r="E29" s="2">
        <v>0.5</v>
      </c>
      <c r="F29" s="192">
        <f t="shared" ref="F29:F31" si="1">900+500</f>
        <v>1400</v>
      </c>
      <c r="G29" s="189"/>
      <c r="H29" s="189"/>
    </row>
    <row r="30" spans="2:8" x14ac:dyDescent="0.25">
      <c r="B30" s="278"/>
      <c r="C30" s="190" t="s">
        <v>218</v>
      </c>
      <c r="D30" s="259"/>
      <c r="E30" s="2">
        <v>1</v>
      </c>
      <c r="F30" s="192">
        <f t="shared" si="1"/>
        <v>1400</v>
      </c>
      <c r="G30" s="189"/>
      <c r="H30" s="189"/>
    </row>
    <row r="31" spans="2:8" x14ac:dyDescent="0.25">
      <c r="B31" s="278"/>
      <c r="C31" s="190" t="s">
        <v>218</v>
      </c>
      <c r="D31" s="259"/>
      <c r="E31" s="2">
        <v>1.5</v>
      </c>
      <c r="F31" s="192">
        <f t="shared" si="1"/>
        <v>1400</v>
      </c>
      <c r="G31" s="189"/>
      <c r="H31" s="189"/>
    </row>
    <row r="32" spans="2:8" x14ac:dyDescent="0.25">
      <c r="B32" s="278"/>
      <c r="C32" s="190" t="s">
        <v>218</v>
      </c>
      <c r="D32" s="259"/>
      <c r="E32" s="2">
        <v>2</v>
      </c>
      <c r="F32" s="192">
        <f t="shared" ref="F32:F38" si="2">900+500</f>
        <v>1400</v>
      </c>
      <c r="G32" s="189"/>
      <c r="H32" s="189"/>
    </row>
    <row r="33" spans="2:8" x14ac:dyDescent="0.25">
      <c r="B33" s="278"/>
      <c r="C33" s="190" t="s">
        <v>218</v>
      </c>
      <c r="D33" s="259"/>
      <c r="E33" s="2">
        <v>3</v>
      </c>
      <c r="F33" s="192">
        <f t="shared" si="2"/>
        <v>1400</v>
      </c>
      <c r="G33" s="189"/>
      <c r="H33" s="189"/>
    </row>
    <row r="34" spans="2:8" x14ac:dyDescent="0.25">
      <c r="B34" s="278"/>
      <c r="C34" s="190" t="s">
        <v>218</v>
      </c>
      <c r="D34" s="259"/>
      <c r="E34" s="2">
        <v>4</v>
      </c>
      <c r="F34" s="192">
        <f t="shared" si="2"/>
        <v>1400</v>
      </c>
      <c r="G34" s="189"/>
      <c r="H34" s="189"/>
    </row>
    <row r="35" spans="2:8" x14ac:dyDescent="0.25">
      <c r="B35" s="278"/>
      <c r="C35" s="190" t="s">
        <v>218</v>
      </c>
      <c r="D35" s="259"/>
      <c r="E35" s="2">
        <v>6</v>
      </c>
      <c r="F35" s="192">
        <f t="shared" si="2"/>
        <v>1400</v>
      </c>
      <c r="G35" s="189"/>
      <c r="H35" s="189"/>
    </row>
    <row r="36" spans="2:8" x14ac:dyDescent="0.25">
      <c r="B36" s="278"/>
      <c r="C36" s="190" t="s">
        <v>218</v>
      </c>
      <c r="D36" s="259"/>
      <c r="E36" s="2">
        <v>9</v>
      </c>
      <c r="F36" s="192">
        <f t="shared" si="2"/>
        <v>1400</v>
      </c>
      <c r="G36" s="189"/>
      <c r="H36" s="189"/>
    </row>
    <row r="37" spans="2:8" x14ac:dyDescent="0.25">
      <c r="B37" s="278"/>
      <c r="C37" s="190" t="s">
        <v>218</v>
      </c>
      <c r="D37" s="259"/>
      <c r="E37" s="2">
        <v>12</v>
      </c>
      <c r="F37" s="192">
        <f t="shared" si="2"/>
        <v>1400</v>
      </c>
      <c r="G37" s="189"/>
      <c r="H37" s="189"/>
    </row>
    <row r="38" spans="2:8" x14ac:dyDescent="0.25">
      <c r="B38" s="278"/>
      <c r="C38" s="190" t="s">
        <v>218</v>
      </c>
      <c r="D38" s="262"/>
      <c r="E38" s="2">
        <v>16</v>
      </c>
      <c r="F38" s="192">
        <f t="shared" si="2"/>
        <v>1400</v>
      </c>
      <c r="G38" s="189"/>
      <c r="H38" s="189"/>
    </row>
    <row r="39" spans="2:8" x14ac:dyDescent="0.25">
      <c r="B39" s="278"/>
      <c r="C39" s="190" t="s">
        <v>219</v>
      </c>
      <c r="D39" s="258" t="s">
        <v>96</v>
      </c>
      <c r="E39" s="2">
        <v>0.25</v>
      </c>
      <c r="F39" s="193">
        <v>500</v>
      </c>
    </row>
    <row r="40" spans="2:8" x14ac:dyDescent="0.25">
      <c r="B40" s="278"/>
      <c r="C40" s="190" t="s">
        <v>219</v>
      </c>
      <c r="D40" s="259"/>
      <c r="E40" s="2">
        <v>0.5</v>
      </c>
      <c r="F40" s="193">
        <v>700</v>
      </c>
    </row>
    <row r="41" spans="2:8" x14ac:dyDescent="0.25">
      <c r="B41" s="278"/>
      <c r="C41" s="190" t="s">
        <v>219</v>
      </c>
      <c r="D41" s="259"/>
      <c r="E41" s="2">
        <v>1</v>
      </c>
      <c r="F41" s="192">
        <v>1000</v>
      </c>
      <c r="G41" s="189"/>
      <c r="H41" s="189"/>
    </row>
    <row r="42" spans="2:8" x14ac:dyDescent="0.25">
      <c r="B42" s="278"/>
      <c r="C42" s="190" t="s">
        <v>219</v>
      </c>
      <c r="D42" s="259"/>
      <c r="E42" s="2">
        <v>1.5</v>
      </c>
      <c r="F42" s="192">
        <v>1000</v>
      </c>
      <c r="G42" s="189"/>
      <c r="H42" s="189"/>
    </row>
    <row r="43" spans="2:8" x14ac:dyDescent="0.25">
      <c r="B43" s="278"/>
      <c r="C43" s="190" t="s">
        <v>219</v>
      </c>
      <c r="D43" s="259"/>
      <c r="E43" s="2">
        <v>2</v>
      </c>
      <c r="F43" s="192">
        <v>1500</v>
      </c>
      <c r="G43" s="189"/>
      <c r="H43" s="189"/>
    </row>
    <row r="44" spans="2:8" x14ac:dyDescent="0.25">
      <c r="B44" s="278"/>
      <c r="C44" s="190" t="s">
        <v>219</v>
      </c>
      <c r="D44" s="259"/>
      <c r="E44" s="2">
        <v>3</v>
      </c>
      <c r="F44" s="192">
        <v>1500</v>
      </c>
      <c r="G44" s="189"/>
      <c r="H44" s="189"/>
    </row>
    <row r="45" spans="2:8" x14ac:dyDescent="0.25">
      <c r="B45" s="278"/>
      <c r="C45" s="190" t="s">
        <v>219</v>
      </c>
      <c r="D45" s="259"/>
      <c r="E45" s="2">
        <v>4</v>
      </c>
      <c r="F45" s="192">
        <v>2000</v>
      </c>
      <c r="G45" s="189"/>
      <c r="H45" s="189"/>
    </row>
    <row r="46" spans="2:8" x14ac:dyDescent="0.25">
      <c r="B46" s="278"/>
      <c r="C46" s="190" t="s">
        <v>219</v>
      </c>
      <c r="D46" s="259"/>
      <c r="E46" s="2">
        <v>6</v>
      </c>
      <c r="F46" s="192">
        <v>2500</v>
      </c>
      <c r="G46" s="189"/>
      <c r="H46" s="189"/>
    </row>
    <row r="47" spans="2:8" x14ac:dyDescent="0.25">
      <c r="B47" s="278"/>
      <c r="C47" s="190" t="s">
        <v>219</v>
      </c>
      <c r="D47" s="259"/>
      <c r="E47" s="2">
        <v>9</v>
      </c>
      <c r="F47" s="192">
        <v>3000</v>
      </c>
      <c r="G47" s="189"/>
      <c r="H47" s="189"/>
    </row>
    <row r="48" spans="2:8" x14ac:dyDescent="0.25">
      <c r="B48" s="278"/>
      <c r="C48" s="190" t="s">
        <v>219</v>
      </c>
      <c r="D48" s="259"/>
      <c r="E48" s="2">
        <v>12</v>
      </c>
      <c r="F48" s="192">
        <v>3500</v>
      </c>
      <c r="G48" s="189"/>
      <c r="H48" s="189"/>
    </row>
    <row r="49" spans="2:8" ht="15.75" thickBot="1" x14ac:dyDescent="0.3">
      <c r="B49" s="286"/>
      <c r="C49" s="195" t="s">
        <v>219</v>
      </c>
      <c r="D49" s="260"/>
      <c r="E49" s="2">
        <v>16</v>
      </c>
      <c r="F49" s="192">
        <v>4500</v>
      </c>
      <c r="G49" s="189"/>
      <c r="H49" s="189"/>
    </row>
    <row r="50" spans="2:8" ht="15.75" customHeight="1" x14ac:dyDescent="0.25">
      <c r="B50" s="264" t="s">
        <v>27</v>
      </c>
      <c r="C50" s="112">
        <v>5</v>
      </c>
      <c r="D50" s="290" t="s">
        <v>89</v>
      </c>
      <c r="E50" s="268"/>
      <c r="F50" s="196">
        <f>900+500</f>
        <v>1400</v>
      </c>
      <c r="G50" s="197"/>
      <c r="H50" s="197"/>
    </row>
    <row r="51" spans="2:8" ht="15" customHeight="1" x14ac:dyDescent="0.25">
      <c r="B51" s="264"/>
      <c r="C51" s="7">
        <v>6</v>
      </c>
      <c r="D51" s="290" t="s">
        <v>91</v>
      </c>
      <c r="E51" s="290"/>
      <c r="F51" s="198">
        <f>900+500</f>
        <v>1400</v>
      </c>
      <c r="G51" s="197"/>
      <c r="H51" s="197"/>
    </row>
    <row r="52" spans="2:8" ht="15" customHeight="1" x14ac:dyDescent="0.25">
      <c r="B52" s="264"/>
      <c r="C52" s="23">
        <v>8.5</v>
      </c>
      <c r="D52" s="271" t="s">
        <v>88</v>
      </c>
      <c r="E52" s="271"/>
      <c r="F52" s="198">
        <v>0</v>
      </c>
      <c r="G52" s="197"/>
      <c r="H52" s="197"/>
    </row>
    <row r="53" spans="2:8" ht="15" customHeight="1" x14ac:dyDescent="0.25">
      <c r="B53" s="264"/>
      <c r="C53" s="7">
        <v>9</v>
      </c>
      <c r="D53" s="290" t="s">
        <v>92</v>
      </c>
      <c r="E53" s="290"/>
      <c r="F53" s="198">
        <v>2500</v>
      </c>
      <c r="G53" s="197"/>
      <c r="H53" s="197"/>
    </row>
    <row r="54" spans="2:8" ht="15" customHeight="1" thickBot="1" x14ac:dyDescent="0.3">
      <c r="B54" s="264"/>
      <c r="C54" s="25">
        <v>12</v>
      </c>
      <c r="D54" s="290" t="s">
        <v>92</v>
      </c>
      <c r="E54" s="290"/>
      <c r="F54" s="199">
        <v>3000</v>
      </c>
      <c r="G54" s="197"/>
      <c r="H54" s="197"/>
    </row>
    <row r="55" spans="2:8" ht="15" customHeight="1" x14ac:dyDescent="0.25">
      <c r="B55" s="280" t="s">
        <v>104</v>
      </c>
      <c r="C55" s="154" t="s">
        <v>106</v>
      </c>
      <c r="D55" s="154"/>
      <c r="E55" s="2">
        <v>0.25</v>
      </c>
      <c r="F55" s="200">
        <v>400</v>
      </c>
    </row>
    <row r="56" spans="2:8" ht="15" customHeight="1" x14ac:dyDescent="0.25">
      <c r="B56" s="281"/>
      <c r="C56" s="2" t="s">
        <v>105</v>
      </c>
      <c r="D56" s="2"/>
      <c r="E56" s="2">
        <v>0.5</v>
      </c>
      <c r="F56" s="201">
        <v>400</v>
      </c>
    </row>
    <row r="57" spans="2:8" ht="15" customHeight="1" x14ac:dyDescent="0.25">
      <c r="B57" s="281"/>
      <c r="C57" s="2" t="s">
        <v>259</v>
      </c>
      <c r="D57" s="2"/>
      <c r="E57" s="2">
        <v>1</v>
      </c>
      <c r="F57" s="201">
        <v>500</v>
      </c>
    </row>
    <row r="58" spans="2:8" ht="15" customHeight="1" x14ac:dyDescent="0.25">
      <c r="B58" s="281"/>
      <c r="C58" s="2" t="s">
        <v>260</v>
      </c>
      <c r="D58" s="2"/>
      <c r="E58" s="2">
        <v>1.5</v>
      </c>
      <c r="F58" s="201">
        <v>700</v>
      </c>
    </row>
    <row r="59" spans="2:8" ht="15" customHeight="1" x14ac:dyDescent="0.25">
      <c r="B59" s="281"/>
      <c r="C59" s="2" t="s">
        <v>261</v>
      </c>
      <c r="D59" s="2"/>
      <c r="E59" s="2">
        <v>2</v>
      </c>
      <c r="F59" s="201">
        <v>825</v>
      </c>
    </row>
    <row r="60" spans="2:8" ht="15" customHeight="1" x14ac:dyDescent="0.25">
      <c r="B60" s="281"/>
      <c r="C60" s="2" t="s">
        <v>262</v>
      </c>
      <c r="D60" s="2"/>
      <c r="E60" s="2">
        <v>3</v>
      </c>
      <c r="F60" s="201">
        <v>1500</v>
      </c>
    </row>
    <row r="61" spans="2:8" ht="15" customHeight="1" x14ac:dyDescent="0.25">
      <c r="B61" s="281"/>
      <c r="C61" s="2" t="s">
        <v>263</v>
      </c>
      <c r="D61" s="2"/>
      <c r="E61" s="2">
        <v>4</v>
      </c>
      <c r="F61" s="201">
        <v>2000</v>
      </c>
    </row>
    <row r="62" spans="2:8" ht="15" customHeight="1" x14ac:dyDescent="0.25">
      <c r="B62" s="281"/>
      <c r="C62" s="2" t="s">
        <v>264</v>
      </c>
      <c r="D62" s="2"/>
      <c r="E62" s="2">
        <v>6</v>
      </c>
      <c r="F62" s="201">
        <v>2500</v>
      </c>
    </row>
    <row r="63" spans="2:8" ht="15" customHeight="1" x14ac:dyDescent="0.25">
      <c r="B63" s="281"/>
      <c r="C63" s="2" t="s">
        <v>265</v>
      </c>
      <c r="D63" s="2"/>
      <c r="E63" s="2">
        <v>9</v>
      </c>
      <c r="F63" s="201">
        <v>3000</v>
      </c>
    </row>
    <row r="64" spans="2:8" ht="15.75" customHeight="1" x14ac:dyDescent="0.25">
      <c r="B64" s="281"/>
      <c r="C64" s="2" t="s">
        <v>266</v>
      </c>
      <c r="D64" s="2"/>
      <c r="E64" s="2">
        <v>12</v>
      </c>
      <c r="F64" s="201">
        <v>3737</v>
      </c>
    </row>
    <row r="65" spans="2:6" ht="15.75" thickBot="1" x14ac:dyDescent="0.3">
      <c r="B65" s="282"/>
      <c r="C65" s="202" t="s">
        <v>267</v>
      </c>
      <c r="D65" s="202"/>
      <c r="E65" s="2">
        <v>16</v>
      </c>
      <c r="F65" s="203">
        <v>4300</v>
      </c>
    </row>
    <row r="66" spans="2:6" x14ac:dyDescent="0.25">
      <c r="B66" s="277" t="s">
        <v>32</v>
      </c>
      <c r="C66" s="24" t="s">
        <v>134</v>
      </c>
      <c r="D66" s="294" t="s">
        <v>34</v>
      </c>
      <c r="E66" s="2">
        <v>0.25</v>
      </c>
      <c r="F66" s="200">
        <v>0</v>
      </c>
    </row>
    <row r="67" spans="2:6" x14ac:dyDescent="0.25">
      <c r="B67" s="278"/>
      <c r="C67" s="7" t="s">
        <v>134</v>
      </c>
      <c r="D67" s="267"/>
      <c r="E67" s="2">
        <v>0.5</v>
      </c>
      <c r="F67" s="201">
        <v>0</v>
      </c>
    </row>
    <row r="68" spans="2:6" x14ac:dyDescent="0.25">
      <c r="B68" s="278"/>
      <c r="C68" s="7" t="s">
        <v>134</v>
      </c>
      <c r="D68" s="267"/>
      <c r="E68" s="2">
        <v>1</v>
      </c>
      <c r="F68" s="201">
        <v>0</v>
      </c>
    </row>
    <row r="69" spans="2:6" x14ac:dyDescent="0.25">
      <c r="B69" s="278"/>
      <c r="C69" s="7" t="s">
        <v>134</v>
      </c>
      <c r="D69" s="267"/>
      <c r="E69" s="2">
        <v>1.5</v>
      </c>
      <c r="F69" s="201">
        <v>0</v>
      </c>
    </row>
    <row r="70" spans="2:6" x14ac:dyDescent="0.25">
      <c r="B70" s="278"/>
      <c r="C70" s="7" t="s">
        <v>134</v>
      </c>
      <c r="D70" s="267"/>
      <c r="E70" s="2">
        <v>2</v>
      </c>
      <c r="F70" s="201">
        <v>0</v>
      </c>
    </row>
    <row r="71" spans="2:6" x14ac:dyDescent="0.25">
      <c r="B71" s="278"/>
      <c r="C71" s="7" t="s">
        <v>134</v>
      </c>
      <c r="D71" s="267"/>
      <c r="E71" s="2">
        <v>3</v>
      </c>
      <c r="F71" s="201">
        <v>0</v>
      </c>
    </row>
    <row r="72" spans="2:6" x14ac:dyDescent="0.25">
      <c r="B72" s="278"/>
      <c r="C72" s="7" t="s">
        <v>134</v>
      </c>
      <c r="D72" s="267"/>
      <c r="E72" s="2">
        <v>4</v>
      </c>
      <c r="F72" s="201">
        <v>0</v>
      </c>
    </row>
    <row r="73" spans="2:6" x14ac:dyDescent="0.25">
      <c r="B73" s="278"/>
      <c r="C73" s="7" t="s">
        <v>134</v>
      </c>
      <c r="D73" s="267"/>
      <c r="E73" s="2">
        <v>6</v>
      </c>
      <c r="F73" s="201">
        <v>0</v>
      </c>
    </row>
    <row r="74" spans="2:6" x14ac:dyDescent="0.25">
      <c r="B74" s="278"/>
      <c r="C74" s="7" t="s">
        <v>134</v>
      </c>
      <c r="D74" s="267"/>
      <c r="E74" s="2">
        <v>9</v>
      </c>
      <c r="F74" s="201">
        <v>0</v>
      </c>
    </row>
    <row r="75" spans="2:6" x14ac:dyDescent="0.25">
      <c r="B75" s="278"/>
      <c r="C75" s="7" t="s">
        <v>134</v>
      </c>
      <c r="D75" s="267"/>
      <c r="E75" s="2">
        <v>12</v>
      </c>
      <c r="F75" s="201">
        <v>0</v>
      </c>
    </row>
    <row r="76" spans="2:6" x14ac:dyDescent="0.25">
      <c r="B76" s="278"/>
      <c r="C76" s="7" t="s">
        <v>134</v>
      </c>
      <c r="D76" s="268"/>
      <c r="E76" s="2">
        <v>16</v>
      </c>
      <c r="F76" s="201">
        <v>0</v>
      </c>
    </row>
    <row r="77" spans="2:6" x14ac:dyDescent="0.25">
      <c r="B77" s="278"/>
      <c r="C77" s="7" t="s">
        <v>166</v>
      </c>
      <c r="D77" s="266" t="s">
        <v>36</v>
      </c>
      <c r="E77" s="2">
        <v>0.25</v>
      </c>
      <c r="F77" s="201">
        <v>1500</v>
      </c>
    </row>
    <row r="78" spans="2:6" x14ac:dyDescent="0.25">
      <c r="B78" s="278"/>
      <c r="C78" s="7" t="s">
        <v>166</v>
      </c>
      <c r="D78" s="267"/>
      <c r="E78" s="2">
        <v>0.5</v>
      </c>
      <c r="F78" s="201">
        <v>1500</v>
      </c>
    </row>
    <row r="79" spans="2:6" x14ac:dyDescent="0.25">
      <c r="B79" s="278"/>
      <c r="C79" s="7" t="s">
        <v>166</v>
      </c>
      <c r="D79" s="267"/>
      <c r="E79" s="2">
        <v>1</v>
      </c>
      <c r="F79" s="201">
        <v>1500</v>
      </c>
    </row>
    <row r="80" spans="2:6" x14ac:dyDescent="0.25">
      <c r="B80" s="278"/>
      <c r="C80" s="7" t="s">
        <v>166</v>
      </c>
      <c r="D80" s="267"/>
      <c r="E80" s="2">
        <v>1.5</v>
      </c>
      <c r="F80" s="201">
        <v>1500</v>
      </c>
    </row>
    <row r="81" spans="2:6" x14ac:dyDescent="0.25">
      <c r="B81" s="278"/>
      <c r="C81" s="7" t="s">
        <v>166</v>
      </c>
      <c r="D81" s="267"/>
      <c r="E81" s="2">
        <v>2</v>
      </c>
      <c r="F81" s="201">
        <v>1500</v>
      </c>
    </row>
    <row r="82" spans="2:6" x14ac:dyDescent="0.25">
      <c r="B82" s="278"/>
      <c r="C82" s="7" t="s">
        <v>166</v>
      </c>
      <c r="D82" s="267"/>
      <c r="E82" s="2">
        <v>3</v>
      </c>
      <c r="F82" s="201">
        <v>1500</v>
      </c>
    </row>
    <row r="83" spans="2:6" x14ac:dyDescent="0.25">
      <c r="B83" s="278"/>
      <c r="C83" s="7" t="s">
        <v>166</v>
      </c>
      <c r="D83" s="267"/>
      <c r="E83" s="2">
        <v>4</v>
      </c>
      <c r="F83" s="201">
        <v>1500</v>
      </c>
    </row>
    <row r="84" spans="2:6" x14ac:dyDescent="0.25">
      <c r="B84" s="278"/>
      <c r="C84" s="7" t="s">
        <v>166</v>
      </c>
      <c r="D84" s="267"/>
      <c r="E84" s="2">
        <v>6</v>
      </c>
      <c r="F84" s="201">
        <v>1500</v>
      </c>
    </row>
    <row r="85" spans="2:6" x14ac:dyDescent="0.25">
      <c r="B85" s="278"/>
      <c r="C85" s="7" t="s">
        <v>166</v>
      </c>
      <c r="D85" s="267"/>
      <c r="E85" s="2">
        <v>9</v>
      </c>
      <c r="F85" s="201">
        <v>1500</v>
      </c>
    </row>
    <row r="86" spans="2:6" x14ac:dyDescent="0.25">
      <c r="B86" s="278"/>
      <c r="C86" s="7" t="s">
        <v>166</v>
      </c>
      <c r="D86" s="267"/>
      <c r="E86" s="2">
        <v>12</v>
      </c>
      <c r="F86" s="201">
        <v>1500</v>
      </c>
    </row>
    <row r="87" spans="2:6" x14ac:dyDescent="0.25">
      <c r="B87" s="278"/>
      <c r="C87" s="7" t="s">
        <v>166</v>
      </c>
      <c r="D87" s="268"/>
      <c r="E87" s="2">
        <v>16</v>
      </c>
      <c r="F87" s="201">
        <v>1500</v>
      </c>
    </row>
    <row r="88" spans="2:6" x14ac:dyDescent="0.25">
      <c r="B88" s="278"/>
      <c r="C88" s="7" t="s">
        <v>167</v>
      </c>
      <c r="D88" s="266" t="s">
        <v>38</v>
      </c>
      <c r="E88" s="2">
        <v>0.25</v>
      </c>
      <c r="F88" s="201">
        <v>3500</v>
      </c>
    </row>
    <row r="89" spans="2:6" x14ac:dyDescent="0.25">
      <c r="B89" s="278"/>
      <c r="C89" s="7" t="s">
        <v>167</v>
      </c>
      <c r="D89" s="267"/>
      <c r="E89" s="2">
        <v>0.5</v>
      </c>
      <c r="F89" s="201">
        <v>3500</v>
      </c>
    </row>
    <row r="90" spans="2:6" x14ac:dyDescent="0.25">
      <c r="B90" s="278"/>
      <c r="C90" s="7" t="s">
        <v>167</v>
      </c>
      <c r="D90" s="267"/>
      <c r="E90" s="2">
        <v>1</v>
      </c>
      <c r="F90" s="201">
        <v>3500</v>
      </c>
    </row>
    <row r="91" spans="2:6" x14ac:dyDescent="0.25">
      <c r="B91" s="278"/>
      <c r="C91" s="7" t="s">
        <v>167</v>
      </c>
      <c r="D91" s="267"/>
      <c r="E91" s="2">
        <v>1.5</v>
      </c>
      <c r="F91" s="201">
        <v>3500</v>
      </c>
    </row>
    <row r="92" spans="2:6" x14ac:dyDescent="0.25">
      <c r="B92" s="278"/>
      <c r="C92" s="7" t="s">
        <v>167</v>
      </c>
      <c r="D92" s="267"/>
      <c r="E92" s="2">
        <v>2</v>
      </c>
      <c r="F92" s="201">
        <v>3500</v>
      </c>
    </row>
    <row r="93" spans="2:6" x14ac:dyDescent="0.25">
      <c r="B93" s="278"/>
      <c r="C93" s="7" t="s">
        <v>167</v>
      </c>
      <c r="D93" s="267"/>
      <c r="E93" s="2">
        <v>3</v>
      </c>
      <c r="F93" s="201">
        <v>3500</v>
      </c>
    </row>
    <row r="94" spans="2:6" x14ac:dyDescent="0.25">
      <c r="B94" s="278"/>
      <c r="C94" s="7" t="s">
        <v>167</v>
      </c>
      <c r="D94" s="267"/>
      <c r="E94" s="2">
        <v>4</v>
      </c>
      <c r="F94" s="201">
        <v>3500</v>
      </c>
    </row>
    <row r="95" spans="2:6" x14ac:dyDescent="0.25">
      <c r="B95" s="278"/>
      <c r="C95" s="7" t="s">
        <v>167</v>
      </c>
      <c r="D95" s="267"/>
      <c r="E95" s="2">
        <v>6</v>
      </c>
      <c r="F95" s="201">
        <v>3500</v>
      </c>
    </row>
    <row r="96" spans="2:6" x14ac:dyDescent="0.25">
      <c r="B96" s="278"/>
      <c r="C96" s="7" t="s">
        <v>167</v>
      </c>
      <c r="D96" s="267"/>
      <c r="E96" s="2">
        <v>9</v>
      </c>
      <c r="F96" s="201">
        <v>3500</v>
      </c>
    </row>
    <row r="97" spans="2:6" x14ac:dyDescent="0.25">
      <c r="B97" s="278"/>
      <c r="C97" s="7" t="s">
        <v>167</v>
      </c>
      <c r="D97" s="267"/>
      <c r="E97" s="2">
        <v>12</v>
      </c>
      <c r="F97" s="201">
        <v>3500</v>
      </c>
    </row>
    <row r="98" spans="2:6" x14ac:dyDescent="0.25">
      <c r="B98" s="278"/>
      <c r="C98" s="7" t="s">
        <v>167</v>
      </c>
      <c r="D98" s="268"/>
      <c r="E98" s="2">
        <v>16</v>
      </c>
      <c r="F98" s="201">
        <v>3500</v>
      </c>
    </row>
    <row r="99" spans="2:6" x14ac:dyDescent="0.25">
      <c r="B99" s="278"/>
      <c r="C99" s="7" t="s">
        <v>168</v>
      </c>
      <c r="D99" s="266" t="s">
        <v>40</v>
      </c>
      <c r="E99" s="2">
        <v>0.25</v>
      </c>
      <c r="F99" s="201">
        <v>6000</v>
      </c>
    </row>
    <row r="100" spans="2:6" x14ac:dyDescent="0.25">
      <c r="B100" s="278"/>
      <c r="C100" s="7" t="s">
        <v>168</v>
      </c>
      <c r="D100" s="267"/>
      <c r="E100" s="2">
        <v>0.5</v>
      </c>
      <c r="F100" s="201">
        <v>6000</v>
      </c>
    </row>
    <row r="101" spans="2:6" x14ac:dyDescent="0.25">
      <c r="B101" s="278"/>
      <c r="C101" s="7" t="s">
        <v>168</v>
      </c>
      <c r="D101" s="267"/>
      <c r="E101" s="2">
        <v>1</v>
      </c>
      <c r="F101" s="201">
        <v>6000</v>
      </c>
    </row>
    <row r="102" spans="2:6" x14ac:dyDescent="0.25">
      <c r="B102" s="278"/>
      <c r="C102" s="7" t="s">
        <v>168</v>
      </c>
      <c r="D102" s="267"/>
      <c r="E102" s="2">
        <v>1.5</v>
      </c>
      <c r="F102" s="201">
        <v>6000</v>
      </c>
    </row>
    <row r="103" spans="2:6" x14ac:dyDescent="0.25">
      <c r="B103" s="278"/>
      <c r="C103" s="7" t="s">
        <v>168</v>
      </c>
      <c r="D103" s="267"/>
      <c r="E103" s="2">
        <v>2</v>
      </c>
      <c r="F103" s="201">
        <v>6000</v>
      </c>
    </row>
    <row r="104" spans="2:6" x14ac:dyDescent="0.25">
      <c r="B104" s="278"/>
      <c r="C104" s="7" t="s">
        <v>168</v>
      </c>
      <c r="D104" s="267"/>
      <c r="E104" s="2">
        <v>3</v>
      </c>
      <c r="F104" s="201">
        <v>6000</v>
      </c>
    </row>
    <row r="105" spans="2:6" x14ac:dyDescent="0.25">
      <c r="B105" s="278"/>
      <c r="C105" s="7" t="s">
        <v>168</v>
      </c>
      <c r="D105" s="267"/>
      <c r="E105" s="2">
        <v>4</v>
      </c>
      <c r="F105" s="201">
        <v>6000</v>
      </c>
    </row>
    <row r="106" spans="2:6" x14ac:dyDescent="0.25">
      <c r="B106" s="278"/>
      <c r="C106" s="7" t="s">
        <v>168</v>
      </c>
      <c r="D106" s="267"/>
      <c r="E106" s="2">
        <v>6</v>
      </c>
      <c r="F106" s="201">
        <v>6000</v>
      </c>
    </row>
    <row r="107" spans="2:6" x14ac:dyDescent="0.25">
      <c r="B107" s="278"/>
      <c r="C107" s="7" t="s">
        <v>168</v>
      </c>
      <c r="D107" s="267"/>
      <c r="E107" s="2">
        <v>9</v>
      </c>
      <c r="F107" s="201">
        <v>6000</v>
      </c>
    </row>
    <row r="108" spans="2:6" x14ac:dyDescent="0.25">
      <c r="B108" s="278"/>
      <c r="C108" s="7" t="s">
        <v>168</v>
      </c>
      <c r="D108" s="267"/>
      <c r="E108" s="2">
        <v>12</v>
      </c>
      <c r="F108" s="201">
        <v>6000</v>
      </c>
    </row>
    <row r="109" spans="2:6" x14ac:dyDescent="0.25">
      <c r="B109" s="278"/>
      <c r="C109" s="7" t="s">
        <v>168</v>
      </c>
      <c r="D109" s="268"/>
      <c r="E109" s="2">
        <v>16</v>
      </c>
      <c r="F109" s="201">
        <v>6000</v>
      </c>
    </row>
    <row r="110" spans="2:6" x14ac:dyDescent="0.25">
      <c r="B110" s="278"/>
      <c r="C110" s="7" t="s">
        <v>135</v>
      </c>
      <c r="D110" s="266" t="s">
        <v>42</v>
      </c>
      <c r="E110" s="2">
        <v>0.25</v>
      </c>
      <c r="F110" s="201">
        <v>10000</v>
      </c>
    </row>
    <row r="111" spans="2:6" x14ac:dyDescent="0.25">
      <c r="B111" s="278"/>
      <c r="C111" s="7" t="s">
        <v>135</v>
      </c>
      <c r="D111" s="267"/>
      <c r="E111" s="2">
        <v>0.5</v>
      </c>
      <c r="F111" s="201">
        <v>10000</v>
      </c>
    </row>
    <row r="112" spans="2:6" x14ac:dyDescent="0.25">
      <c r="B112" s="278"/>
      <c r="C112" s="7" t="s">
        <v>135</v>
      </c>
      <c r="D112" s="267"/>
      <c r="E112" s="2">
        <v>1</v>
      </c>
      <c r="F112" s="201">
        <v>10000</v>
      </c>
    </row>
    <row r="113" spans="2:6" x14ac:dyDescent="0.25">
      <c r="B113" s="278"/>
      <c r="C113" s="7" t="s">
        <v>135</v>
      </c>
      <c r="D113" s="267"/>
      <c r="E113" s="2">
        <v>1.5</v>
      </c>
      <c r="F113" s="201">
        <v>10000</v>
      </c>
    </row>
    <row r="114" spans="2:6" x14ac:dyDescent="0.25">
      <c r="B114" s="278"/>
      <c r="C114" s="7" t="s">
        <v>135</v>
      </c>
      <c r="D114" s="267"/>
      <c r="E114" s="2">
        <v>2</v>
      </c>
      <c r="F114" s="201">
        <v>10000</v>
      </c>
    </row>
    <row r="115" spans="2:6" x14ac:dyDescent="0.25">
      <c r="B115" s="278"/>
      <c r="C115" s="7" t="s">
        <v>135</v>
      </c>
      <c r="D115" s="267"/>
      <c r="E115" s="2">
        <v>3</v>
      </c>
      <c r="F115" s="201">
        <v>10000</v>
      </c>
    </row>
    <row r="116" spans="2:6" x14ac:dyDescent="0.25">
      <c r="B116" s="278"/>
      <c r="C116" s="7" t="s">
        <v>135</v>
      </c>
      <c r="D116" s="267"/>
      <c r="E116" s="2">
        <v>4</v>
      </c>
      <c r="F116" s="201">
        <v>10000</v>
      </c>
    </row>
    <row r="117" spans="2:6" x14ac:dyDescent="0.25">
      <c r="B117" s="278"/>
      <c r="C117" s="7" t="s">
        <v>135</v>
      </c>
      <c r="D117" s="267"/>
      <c r="E117" s="2">
        <v>6</v>
      </c>
      <c r="F117" s="201">
        <v>10000</v>
      </c>
    </row>
    <row r="118" spans="2:6" x14ac:dyDescent="0.25">
      <c r="B118" s="278"/>
      <c r="C118" s="7" t="s">
        <v>135</v>
      </c>
      <c r="D118" s="267"/>
      <c r="E118" s="2">
        <v>9</v>
      </c>
      <c r="F118" s="201">
        <v>10000</v>
      </c>
    </row>
    <row r="119" spans="2:6" x14ac:dyDescent="0.25">
      <c r="B119" s="278"/>
      <c r="C119" s="7" t="s">
        <v>135</v>
      </c>
      <c r="D119" s="267"/>
      <c r="E119" s="2">
        <v>12</v>
      </c>
      <c r="F119" s="201">
        <v>10000</v>
      </c>
    </row>
    <row r="120" spans="2:6" ht="15.75" thickBot="1" x14ac:dyDescent="0.3">
      <c r="B120" s="279"/>
      <c r="C120" s="25" t="s">
        <v>135</v>
      </c>
      <c r="D120" s="272"/>
      <c r="E120" s="2">
        <v>16</v>
      </c>
      <c r="F120" s="203">
        <v>10000</v>
      </c>
    </row>
    <row r="121" spans="2:6" ht="15" customHeight="1" x14ac:dyDescent="0.25">
      <c r="B121" s="277" t="s">
        <v>50</v>
      </c>
      <c r="C121" s="20" t="s">
        <v>165</v>
      </c>
      <c r="D121" s="291" t="s">
        <v>43</v>
      </c>
      <c r="E121" s="2">
        <v>0.25</v>
      </c>
      <c r="F121" s="200">
        <v>0</v>
      </c>
    </row>
    <row r="122" spans="2:6" ht="15" customHeight="1" x14ac:dyDescent="0.25">
      <c r="B122" s="278"/>
      <c r="C122" s="26" t="s">
        <v>165</v>
      </c>
      <c r="D122" s="292"/>
      <c r="E122" s="2">
        <v>0.5</v>
      </c>
      <c r="F122" s="201">
        <v>0</v>
      </c>
    </row>
    <row r="123" spans="2:6" ht="15" customHeight="1" x14ac:dyDescent="0.25">
      <c r="B123" s="278"/>
      <c r="C123" s="26" t="s">
        <v>165</v>
      </c>
      <c r="D123" s="292"/>
      <c r="E123" s="2">
        <v>1</v>
      </c>
      <c r="F123" s="201">
        <v>0</v>
      </c>
    </row>
    <row r="124" spans="2:6" ht="15" customHeight="1" x14ac:dyDescent="0.25">
      <c r="B124" s="278"/>
      <c r="C124" s="26" t="s">
        <v>165</v>
      </c>
      <c r="D124" s="292"/>
      <c r="E124" s="2">
        <v>1.5</v>
      </c>
      <c r="F124" s="201">
        <v>0</v>
      </c>
    </row>
    <row r="125" spans="2:6" ht="15" customHeight="1" x14ac:dyDescent="0.25">
      <c r="B125" s="278"/>
      <c r="C125" s="26" t="s">
        <v>165</v>
      </c>
      <c r="D125" s="292"/>
      <c r="E125" s="2">
        <v>2</v>
      </c>
      <c r="F125" s="201">
        <v>0</v>
      </c>
    </row>
    <row r="126" spans="2:6" ht="15" customHeight="1" x14ac:dyDescent="0.25">
      <c r="B126" s="278"/>
      <c r="C126" s="26" t="s">
        <v>165</v>
      </c>
      <c r="D126" s="292"/>
      <c r="E126" s="2">
        <v>3</v>
      </c>
      <c r="F126" s="201">
        <v>0</v>
      </c>
    </row>
    <row r="127" spans="2:6" ht="15" customHeight="1" x14ac:dyDescent="0.25">
      <c r="B127" s="278"/>
      <c r="C127" s="26" t="s">
        <v>165</v>
      </c>
      <c r="D127" s="292"/>
      <c r="E127" s="2">
        <v>4</v>
      </c>
      <c r="F127" s="201">
        <v>0</v>
      </c>
    </row>
    <row r="128" spans="2:6" ht="15" customHeight="1" x14ac:dyDescent="0.25">
      <c r="B128" s="278"/>
      <c r="C128" s="26" t="s">
        <v>165</v>
      </c>
      <c r="D128" s="292"/>
      <c r="E128" s="2">
        <v>6</v>
      </c>
      <c r="F128" s="201">
        <v>0</v>
      </c>
    </row>
    <row r="129" spans="2:6" ht="15" customHeight="1" x14ac:dyDescent="0.25">
      <c r="B129" s="278"/>
      <c r="C129" s="26" t="s">
        <v>165</v>
      </c>
      <c r="D129" s="292"/>
      <c r="E129" s="2">
        <v>9</v>
      </c>
      <c r="F129" s="201">
        <v>0</v>
      </c>
    </row>
    <row r="130" spans="2:6" ht="15" customHeight="1" x14ac:dyDescent="0.25">
      <c r="B130" s="278"/>
      <c r="C130" s="26" t="s">
        <v>165</v>
      </c>
      <c r="D130" s="292"/>
      <c r="E130" s="2">
        <v>12</v>
      </c>
      <c r="F130" s="201">
        <v>0</v>
      </c>
    </row>
    <row r="131" spans="2:6" ht="15" customHeight="1" x14ac:dyDescent="0.25">
      <c r="B131" s="278"/>
      <c r="C131" s="26" t="s">
        <v>165</v>
      </c>
      <c r="D131" s="293"/>
      <c r="E131" s="2">
        <v>16</v>
      </c>
      <c r="F131" s="193">
        <v>0</v>
      </c>
    </row>
    <row r="132" spans="2:6" ht="15" customHeight="1" x14ac:dyDescent="0.25">
      <c r="B132" s="278"/>
      <c r="C132" s="32" t="s">
        <v>164</v>
      </c>
      <c r="D132" s="204" t="s">
        <v>137</v>
      </c>
      <c r="E132" s="2">
        <v>0.25</v>
      </c>
      <c r="F132" s="193">
        <v>500</v>
      </c>
    </row>
    <row r="133" spans="2:6" ht="15" customHeight="1" x14ac:dyDescent="0.25">
      <c r="B133" s="278"/>
      <c r="C133" s="32" t="s">
        <v>164</v>
      </c>
      <c r="D133" s="204" t="s">
        <v>137</v>
      </c>
      <c r="E133" s="2">
        <v>0.5</v>
      </c>
      <c r="F133" s="193">
        <v>500</v>
      </c>
    </row>
    <row r="134" spans="2:6" ht="15" customHeight="1" x14ac:dyDescent="0.25">
      <c r="B134" s="278"/>
      <c r="C134" s="32" t="s">
        <v>164</v>
      </c>
      <c r="D134" s="204" t="s">
        <v>137</v>
      </c>
      <c r="E134" s="2">
        <v>1</v>
      </c>
      <c r="F134" s="193">
        <v>750</v>
      </c>
    </row>
    <row r="135" spans="2:6" ht="15" customHeight="1" x14ac:dyDescent="0.25">
      <c r="B135" s="278"/>
      <c r="C135" s="32" t="s">
        <v>164</v>
      </c>
      <c r="D135" s="204" t="s">
        <v>137</v>
      </c>
      <c r="E135" s="2">
        <v>1.5</v>
      </c>
      <c r="F135" s="201">
        <v>1000</v>
      </c>
    </row>
    <row r="136" spans="2:6" ht="15" customHeight="1" x14ac:dyDescent="0.25">
      <c r="B136" s="278"/>
      <c r="C136" s="32" t="s">
        <v>164</v>
      </c>
      <c r="D136" s="204" t="s">
        <v>137</v>
      </c>
      <c r="E136" s="2">
        <v>2</v>
      </c>
      <c r="F136" s="201">
        <v>2000</v>
      </c>
    </row>
    <row r="137" spans="2:6" ht="15" customHeight="1" x14ac:dyDescent="0.25">
      <c r="B137" s="278"/>
      <c r="C137" s="32" t="s">
        <v>164</v>
      </c>
      <c r="D137" s="204" t="s">
        <v>137</v>
      </c>
      <c r="E137" s="2">
        <v>3</v>
      </c>
      <c r="F137" s="201">
        <v>3000</v>
      </c>
    </row>
    <row r="138" spans="2:6" ht="15" customHeight="1" x14ac:dyDescent="0.25">
      <c r="B138" s="278"/>
      <c r="C138" s="32" t="s">
        <v>164</v>
      </c>
      <c r="D138" s="204" t="s">
        <v>231</v>
      </c>
      <c r="E138" s="2">
        <v>4</v>
      </c>
      <c r="F138" s="201">
        <v>4000</v>
      </c>
    </row>
    <row r="139" spans="2:6" ht="15" customHeight="1" x14ac:dyDescent="0.25">
      <c r="B139" s="278"/>
      <c r="C139" s="32" t="s">
        <v>164</v>
      </c>
      <c r="D139" s="204" t="s">
        <v>137</v>
      </c>
      <c r="E139" s="2">
        <v>6</v>
      </c>
      <c r="F139" s="201">
        <v>4300</v>
      </c>
    </row>
    <row r="140" spans="2:6" ht="15" customHeight="1" x14ac:dyDescent="0.25">
      <c r="B140" s="278"/>
      <c r="C140" s="32" t="s">
        <v>164</v>
      </c>
      <c r="D140" s="204" t="s">
        <v>137</v>
      </c>
      <c r="E140" s="2">
        <v>9</v>
      </c>
      <c r="F140" s="201">
        <v>4300</v>
      </c>
    </row>
    <row r="141" spans="2:6" ht="15" customHeight="1" x14ac:dyDescent="0.25">
      <c r="B141" s="278"/>
      <c r="C141" s="32" t="s">
        <v>164</v>
      </c>
      <c r="D141" s="204" t="s">
        <v>137</v>
      </c>
      <c r="E141" s="2">
        <v>12</v>
      </c>
      <c r="F141" s="201">
        <v>5000</v>
      </c>
    </row>
    <row r="142" spans="2:6" ht="15" customHeight="1" x14ac:dyDescent="0.25">
      <c r="B142" s="278"/>
      <c r="C142" s="32" t="s">
        <v>164</v>
      </c>
      <c r="D142" s="204" t="s">
        <v>137</v>
      </c>
      <c r="E142" s="2">
        <v>16</v>
      </c>
      <c r="F142" s="201">
        <v>8000</v>
      </c>
    </row>
    <row r="143" spans="2:6" ht="15" customHeight="1" x14ac:dyDescent="0.25">
      <c r="B143" s="278"/>
      <c r="C143" s="7" t="s">
        <v>170</v>
      </c>
      <c r="D143" s="266" t="s">
        <v>211</v>
      </c>
      <c r="E143" s="2">
        <v>0.25</v>
      </c>
      <c r="F143" s="201">
        <f>+F132+$F$51</f>
        <v>1900</v>
      </c>
    </row>
    <row r="144" spans="2:6" ht="15" customHeight="1" x14ac:dyDescent="0.25">
      <c r="B144" s="278"/>
      <c r="C144" s="7" t="s">
        <v>170</v>
      </c>
      <c r="D144" s="267"/>
      <c r="E144" s="2">
        <v>0.5</v>
      </c>
      <c r="F144" s="201">
        <f t="shared" ref="F144:F153" si="3">+F133+$F$51</f>
        <v>1900</v>
      </c>
    </row>
    <row r="145" spans="2:6" ht="15" customHeight="1" x14ac:dyDescent="0.25">
      <c r="B145" s="278"/>
      <c r="C145" s="7" t="s">
        <v>170</v>
      </c>
      <c r="D145" s="267"/>
      <c r="E145" s="2">
        <v>1</v>
      </c>
      <c r="F145" s="201">
        <f t="shared" si="3"/>
        <v>2150</v>
      </c>
    </row>
    <row r="146" spans="2:6" ht="15" customHeight="1" x14ac:dyDescent="0.25">
      <c r="B146" s="278"/>
      <c r="C146" s="7" t="s">
        <v>170</v>
      </c>
      <c r="D146" s="267"/>
      <c r="E146" s="2">
        <v>1.5</v>
      </c>
      <c r="F146" s="201">
        <f>+F135+$F$51</f>
        <v>2400</v>
      </c>
    </row>
    <row r="147" spans="2:6" ht="15" customHeight="1" x14ac:dyDescent="0.25">
      <c r="B147" s="278"/>
      <c r="C147" s="7" t="s">
        <v>170</v>
      </c>
      <c r="D147" s="267"/>
      <c r="E147" s="2">
        <v>2</v>
      </c>
      <c r="F147" s="201">
        <f t="shared" si="3"/>
        <v>3400</v>
      </c>
    </row>
    <row r="148" spans="2:6" ht="15" customHeight="1" x14ac:dyDescent="0.25">
      <c r="B148" s="278"/>
      <c r="C148" s="7" t="s">
        <v>170</v>
      </c>
      <c r="D148" s="267"/>
      <c r="E148" s="2">
        <v>3</v>
      </c>
      <c r="F148" s="201">
        <f t="shared" si="3"/>
        <v>4400</v>
      </c>
    </row>
    <row r="149" spans="2:6" ht="15" customHeight="1" x14ac:dyDescent="0.25">
      <c r="B149" s="278"/>
      <c r="C149" s="7" t="s">
        <v>170</v>
      </c>
      <c r="D149" s="267"/>
      <c r="E149" s="2">
        <v>4</v>
      </c>
      <c r="F149" s="201">
        <f>+F138+$F$51</f>
        <v>5400</v>
      </c>
    </row>
    <row r="150" spans="2:6" ht="15" customHeight="1" x14ac:dyDescent="0.25">
      <c r="B150" s="278"/>
      <c r="C150" s="7" t="s">
        <v>170</v>
      </c>
      <c r="D150" s="267"/>
      <c r="E150" s="2">
        <v>6</v>
      </c>
      <c r="F150" s="201">
        <f t="shared" si="3"/>
        <v>5700</v>
      </c>
    </row>
    <row r="151" spans="2:6" ht="15" customHeight="1" x14ac:dyDescent="0.25">
      <c r="B151" s="278"/>
      <c r="C151" s="7" t="s">
        <v>170</v>
      </c>
      <c r="D151" s="267"/>
      <c r="E151" s="2">
        <v>9</v>
      </c>
      <c r="F151" s="201">
        <f t="shared" si="3"/>
        <v>5700</v>
      </c>
    </row>
    <row r="152" spans="2:6" ht="13.5" customHeight="1" x14ac:dyDescent="0.25">
      <c r="B152" s="278"/>
      <c r="C152" s="7" t="s">
        <v>170</v>
      </c>
      <c r="D152" s="267"/>
      <c r="E152" s="2">
        <v>12</v>
      </c>
      <c r="F152" s="201">
        <f>+F141+$F$51</f>
        <v>6400</v>
      </c>
    </row>
    <row r="153" spans="2:6" ht="15.75" thickBot="1" x14ac:dyDescent="0.3">
      <c r="B153" s="279"/>
      <c r="C153" s="25" t="s">
        <v>170</v>
      </c>
      <c r="D153" s="272"/>
      <c r="E153" s="202">
        <v>16</v>
      </c>
      <c r="F153" s="203">
        <f t="shared" si="3"/>
        <v>9400</v>
      </c>
    </row>
    <row r="154" spans="2:6" x14ac:dyDescent="0.25">
      <c r="B154" s="275" t="s">
        <v>146</v>
      </c>
      <c r="C154" s="154">
        <v>3</v>
      </c>
      <c r="D154" s="205"/>
      <c r="E154" s="154"/>
      <c r="F154" s="200">
        <v>2000</v>
      </c>
    </row>
    <row r="155" spans="2:6" ht="15.75" thickBot="1" x14ac:dyDescent="0.3">
      <c r="B155" s="276"/>
      <c r="C155" s="173">
        <v>10</v>
      </c>
      <c r="D155" s="173" t="s">
        <v>148</v>
      </c>
      <c r="E155" s="173"/>
      <c r="F155" s="206">
        <v>0</v>
      </c>
    </row>
    <row r="156" spans="2:6" x14ac:dyDescent="0.25">
      <c r="B156" s="283" t="s">
        <v>25</v>
      </c>
      <c r="C156" s="26" t="s">
        <v>157</v>
      </c>
      <c r="D156" s="168" t="s">
        <v>43</v>
      </c>
      <c r="E156" s="2">
        <v>0.25</v>
      </c>
      <c r="F156" s="193">
        <v>0</v>
      </c>
    </row>
    <row r="157" spans="2:6" x14ac:dyDescent="0.25">
      <c r="B157" s="284"/>
      <c r="C157" s="26" t="s">
        <v>157</v>
      </c>
      <c r="D157" s="168" t="s">
        <v>43</v>
      </c>
      <c r="E157" s="2">
        <v>0.5</v>
      </c>
      <c r="F157" s="193">
        <v>0</v>
      </c>
    </row>
    <row r="158" spans="2:6" x14ac:dyDescent="0.25">
      <c r="B158" s="284"/>
      <c r="C158" s="26" t="s">
        <v>157</v>
      </c>
      <c r="D158" s="168"/>
      <c r="E158" s="2">
        <v>1</v>
      </c>
      <c r="F158" s="193">
        <v>0</v>
      </c>
    </row>
    <row r="159" spans="2:6" x14ac:dyDescent="0.25">
      <c r="B159" s="284"/>
      <c r="C159" s="26" t="s">
        <v>157</v>
      </c>
      <c r="D159" s="168"/>
      <c r="E159" s="2">
        <v>1.5</v>
      </c>
      <c r="F159" s="193">
        <v>0</v>
      </c>
    </row>
    <row r="160" spans="2:6" x14ac:dyDescent="0.25">
      <c r="B160" s="284"/>
      <c r="C160" s="26" t="s">
        <v>157</v>
      </c>
      <c r="D160" s="168"/>
      <c r="E160" s="2">
        <v>2</v>
      </c>
      <c r="F160" s="193">
        <v>0</v>
      </c>
    </row>
    <row r="161" spans="2:6" x14ac:dyDescent="0.25">
      <c r="B161" s="284"/>
      <c r="C161" s="26" t="s">
        <v>157</v>
      </c>
      <c r="D161" s="168" t="s">
        <v>43</v>
      </c>
      <c r="E161" s="2">
        <v>3</v>
      </c>
      <c r="F161" s="193">
        <v>0</v>
      </c>
    </row>
    <row r="162" spans="2:6" x14ac:dyDescent="0.25">
      <c r="B162" s="284"/>
      <c r="C162" s="26" t="s">
        <v>157</v>
      </c>
      <c r="D162" s="168" t="s">
        <v>43</v>
      </c>
      <c r="E162" s="2">
        <v>4</v>
      </c>
      <c r="F162" s="193">
        <v>0</v>
      </c>
    </row>
    <row r="163" spans="2:6" x14ac:dyDescent="0.25">
      <c r="B163" s="284"/>
      <c r="C163" s="26" t="s">
        <v>157</v>
      </c>
      <c r="D163" s="168" t="s">
        <v>43</v>
      </c>
      <c r="E163" s="2">
        <v>6</v>
      </c>
      <c r="F163" s="193">
        <v>0</v>
      </c>
    </row>
    <row r="164" spans="2:6" x14ac:dyDescent="0.25">
      <c r="B164" s="284"/>
      <c r="C164" s="26" t="s">
        <v>157</v>
      </c>
      <c r="D164" s="168" t="s">
        <v>43</v>
      </c>
      <c r="E164" s="2">
        <v>9</v>
      </c>
      <c r="F164" s="193">
        <v>0</v>
      </c>
    </row>
    <row r="165" spans="2:6" x14ac:dyDescent="0.25">
      <c r="B165" s="284"/>
      <c r="C165" s="26" t="s">
        <v>157</v>
      </c>
      <c r="D165" s="168" t="s">
        <v>43</v>
      </c>
      <c r="E165" s="2">
        <v>12</v>
      </c>
      <c r="F165" s="193">
        <v>0</v>
      </c>
    </row>
    <row r="166" spans="2:6" x14ac:dyDescent="0.25">
      <c r="B166" s="284"/>
      <c r="C166" s="26" t="s">
        <v>157</v>
      </c>
      <c r="D166" s="168" t="s">
        <v>43</v>
      </c>
      <c r="E166" s="2">
        <v>16</v>
      </c>
      <c r="F166" s="193">
        <v>0</v>
      </c>
    </row>
    <row r="167" spans="2:6" x14ac:dyDescent="0.25">
      <c r="B167" s="284"/>
      <c r="C167" s="7" t="s">
        <v>159</v>
      </c>
      <c r="D167" s="266" t="s">
        <v>61</v>
      </c>
      <c r="E167" s="2">
        <v>0.25</v>
      </c>
      <c r="F167" s="193">
        <v>200</v>
      </c>
    </row>
    <row r="168" spans="2:6" x14ac:dyDescent="0.25">
      <c r="B168" s="284"/>
      <c r="C168" s="7" t="s">
        <v>159</v>
      </c>
      <c r="D168" s="267"/>
      <c r="E168" s="2">
        <v>0.5</v>
      </c>
      <c r="F168" s="193">
        <v>500</v>
      </c>
    </row>
    <row r="169" spans="2:6" x14ac:dyDescent="0.25">
      <c r="B169" s="284"/>
      <c r="C169" s="7" t="s">
        <v>159</v>
      </c>
      <c r="D169" s="267"/>
      <c r="E169" s="2">
        <v>1</v>
      </c>
      <c r="F169" s="193">
        <v>1000</v>
      </c>
    </row>
    <row r="170" spans="2:6" x14ac:dyDescent="0.25">
      <c r="B170" s="284"/>
      <c r="C170" s="7" t="s">
        <v>159</v>
      </c>
      <c r="D170" s="267"/>
      <c r="E170" s="2">
        <v>1.5</v>
      </c>
      <c r="F170" s="193">
        <v>1000</v>
      </c>
    </row>
    <row r="171" spans="2:6" x14ac:dyDescent="0.25">
      <c r="B171" s="284"/>
      <c r="C171" s="7" t="s">
        <v>159</v>
      </c>
      <c r="D171" s="267"/>
      <c r="E171" s="2">
        <v>2</v>
      </c>
      <c r="F171" s="193">
        <v>1000</v>
      </c>
    </row>
    <row r="172" spans="2:6" x14ac:dyDescent="0.25">
      <c r="B172" s="284"/>
      <c r="C172" s="7" t="s">
        <v>159</v>
      </c>
      <c r="D172" s="267"/>
      <c r="E172" s="2">
        <v>3</v>
      </c>
      <c r="F172" s="193">
        <v>1500</v>
      </c>
    </row>
    <row r="173" spans="2:6" x14ac:dyDescent="0.25">
      <c r="B173" s="284"/>
      <c r="C173" s="7" t="s">
        <v>159</v>
      </c>
      <c r="D173" s="267"/>
      <c r="E173" s="2">
        <v>4</v>
      </c>
      <c r="F173" s="193">
        <v>1500</v>
      </c>
    </row>
    <row r="174" spans="2:6" x14ac:dyDescent="0.25">
      <c r="B174" s="284"/>
      <c r="C174" s="7" t="s">
        <v>159</v>
      </c>
      <c r="D174" s="267"/>
      <c r="E174" s="2">
        <v>6</v>
      </c>
      <c r="F174" s="193">
        <v>1500</v>
      </c>
    </row>
    <row r="175" spans="2:6" x14ac:dyDescent="0.25">
      <c r="B175" s="284"/>
      <c r="C175" s="7" t="s">
        <v>159</v>
      </c>
      <c r="D175" s="267"/>
      <c r="E175" s="2">
        <v>9</v>
      </c>
      <c r="F175" s="193">
        <v>2000</v>
      </c>
    </row>
    <row r="176" spans="2:6" x14ac:dyDescent="0.25">
      <c r="B176" s="284"/>
      <c r="C176" s="7" t="s">
        <v>159</v>
      </c>
      <c r="D176" s="267"/>
      <c r="E176" s="2">
        <v>12</v>
      </c>
      <c r="F176" s="193">
        <v>2000</v>
      </c>
    </row>
    <row r="177" spans="2:6" x14ac:dyDescent="0.25">
      <c r="B177" s="284"/>
      <c r="C177" s="7" t="s">
        <v>159</v>
      </c>
      <c r="D177" s="268"/>
      <c r="E177" s="2">
        <v>16</v>
      </c>
      <c r="F177" s="193">
        <v>2500</v>
      </c>
    </row>
    <row r="178" spans="2:6" x14ac:dyDescent="0.25">
      <c r="B178" s="284"/>
      <c r="C178" s="7" t="s">
        <v>160</v>
      </c>
      <c r="D178" s="266" t="s">
        <v>57</v>
      </c>
      <c r="E178" s="2">
        <v>0.25</v>
      </c>
      <c r="F178" s="193">
        <v>500</v>
      </c>
    </row>
    <row r="179" spans="2:6" x14ac:dyDescent="0.25">
      <c r="B179" s="284"/>
      <c r="C179" s="7" t="s">
        <v>160</v>
      </c>
      <c r="D179" s="267"/>
      <c r="E179" s="2">
        <v>0.5</v>
      </c>
      <c r="F179" s="193">
        <v>500</v>
      </c>
    </row>
    <row r="180" spans="2:6" x14ac:dyDescent="0.25">
      <c r="B180" s="284"/>
      <c r="C180" s="7" t="s">
        <v>160</v>
      </c>
      <c r="D180" s="267"/>
      <c r="E180" s="2">
        <v>1</v>
      </c>
      <c r="F180" s="193">
        <v>500</v>
      </c>
    </row>
    <row r="181" spans="2:6" x14ac:dyDescent="0.25">
      <c r="B181" s="284"/>
      <c r="C181" s="7" t="s">
        <v>160</v>
      </c>
      <c r="D181" s="267"/>
      <c r="E181" s="2">
        <v>1.5</v>
      </c>
      <c r="F181" s="193">
        <v>500</v>
      </c>
    </row>
    <row r="182" spans="2:6" x14ac:dyDescent="0.25">
      <c r="B182" s="284"/>
      <c r="C182" s="7" t="s">
        <v>160</v>
      </c>
      <c r="D182" s="267"/>
      <c r="E182" s="2">
        <v>2</v>
      </c>
      <c r="F182" s="193">
        <v>1000</v>
      </c>
    </row>
    <row r="183" spans="2:6" x14ac:dyDescent="0.25">
      <c r="B183" s="284"/>
      <c r="C183" s="7" t="s">
        <v>160</v>
      </c>
      <c r="D183" s="267"/>
      <c r="E183" s="2">
        <v>3</v>
      </c>
      <c r="F183" s="193">
        <v>1000</v>
      </c>
    </row>
    <row r="184" spans="2:6" x14ac:dyDescent="0.25">
      <c r="B184" s="284"/>
      <c r="C184" s="7" t="s">
        <v>160</v>
      </c>
      <c r="D184" s="267"/>
      <c r="E184" s="2">
        <v>4</v>
      </c>
      <c r="F184" s="193">
        <v>1000</v>
      </c>
    </row>
    <row r="185" spans="2:6" x14ac:dyDescent="0.25">
      <c r="B185" s="284"/>
      <c r="C185" s="7" t="s">
        <v>160</v>
      </c>
      <c r="D185" s="267"/>
      <c r="E185" s="2">
        <v>6</v>
      </c>
      <c r="F185" s="193">
        <v>1500</v>
      </c>
    </row>
    <row r="186" spans="2:6" x14ac:dyDescent="0.25">
      <c r="B186" s="284"/>
      <c r="C186" s="7" t="s">
        <v>160</v>
      </c>
      <c r="D186" s="267"/>
      <c r="E186" s="2">
        <v>9</v>
      </c>
      <c r="F186" s="193">
        <v>2000</v>
      </c>
    </row>
    <row r="187" spans="2:6" x14ac:dyDescent="0.25">
      <c r="B187" s="284"/>
      <c r="C187" s="7" t="s">
        <v>160</v>
      </c>
      <c r="D187" s="267"/>
      <c r="E187" s="2">
        <v>12</v>
      </c>
      <c r="F187" s="193">
        <v>2500</v>
      </c>
    </row>
    <row r="188" spans="2:6" ht="15.75" thickBot="1" x14ac:dyDescent="0.3">
      <c r="B188" s="284"/>
      <c r="C188" s="25" t="s">
        <v>160</v>
      </c>
      <c r="D188" s="272"/>
      <c r="E188" s="2">
        <v>16</v>
      </c>
      <c r="F188" s="207">
        <v>3000</v>
      </c>
    </row>
    <row r="189" spans="2:6" ht="15" customHeight="1" x14ac:dyDescent="0.25">
      <c r="B189" s="263" t="s">
        <v>59</v>
      </c>
      <c r="C189" s="20" t="s">
        <v>157</v>
      </c>
      <c r="D189" s="269" t="s">
        <v>60</v>
      </c>
      <c r="E189" s="2">
        <v>0.25</v>
      </c>
      <c r="F189" s="200">
        <v>0</v>
      </c>
    </row>
    <row r="190" spans="2:6" x14ac:dyDescent="0.25">
      <c r="B190" s="264"/>
      <c r="C190" s="26" t="s">
        <v>157</v>
      </c>
      <c r="D190" s="270"/>
      <c r="E190" s="2">
        <v>0.5</v>
      </c>
      <c r="F190" s="201">
        <v>0</v>
      </c>
    </row>
    <row r="191" spans="2:6" x14ac:dyDescent="0.25">
      <c r="B191" s="264"/>
      <c r="C191" s="26" t="s">
        <v>256</v>
      </c>
      <c r="D191" s="270"/>
      <c r="E191" s="2">
        <v>1</v>
      </c>
      <c r="F191" s="201">
        <v>0</v>
      </c>
    </row>
    <row r="192" spans="2:6" x14ac:dyDescent="0.25">
      <c r="B192" s="264"/>
      <c r="C192" s="26" t="s">
        <v>257</v>
      </c>
      <c r="D192" s="270"/>
      <c r="E192" s="2">
        <v>1.5</v>
      </c>
      <c r="F192" s="201">
        <v>0</v>
      </c>
    </row>
    <row r="193" spans="2:6" x14ac:dyDescent="0.25">
      <c r="B193" s="264"/>
      <c r="C193" s="26" t="s">
        <v>258</v>
      </c>
      <c r="D193" s="270"/>
      <c r="E193" s="2">
        <v>2</v>
      </c>
      <c r="F193" s="201">
        <v>0</v>
      </c>
    </row>
    <row r="194" spans="2:6" x14ac:dyDescent="0.25">
      <c r="B194" s="264"/>
      <c r="C194" s="26" t="s">
        <v>158</v>
      </c>
      <c r="D194" s="270"/>
      <c r="E194" s="2">
        <v>3</v>
      </c>
      <c r="F194" s="201">
        <v>0</v>
      </c>
    </row>
    <row r="195" spans="2:6" x14ac:dyDescent="0.25">
      <c r="B195" s="264"/>
      <c r="C195" s="26" t="s">
        <v>157</v>
      </c>
      <c r="D195" s="270"/>
      <c r="E195" s="2">
        <v>4</v>
      </c>
      <c r="F195" s="201">
        <v>0</v>
      </c>
    </row>
    <row r="196" spans="2:6" x14ac:dyDescent="0.25">
      <c r="B196" s="264"/>
      <c r="C196" s="26" t="s">
        <v>157</v>
      </c>
      <c r="D196" s="270"/>
      <c r="E196" s="2">
        <v>6</v>
      </c>
      <c r="F196" s="201">
        <v>0</v>
      </c>
    </row>
    <row r="197" spans="2:6" x14ac:dyDescent="0.25">
      <c r="B197" s="264"/>
      <c r="C197" s="26" t="s">
        <v>157</v>
      </c>
      <c r="D197" s="270"/>
      <c r="E197" s="2">
        <v>9</v>
      </c>
      <c r="F197" s="201">
        <v>0</v>
      </c>
    </row>
    <row r="198" spans="2:6" x14ac:dyDescent="0.25">
      <c r="B198" s="264"/>
      <c r="C198" s="26" t="s">
        <v>157</v>
      </c>
      <c r="D198" s="270"/>
      <c r="E198" s="2">
        <v>12</v>
      </c>
      <c r="F198" s="201">
        <v>0</v>
      </c>
    </row>
    <row r="199" spans="2:6" x14ac:dyDescent="0.25">
      <c r="B199" s="264"/>
      <c r="C199" s="26" t="s">
        <v>157</v>
      </c>
      <c r="D199" s="271"/>
      <c r="E199" s="2">
        <v>16</v>
      </c>
      <c r="F199" s="201">
        <v>0</v>
      </c>
    </row>
    <row r="200" spans="2:6" x14ac:dyDescent="0.25">
      <c r="B200" s="264"/>
      <c r="C200" s="7" t="s">
        <v>159</v>
      </c>
      <c r="D200" s="266" t="s">
        <v>61</v>
      </c>
      <c r="E200" s="2">
        <v>0.25</v>
      </c>
      <c r="F200" s="201">
        <v>200</v>
      </c>
    </row>
    <row r="201" spans="2:6" x14ac:dyDescent="0.25">
      <c r="B201" s="264"/>
      <c r="C201" s="7" t="s">
        <v>159</v>
      </c>
      <c r="D201" s="267"/>
      <c r="E201" s="2">
        <v>0.5</v>
      </c>
      <c r="F201" s="201">
        <v>500</v>
      </c>
    </row>
    <row r="202" spans="2:6" x14ac:dyDescent="0.25">
      <c r="B202" s="264"/>
      <c r="C202" s="7" t="s">
        <v>159</v>
      </c>
      <c r="D202" s="267"/>
      <c r="E202" s="2">
        <v>1</v>
      </c>
      <c r="F202" s="201">
        <v>1000</v>
      </c>
    </row>
    <row r="203" spans="2:6" x14ac:dyDescent="0.25">
      <c r="B203" s="264"/>
      <c r="C203" s="7" t="s">
        <v>159</v>
      </c>
      <c r="D203" s="267"/>
      <c r="E203" s="2">
        <v>1.5</v>
      </c>
      <c r="F203" s="201">
        <v>1000</v>
      </c>
    </row>
    <row r="204" spans="2:6" x14ac:dyDescent="0.25">
      <c r="B204" s="264"/>
      <c r="C204" s="7" t="s">
        <v>159</v>
      </c>
      <c r="D204" s="267"/>
      <c r="E204" s="2">
        <v>2</v>
      </c>
      <c r="F204" s="201">
        <v>1500</v>
      </c>
    </row>
    <row r="205" spans="2:6" x14ac:dyDescent="0.25">
      <c r="B205" s="264"/>
      <c r="C205" s="7" t="s">
        <v>159</v>
      </c>
      <c r="D205" s="267"/>
      <c r="E205" s="2">
        <v>3</v>
      </c>
      <c r="F205" s="201">
        <v>1500</v>
      </c>
    </row>
    <row r="206" spans="2:6" x14ac:dyDescent="0.25">
      <c r="B206" s="264"/>
      <c r="C206" s="7" t="s">
        <v>159</v>
      </c>
      <c r="D206" s="267"/>
      <c r="E206" s="2">
        <v>4</v>
      </c>
      <c r="F206" s="201">
        <v>1500</v>
      </c>
    </row>
    <row r="207" spans="2:6" x14ac:dyDescent="0.25">
      <c r="B207" s="264"/>
      <c r="C207" s="7" t="s">
        <v>159</v>
      </c>
      <c r="D207" s="267"/>
      <c r="E207" s="2">
        <v>6</v>
      </c>
      <c r="F207" s="201">
        <v>1500</v>
      </c>
    </row>
    <row r="208" spans="2:6" x14ac:dyDescent="0.25">
      <c r="B208" s="264"/>
      <c r="C208" s="7" t="s">
        <v>159</v>
      </c>
      <c r="D208" s="267"/>
      <c r="E208" s="2">
        <v>9</v>
      </c>
      <c r="F208" s="201">
        <v>2000</v>
      </c>
    </row>
    <row r="209" spans="2:6" x14ac:dyDescent="0.25">
      <c r="B209" s="264"/>
      <c r="C209" s="7" t="s">
        <v>159</v>
      </c>
      <c r="D209" s="267"/>
      <c r="E209" s="2">
        <v>12</v>
      </c>
      <c r="F209" s="201">
        <v>2500</v>
      </c>
    </row>
    <row r="210" spans="2:6" x14ac:dyDescent="0.25">
      <c r="B210" s="264"/>
      <c r="C210" s="7" t="s">
        <v>159</v>
      </c>
      <c r="D210" s="268"/>
      <c r="E210" s="2">
        <v>16</v>
      </c>
      <c r="F210" s="201">
        <v>3000</v>
      </c>
    </row>
    <row r="211" spans="2:6" ht="15" customHeight="1" x14ac:dyDescent="0.25">
      <c r="B211" s="264"/>
      <c r="C211" s="7" t="s">
        <v>160</v>
      </c>
      <c r="D211" s="266" t="s">
        <v>221</v>
      </c>
      <c r="E211" s="2">
        <v>0.25</v>
      </c>
      <c r="F211" s="201">
        <v>500</v>
      </c>
    </row>
    <row r="212" spans="2:6" x14ac:dyDescent="0.25">
      <c r="B212" s="264"/>
      <c r="C212" s="7" t="s">
        <v>160</v>
      </c>
      <c r="D212" s="267"/>
      <c r="E212" s="2">
        <v>0.5</v>
      </c>
      <c r="F212" s="201">
        <v>1000</v>
      </c>
    </row>
    <row r="213" spans="2:6" x14ac:dyDescent="0.25">
      <c r="B213" s="264"/>
      <c r="C213" s="7" t="s">
        <v>160</v>
      </c>
      <c r="D213" s="267"/>
      <c r="E213" s="2">
        <v>1</v>
      </c>
      <c r="F213" s="201">
        <v>1000</v>
      </c>
    </row>
    <row r="214" spans="2:6" x14ac:dyDescent="0.25">
      <c r="B214" s="264"/>
      <c r="C214" s="7" t="s">
        <v>160</v>
      </c>
      <c r="D214" s="267"/>
      <c r="E214" s="2">
        <v>1.5</v>
      </c>
      <c r="F214" s="201">
        <v>1000</v>
      </c>
    </row>
    <row r="215" spans="2:6" x14ac:dyDescent="0.25">
      <c r="B215" s="264"/>
      <c r="C215" s="7" t="s">
        <v>160</v>
      </c>
      <c r="D215" s="267"/>
      <c r="E215" s="2">
        <v>2</v>
      </c>
      <c r="F215" s="201">
        <v>1000</v>
      </c>
    </row>
    <row r="216" spans="2:6" x14ac:dyDescent="0.25">
      <c r="B216" s="264"/>
      <c r="C216" s="7" t="s">
        <v>160</v>
      </c>
      <c r="D216" s="267"/>
      <c r="E216" s="2">
        <v>3</v>
      </c>
      <c r="F216" s="201">
        <v>1000</v>
      </c>
    </row>
    <row r="217" spans="2:6" x14ac:dyDescent="0.25">
      <c r="B217" s="264"/>
      <c r="C217" s="7" t="s">
        <v>160</v>
      </c>
      <c r="D217" s="267"/>
      <c r="E217" s="2">
        <v>4</v>
      </c>
      <c r="F217" s="201">
        <v>1000</v>
      </c>
    </row>
    <row r="218" spans="2:6" x14ac:dyDescent="0.25">
      <c r="B218" s="264"/>
      <c r="C218" s="7" t="s">
        <v>160</v>
      </c>
      <c r="D218" s="267"/>
      <c r="E218" s="2">
        <v>6</v>
      </c>
      <c r="F218" s="201">
        <v>1500</v>
      </c>
    </row>
    <row r="219" spans="2:6" x14ac:dyDescent="0.25">
      <c r="B219" s="264"/>
      <c r="C219" s="7" t="s">
        <v>160</v>
      </c>
      <c r="D219" s="267"/>
      <c r="E219" s="2">
        <v>9</v>
      </c>
      <c r="F219" s="201">
        <v>2000</v>
      </c>
    </row>
    <row r="220" spans="2:6" x14ac:dyDescent="0.25">
      <c r="B220" s="264"/>
      <c r="C220" s="7" t="s">
        <v>160</v>
      </c>
      <c r="D220" s="267"/>
      <c r="E220" s="2">
        <v>12</v>
      </c>
      <c r="F220" s="201">
        <v>2500</v>
      </c>
    </row>
    <row r="221" spans="2:6" ht="15.75" thickBot="1" x14ac:dyDescent="0.3">
      <c r="B221" s="265"/>
      <c r="C221" s="15" t="s">
        <v>160</v>
      </c>
      <c r="D221" s="272"/>
      <c r="E221" s="2">
        <v>16</v>
      </c>
      <c r="F221" s="206">
        <v>3000</v>
      </c>
    </row>
    <row r="222" spans="2:6" ht="15" customHeight="1" x14ac:dyDescent="0.25">
      <c r="B222" s="263" t="s">
        <v>65</v>
      </c>
      <c r="C222" s="20" t="s">
        <v>161</v>
      </c>
      <c r="D222" s="269" t="s">
        <v>67</v>
      </c>
      <c r="E222" s="2">
        <v>0.25</v>
      </c>
      <c r="F222" s="200">
        <v>0</v>
      </c>
    </row>
    <row r="223" spans="2:6" x14ac:dyDescent="0.25">
      <c r="B223" s="264"/>
      <c r="C223" s="26" t="s">
        <v>161</v>
      </c>
      <c r="D223" s="270"/>
      <c r="E223" s="2">
        <v>0.5</v>
      </c>
      <c r="F223" s="201">
        <v>0</v>
      </c>
    </row>
    <row r="224" spans="2:6" x14ac:dyDescent="0.25">
      <c r="B224" s="264"/>
      <c r="C224" s="26" t="s">
        <v>161</v>
      </c>
      <c r="D224" s="270"/>
      <c r="E224" s="2">
        <v>1</v>
      </c>
      <c r="F224" s="201">
        <v>0</v>
      </c>
    </row>
    <row r="225" spans="2:6" x14ac:dyDescent="0.25">
      <c r="B225" s="264"/>
      <c r="C225" s="26" t="s">
        <v>161</v>
      </c>
      <c r="D225" s="270"/>
      <c r="E225" s="2">
        <v>1.5</v>
      </c>
      <c r="F225" s="201">
        <v>0</v>
      </c>
    </row>
    <row r="226" spans="2:6" x14ac:dyDescent="0.25">
      <c r="B226" s="264"/>
      <c r="C226" s="26" t="s">
        <v>161</v>
      </c>
      <c r="D226" s="270"/>
      <c r="E226" s="2">
        <v>2</v>
      </c>
      <c r="F226" s="201">
        <v>0</v>
      </c>
    </row>
    <row r="227" spans="2:6" x14ac:dyDescent="0.25">
      <c r="B227" s="264"/>
      <c r="C227" s="26" t="s">
        <v>161</v>
      </c>
      <c r="D227" s="270"/>
      <c r="E227" s="2">
        <v>3</v>
      </c>
      <c r="F227" s="201">
        <v>0</v>
      </c>
    </row>
    <row r="228" spans="2:6" x14ac:dyDescent="0.25">
      <c r="B228" s="264"/>
      <c r="C228" s="26" t="s">
        <v>161</v>
      </c>
      <c r="D228" s="270"/>
      <c r="E228" s="2">
        <v>4</v>
      </c>
      <c r="F228" s="201">
        <v>0</v>
      </c>
    </row>
    <row r="229" spans="2:6" x14ac:dyDescent="0.25">
      <c r="B229" s="264"/>
      <c r="C229" s="26" t="s">
        <v>161</v>
      </c>
      <c r="D229" s="270"/>
      <c r="E229" s="2">
        <v>6</v>
      </c>
      <c r="F229" s="201">
        <v>0</v>
      </c>
    </row>
    <row r="230" spans="2:6" x14ac:dyDescent="0.25">
      <c r="B230" s="264"/>
      <c r="C230" s="26" t="s">
        <v>161</v>
      </c>
      <c r="D230" s="270"/>
      <c r="E230" s="2">
        <v>9</v>
      </c>
      <c r="F230" s="201">
        <v>0</v>
      </c>
    </row>
    <row r="231" spans="2:6" x14ac:dyDescent="0.25">
      <c r="B231" s="264"/>
      <c r="C231" s="26" t="s">
        <v>161</v>
      </c>
      <c r="D231" s="270"/>
      <c r="E231" s="2">
        <v>12</v>
      </c>
      <c r="F231" s="201">
        <v>0</v>
      </c>
    </row>
    <row r="232" spans="2:6" x14ac:dyDescent="0.25">
      <c r="B232" s="264"/>
      <c r="C232" s="26" t="s">
        <v>161</v>
      </c>
      <c r="D232" s="270"/>
      <c r="E232" s="2">
        <v>16</v>
      </c>
      <c r="F232" s="201">
        <v>0</v>
      </c>
    </row>
    <row r="233" spans="2:6" ht="15" customHeight="1" x14ac:dyDescent="0.25">
      <c r="B233" s="264"/>
      <c r="C233" s="7" t="s">
        <v>162</v>
      </c>
      <c r="D233" s="267" t="s">
        <v>223</v>
      </c>
      <c r="E233" s="2">
        <v>0.25</v>
      </c>
      <c r="F233" s="201">
        <v>700</v>
      </c>
    </row>
    <row r="234" spans="2:6" x14ac:dyDescent="0.25">
      <c r="B234" s="264"/>
      <c r="C234" s="7" t="s">
        <v>162</v>
      </c>
      <c r="D234" s="267"/>
      <c r="E234" s="2">
        <v>0.5</v>
      </c>
      <c r="F234" s="201">
        <v>700</v>
      </c>
    </row>
    <row r="235" spans="2:6" x14ac:dyDescent="0.25">
      <c r="B235" s="264"/>
      <c r="C235" s="7" t="s">
        <v>162</v>
      </c>
      <c r="D235" s="267"/>
      <c r="E235" s="2">
        <v>1</v>
      </c>
      <c r="F235" s="201">
        <v>700</v>
      </c>
    </row>
    <row r="236" spans="2:6" x14ac:dyDescent="0.25">
      <c r="B236" s="264"/>
      <c r="C236" s="7" t="s">
        <v>162</v>
      </c>
      <c r="D236" s="267"/>
      <c r="E236" s="2">
        <v>1.5</v>
      </c>
      <c r="F236" s="201">
        <v>700</v>
      </c>
    </row>
    <row r="237" spans="2:6" x14ac:dyDescent="0.25">
      <c r="B237" s="264"/>
      <c r="C237" s="7" t="s">
        <v>162</v>
      </c>
      <c r="D237" s="267"/>
      <c r="E237" s="2">
        <v>2</v>
      </c>
      <c r="F237" s="201">
        <v>700</v>
      </c>
    </row>
    <row r="238" spans="2:6" x14ac:dyDescent="0.25">
      <c r="B238" s="264"/>
      <c r="C238" s="7" t="s">
        <v>162</v>
      </c>
      <c r="D238" s="267"/>
      <c r="E238" s="2">
        <v>3</v>
      </c>
      <c r="F238" s="201">
        <v>700</v>
      </c>
    </row>
    <row r="239" spans="2:6" x14ac:dyDescent="0.25">
      <c r="B239" s="264"/>
      <c r="C239" s="7" t="s">
        <v>162</v>
      </c>
      <c r="D239" s="267"/>
      <c r="E239" s="2">
        <v>4</v>
      </c>
      <c r="F239" s="201">
        <v>700</v>
      </c>
    </row>
    <row r="240" spans="2:6" x14ac:dyDescent="0.25">
      <c r="B240" s="264"/>
      <c r="C240" s="7" t="s">
        <v>162</v>
      </c>
      <c r="D240" s="267"/>
      <c r="E240" s="2">
        <v>6</v>
      </c>
      <c r="F240" s="201">
        <v>700</v>
      </c>
    </row>
    <row r="241" spans="2:6" x14ac:dyDescent="0.25">
      <c r="B241" s="264"/>
      <c r="C241" s="7" t="s">
        <v>162</v>
      </c>
      <c r="D241" s="267"/>
      <c r="E241" s="2">
        <v>9</v>
      </c>
      <c r="F241" s="201">
        <v>700</v>
      </c>
    </row>
    <row r="242" spans="2:6" x14ac:dyDescent="0.25">
      <c r="B242" s="264"/>
      <c r="C242" s="7" t="s">
        <v>162</v>
      </c>
      <c r="D242" s="267"/>
      <c r="E242" s="2">
        <v>12</v>
      </c>
      <c r="F242" s="201">
        <v>700</v>
      </c>
    </row>
    <row r="243" spans="2:6" x14ac:dyDescent="0.25">
      <c r="B243" s="264"/>
      <c r="C243" s="7" t="s">
        <v>162</v>
      </c>
      <c r="D243" s="268"/>
      <c r="E243" s="2">
        <v>16</v>
      </c>
      <c r="F243" s="201">
        <v>700</v>
      </c>
    </row>
    <row r="244" spans="2:6" ht="15" customHeight="1" x14ac:dyDescent="0.25">
      <c r="B244" s="264"/>
      <c r="C244" s="7" t="s">
        <v>163</v>
      </c>
      <c r="D244" s="266" t="s">
        <v>222</v>
      </c>
      <c r="E244" s="2">
        <v>0.25</v>
      </c>
      <c r="F244" s="201">
        <v>500</v>
      </c>
    </row>
    <row r="245" spans="2:6" x14ac:dyDescent="0.25">
      <c r="B245" s="264"/>
      <c r="C245" s="7" t="s">
        <v>163</v>
      </c>
      <c r="D245" s="267"/>
      <c r="E245" s="2">
        <v>0.5</v>
      </c>
      <c r="F245" s="201">
        <v>500</v>
      </c>
    </row>
    <row r="246" spans="2:6" x14ac:dyDescent="0.25">
      <c r="B246" s="264"/>
      <c r="C246" s="7" t="s">
        <v>163</v>
      </c>
      <c r="D246" s="267"/>
      <c r="E246" s="2">
        <v>1</v>
      </c>
      <c r="F246" s="201">
        <v>500</v>
      </c>
    </row>
    <row r="247" spans="2:6" x14ac:dyDescent="0.25">
      <c r="B247" s="264"/>
      <c r="C247" s="7" t="s">
        <v>163</v>
      </c>
      <c r="D247" s="267"/>
      <c r="E247" s="2">
        <v>1.5</v>
      </c>
      <c r="F247" s="201">
        <v>500</v>
      </c>
    </row>
    <row r="248" spans="2:6" x14ac:dyDescent="0.25">
      <c r="B248" s="264"/>
      <c r="C248" s="7" t="s">
        <v>163</v>
      </c>
      <c r="D248" s="267"/>
      <c r="E248" s="2">
        <v>2</v>
      </c>
      <c r="F248" s="201">
        <v>1000</v>
      </c>
    </row>
    <row r="249" spans="2:6" x14ac:dyDescent="0.25">
      <c r="B249" s="264"/>
      <c r="C249" s="7" t="s">
        <v>163</v>
      </c>
      <c r="D249" s="267"/>
      <c r="E249" s="2">
        <v>3</v>
      </c>
      <c r="F249" s="201">
        <v>1000</v>
      </c>
    </row>
    <row r="250" spans="2:6" x14ac:dyDescent="0.25">
      <c r="B250" s="264"/>
      <c r="C250" s="7" t="s">
        <v>163</v>
      </c>
      <c r="D250" s="267"/>
      <c r="E250" s="2">
        <v>4</v>
      </c>
      <c r="F250" s="201">
        <v>1000</v>
      </c>
    </row>
    <row r="251" spans="2:6" x14ac:dyDescent="0.25">
      <c r="B251" s="264"/>
      <c r="C251" s="7" t="s">
        <v>163</v>
      </c>
      <c r="D251" s="267"/>
      <c r="E251" s="2">
        <v>6</v>
      </c>
      <c r="F251" s="201">
        <v>1500</v>
      </c>
    </row>
    <row r="252" spans="2:6" x14ac:dyDescent="0.25">
      <c r="B252" s="264"/>
      <c r="C252" s="7" t="s">
        <v>163</v>
      </c>
      <c r="D252" s="267"/>
      <c r="E252" s="2">
        <v>9</v>
      </c>
      <c r="F252" s="201">
        <v>2000</v>
      </c>
    </row>
    <row r="253" spans="2:6" x14ac:dyDescent="0.25">
      <c r="B253" s="264"/>
      <c r="C253" s="7" t="s">
        <v>163</v>
      </c>
      <c r="D253" s="267"/>
      <c r="E253" s="2">
        <v>12</v>
      </c>
      <c r="F253" s="201">
        <v>2500</v>
      </c>
    </row>
    <row r="254" spans="2:6" ht="15.75" thickBot="1" x14ac:dyDescent="0.3">
      <c r="B254" s="264"/>
      <c r="C254" s="25" t="s">
        <v>163</v>
      </c>
      <c r="D254" s="267"/>
      <c r="E254" s="202">
        <v>16</v>
      </c>
      <c r="F254" s="203">
        <v>3000</v>
      </c>
    </row>
    <row r="255" spans="2:6" ht="15" customHeight="1" x14ac:dyDescent="0.25">
      <c r="B255" s="263" t="s">
        <v>79</v>
      </c>
      <c r="C255" s="20" t="s">
        <v>158</v>
      </c>
      <c r="D255" s="269" t="s">
        <v>81</v>
      </c>
      <c r="E255" s="154">
        <v>0.25</v>
      </c>
      <c r="F255" s="200">
        <v>0</v>
      </c>
    </row>
    <row r="256" spans="2:6" x14ac:dyDescent="0.25">
      <c r="B256" s="264"/>
      <c r="C256" s="26" t="s">
        <v>158</v>
      </c>
      <c r="D256" s="270"/>
      <c r="E256" s="2">
        <v>0.5</v>
      </c>
      <c r="F256" s="201">
        <v>0</v>
      </c>
    </row>
    <row r="257" spans="2:6" x14ac:dyDescent="0.25">
      <c r="B257" s="264"/>
      <c r="C257" s="26" t="s">
        <v>158</v>
      </c>
      <c r="D257" s="270"/>
      <c r="E257" s="2">
        <v>1</v>
      </c>
      <c r="F257" s="201">
        <v>0</v>
      </c>
    </row>
    <row r="258" spans="2:6" x14ac:dyDescent="0.25">
      <c r="B258" s="264"/>
      <c r="C258" s="26" t="s">
        <v>158</v>
      </c>
      <c r="D258" s="270"/>
      <c r="E258" s="2">
        <v>1.5</v>
      </c>
      <c r="F258" s="201">
        <v>0</v>
      </c>
    </row>
    <row r="259" spans="2:6" x14ac:dyDescent="0.25">
      <c r="B259" s="264"/>
      <c r="C259" s="26" t="s">
        <v>158</v>
      </c>
      <c r="D259" s="270"/>
      <c r="E259" s="2">
        <v>2</v>
      </c>
      <c r="F259" s="201">
        <v>0</v>
      </c>
    </row>
    <row r="260" spans="2:6" x14ac:dyDescent="0.25">
      <c r="B260" s="264"/>
      <c r="C260" s="26" t="s">
        <v>158</v>
      </c>
      <c r="D260" s="270"/>
      <c r="E260" s="2">
        <v>3</v>
      </c>
      <c r="F260" s="201">
        <v>0</v>
      </c>
    </row>
    <row r="261" spans="2:6" x14ac:dyDescent="0.25">
      <c r="B261" s="264"/>
      <c r="C261" s="26" t="s">
        <v>158</v>
      </c>
      <c r="D261" s="270"/>
      <c r="E261" s="2">
        <v>4</v>
      </c>
      <c r="F261" s="201">
        <v>0</v>
      </c>
    </row>
    <row r="262" spans="2:6" x14ac:dyDescent="0.25">
      <c r="B262" s="264"/>
      <c r="C262" s="26" t="s">
        <v>158</v>
      </c>
      <c r="D262" s="270"/>
      <c r="E262" s="2">
        <v>6</v>
      </c>
      <c r="F262" s="201">
        <v>0</v>
      </c>
    </row>
    <row r="263" spans="2:6" x14ac:dyDescent="0.25">
      <c r="B263" s="264"/>
      <c r="C263" s="26" t="s">
        <v>158</v>
      </c>
      <c r="D263" s="270"/>
      <c r="E263" s="2">
        <v>9</v>
      </c>
      <c r="F263" s="201">
        <v>0</v>
      </c>
    </row>
    <row r="264" spans="2:6" x14ac:dyDescent="0.25">
      <c r="B264" s="264"/>
      <c r="C264" s="26" t="s">
        <v>158</v>
      </c>
      <c r="D264" s="270"/>
      <c r="E264" s="2">
        <v>12</v>
      </c>
      <c r="F264" s="201">
        <v>0</v>
      </c>
    </row>
    <row r="265" spans="2:6" x14ac:dyDescent="0.25">
      <c r="B265" s="264"/>
      <c r="C265" s="26" t="s">
        <v>158</v>
      </c>
      <c r="D265" s="271"/>
      <c r="E265" s="2">
        <v>16</v>
      </c>
      <c r="F265" s="201">
        <v>0</v>
      </c>
    </row>
    <row r="266" spans="2:6" x14ac:dyDescent="0.25">
      <c r="B266" s="264"/>
      <c r="C266" s="7" t="s">
        <v>171</v>
      </c>
      <c r="D266" s="266" t="s">
        <v>83</v>
      </c>
      <c r="E266" s="2">
        <v>0.25</v>
      </c>
      <c r="F266" s="201">
        <v>200</v>
      </c>
    </row>
    <row r="267" spans="2:6" x14ac:dyDescent="0.25">
      <c r="B267" s="264"/>
      <c r="C267" s="7" t="s">
        <v>171</v>
      </c>
      <c r="D267" s="267"/>
      <c r="E267" s="2">
        <v>0.5</v>
      </c>
      <c r="F267" s="201">
        <v>250</v>
      </c>
    </row>
    <row r="268" spans="2:6" x14ac:dyDescent="0.25">
      <c r="B268" s="264"/>
      <c r="C268" s="7" t="s">
        <v>171</v>
      </c>
      <c r="D268" s="267"/>
      <c r="E268" s="2">
        <v>1</v>
      </c>
      <c r="F268" s="201">
        <v>250</v>
      </c>
    </row>
    <row r="269" spans="2:6" x14ac:dyDescent="0.25">
      <c r="B269" s="264"/>
      <c r="C269" s="7" t="s">
        <v>171</v>
      </c>
      <c r="D269" s="267"/>
      <c r="E269" s="2">
        <v>1.5</v>
      </c>
      <c r="F269" s="201">
        <v>250</v>
      </c>
    </row>
    <row r="270" spans="2:6" x14ac:dyDescent="0.25">
      <c r="B270" s="264"/>
      <c r="C270" s="7" t="s">
        <v>171</v>
      </c>
      <c r="D270" s="267"/>
      <c r="E270" s="2">
        <v>2</v>
      </c>
      <c r="F270" s="201">
        <v>500</v>
      </c>
    </row>
    <row r="271" spans="2:6" x14ac:dyDescent="0.25">
      <c r="B271" s="264"/>
      <c r="C271" s="7" t="s">
        <v>171</v>
      </c>
      <c r="D271" s="267"/>
      <c r="E271" s="2">
        <v>3</v>
      </c>
      <c r="F271" s="201">
        <v>500</v>
      </c>
    </row>
    <row r="272" spans="2:6" x14ac:dyDescent="0.25">
      <c r="B272" s="264"/>
      <c r="C272" s="7" t="s">
        <v>171</v>
      </c>
      <c r="D272" s="267"/>
      <c r="E272" s="2">
        <v>4</v>
      </c>
      <c r="F272" s="201">
        <v>1000</v>
      </c>
    </row>
    <row r="273" spans="2:6" x14ac:dyDescent="0.25">
      <c r="B273" s="264"/>
      <c r="C273" s="7" t="s">
        <v>171</v>
      </c>
      <c r="D273" s="267"/>
      <c r="E273" s="2">
        <v>6</v>
      </c>
      <c r="F273" s="201">
        <v>1500</v>
      </c>
    </row>
    <row r="274" spans="2:6" x14ac:dyDescent="0.25">
      <c r="B274" s="264"/>
      <c r="C274" s="7" t="s">
        <v>171</v>
      </c>
      <c r="D274" s="267"/>
      <c r="E274" s="2">
        <v>9</v>
      </c>
      <c r="F274" s="201">
        <v>2000</v>
      </c>
    </row>
    <row r="275" spans="2:6" x14ac:dyDescent="0.25">
      <c r="B275" s="264"/>
      <c r="C275" s="7" t="s">
        <v>171</v>
      </c>
      <c r="D275" s="267"/>
      <c r="E275" s="2">
        <v>12</v>
      </c>
      <c r="F275" s="201">
        <v>2500</v>
      </c>
    </row>
    <row r="276" spans="2:6" x14ac:dyDescent="0.25">
      <c r="B276" s="264"/>
      <c r="C276" s="7" t="s">
        <v>171</v>
      </c>
      <c r="D276" s="268"/>
      <c r="E276" s="2">
        <v>16</v>
      </c>
      <c r="F276" s="201">
        <v>3000</v>
      </c>
    </row>
    <row r="277" spans="2:6" x14ac:dyDescent="0.25">
      <c r="B277" s="264"/>
      <c r="C277" s="7" t="s">
        <v>172</v>
      </c>
      <c r="D277" s="266" t="s">
        <v>220</v>
      </c>
      <c r="E277" s="2">
        <v>0.25</v>
      </c>
      <c r="F277" s="201">
        <f>+F266+300</f>
        <v>500</v>
      </c>
    </row>
    <row r="278" spans="2:6" x14ac:dyDescent="0.25">
      <c r="B278" s="264"/>
      <c r="C278" s="7" t="s">
        <v>172</v>
      </c>
      <c r="D278" s="267"/>
      <c r="E278" s="2">
        <v>0.5</v>
      </c>
      <c r="F278" s="201">
        <f>+F267+300</f>
        <v>550</v>
      </c>
    </row>
    <row r="279" spans="2:6" x14ac:dyDescent="0.25">
      <c r="B279" s="264"/>
      <c r="C279" s="7" t="s">
        <v>172</v>
      </c>
      <c r="D279" s="267"/>
      <c r="E279" s="2">
        <v>1</v>
      </c>
      <c r="F279" s="201">
        <f t="shared" ref="F279:F287" si="4">+F268+300</f>
        <v>550</v>
      </c>
    </row>
    <row r="280" spans="2:6" x14ac:dyDescent="0.25">
      <c r="B280" s="264"/>
      <c r="C280" s="7" t="s">
        <v>172</v>
      </c>
      <c r="D280" s="267"/>
      <c r="E280" s="2">
        <v>1.5</v>
      </c>
      <c r="F280" s="201">
        <f t="shared" si="4"/>
        <v>550</v>
      </c>
    </row>
    <row r="281" spans="2:6" x14ac:dyDescent="0.25">
      <c r="B281" s="264"/>
      <c r="C281" s="7" t="s">
        <v>172</v>
      </c>
      <c r="D281" s="267"/>
      <c r="E281" s="2">
        <v>2</v>
      </c>
      <c r="F281" s="201">
        <f t="shared" si="4"/>
        <v>800</v>
      </c>
    </row>
    <row r="282" spans="2:6" x14ac:dyDescent="0.25">
      <c r="B282" s="264"/>
      <c r="C282" s="7" t="s">
        <v>172</v>
      </c>
      <c r="D282" s="267"/>
      <c r="E282" s="2">
        <v>3</v>
      </c>
      <c r="F282" s="201">
        <f t="shared" si="4"/>
        <v>800</v>
      </c>
    </row>
    <row r="283" spans="2:6" x14ac:dyDescent="0.25">
      <c r="B283" s="264"/>
      <c r="C283" s="7" t="s">
        <v>172</v>
      </c>
      <c r="D283" s="267"/>
      <c r="E283" s="2">
        <v>4</v>
      </c>
      <c r="F283" s="201">
        <f t="shared" si="4"/>
        <v>1300</v>
      </c>
    </row>
    <row r="284" spans="2:6" x14ac:dyDescent="0.25">
      <c r="B284" s="264"/>
      <c r="C284" s="7" t="s">
        <v>172</v>
      </c>
      <c r="D284" s="267"/>
      <c r="E284" s="2">
        <v>6</v>
      </c>
      <c r="F284" s="201">
        <f t="shared" si="4"/>
        <v>1800</v>
      </c>
    </row>
    <row r="285" spans="2:6" x14ac:dyDescent="0.25">
      <c r="B285" s="264"/>
      <c r="C285" s="7" t="s">
        <v>172</v>
      </c>
      <c r="D285" s="267"/>
      <c r="E285" s="2">
        <v>9</v>
      </c>
      <c r="F285" s="201">
        <f t="shared" si="4"/>
        <v>2300</v>
      </c>
    </row>
    <row r="286" spans="2:6" x14ac:dyDescent="0.25">
      <c r="B286" s="264"/>
      <c r="C286" s="7" t="s">
        <v>172</v>
      </c>
      <c r="D286" s="267"/>
      <c r="E286" s="2">
        <v>12</v>
      </c>
      <c r="F286" s="201">
        <f t="shared" si="4"/>
        <v>2800</v>
      </c>
    </row>
    <row r="287" spans="2:6" ht="15.75" thickBot="1" x14ac:dyDescent="0.3">
      <c r="B287" s="265"/>
      <c r="C287" s="15" t="s">
        <v>172</v>
      </c>
      <c r="D287" s="272"/>
      <c r="E287" s="173">
        <v>16</v>
      </c>
      <c r="F287" s="206">
        <f t="shared" si="4"/>
        <v>3300</v>
      </c>
    </row>
  </sheetData>
  <sortState xmlns:xlrd2="http://schemas.microsoft.com/office/spreadsheetml/2017/richdata2" ref="B55:K64">
    <sortCondition ref="D55:D64"/>
  </sortState>
  <mergeCells count="39">
    <mergeCell ref="B50:B54"/>
    <mergeCell ref="D200:D210"/>
    <mergeCell ref="D211:D221"/>
    <mergeCell ref="D189:D199"/>
    <mergeCell ref="D88:D98"/>
    <mergeCell ref="D77:D87"/>
    <mergeCell ref="D66:D76"/>
    <mergeCell ref="I1:J1"/>
    <mergeCell ref="B154:B155"/>
    <mergeCell ref="B121:B153"/>
    <mergeCell ref="B55:B65"/>
    <mergeCell ref="B156:B188"/>
    <mergeCell ref="B2:B12"/>
    <mergeCell ref="B14:B15"/>
    <mergeCell ref="B17:B49"/>
    <mergeCell ref="D2:D12"/>
    <mergeCell ref="D54:E54"/>
    <mergeCell ref="D167:D177"/>
    <mergeCell ref="D178:D188"/>
    <mergeCell ref="D143:D153"/>
    <mergeCell ref="D121:D131"/>
    <mergeCell ref="D110:D120"/>
    <mergeCell ref="D99:D109"/>
    <mergeCell ref="D39:D49"/>
    <mergeCell ref="D17:D38"/>
    <mergeCell ref="B255:B287"/>
    <mergeCell ref="D266:D276"/>
    <mergeCell ref="B222:B254"/>
    <mergeCell ref="D233:D243"/>
    <mergeCell ref="D244:D254"/>
    <mergeCell ref="D222:D232"/>
    <mergeCell ref="D255:D265"/>
    <mergeCell ref="D277:D287"/>
    <mergeCell ref="B189:B221"/>
    <mergeCell ref="B66:B120"/>
    <mergeCell ref="D52:E52"/>
    <mergeCell ref="D50:E50"/>
    <mergeCell ref="D51:E51"/>
    <mergeCell ref="D53:E53"/>
  </mergeCells>
  <phoneticPr fontId="3" type="noConversion"/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F132E-0226-49E7-8E1A-58959878CF69}">
  <dimension ref="A2:C34"/>
  <sheetViews>
    <sheetView showGridLines="0" workbookViewId="0">
      <selection activeCell="C32" sqref="C32"/>
    </sheetView>
  </sheetViews>
  <sheetFormatPr defaultRowHeight="12.75" x14ac:dyDescent="0.2"/>
  <cols>
    <col min="1" max="1" width="29.140625" style="70" customWidth="1"/>
    <col min="2" max="2" width="31.28515625" style="70" customWidth="1"/>
    <col min="3" max="3" width="20.28515625" style="73" customWidth="1"/>
    <col min="4" max="16384" width="9.140625" style="70"/>
  </cols>
  <sheetData>
    <row r="2" spans="1:3" ht="13.5" thickBot="1" x14ac:dyDescent="0.25"/>
    <row r="3" spans="1:3" x14ac:dyDescent="0.2">
      <c r="A3" s="304" t="s">
        <v>184</v>
      </c>
      <c r="B3" s="82" t="s">
        <v>177</v>
      </c>
      <c r="C3" s="101">
        <v>10000</v>
      </c>
    </row>
    <row r="4" spans="1:3" x14ac:dyDescent="0.2">
      <c r="A4" s="305"/>
      <c r="B4" s="71" t="s">
        <v>178</v>
      </c>
      <c r="C4" s="102">
        <v>5000</v>
      </c>
    </row>
    <row r="5" spans="1:3" ht="13.5" thickBot="1" x14ac:dyDescent="0.25">
      <c r="A5" s="306"/>
      <c r="B5" s="83" t="s">
        <v>179</v>
      </c>
      <c r="C5" s="103">
        <v>5000</v>
      </c>
    </row>
    <row r="6" spans="1:3" ht="18" customHeight="1" x14ac:dyDescent="0.2">
      <c r="A6" s="301" t="s">
        <v>180</v>
      </c>
      <c r="B6" s="81" t="s">
        <v>181</v>
      </c>
      <c r="C6" s="104">
        <f>+'MEMUK RO'!N31</f>
        <v>79075.359999999986</v>
      </c>
    </row>
    <row r="7" spans="1:3" x14ac:dyDescent="0.2">
      <c r="A7" s="302"/>
      <c r="B7" s="76" t="s">
        <v>182</v>
      </c>
      <c r="C7" s="105">
        <v>12000</v>
      </c>
    </row>
    <row r="8" spans="1:3" ht="13.5" thickBot="1" x14ac:dyDescent="0.25">
      <c r="A8" s="303"/>
      <c r="B8" s="77" t="s">
        <v>183</v>
      </c>
      <c r="C8" s="103">
        <v>5000</v>
      </c>
    </row>
    <row r="9" spans="1:3" x14ac:dyDescent="0.2">
      <c r="A9" s="78"/>
      <c r="B9" s="79" t="s">
        <v>196</v>
      </c>
      <c r="C9" s="80">
        <f>SUM(C3:C5)</f>
        <v>20000</v>
      </c>
    </row>
    <row r="10" spans="1:3" x14ac:dyDescent="0.2">
      <c r="B10" s="71" t="s">
        <v>197</v>
      </c>
      <c r="C10" s="72">
        <f>SUM(C6:C8)</f>
        <v>96075.359999999986</v>
      </c>
    </row>
    <row r="11" spans="1:3" x14ac:dyDescent="0.2">
      <c r="A11" s="78"/>
      <c r="B11" s="74" t="s">
        <v>185</v>
      </c>
      <c r="C11" s="75">
        <f>SUM(C9:C10)</f>
        <v>116075.35999999999</v>
      </c>
    </row>
    <row r="12" spans="1:3" x14ac:dyDescent="0.2">
      <c r="A12" s="84" t="s">
        <v>186</v>
      </c>
      <c r="B12" s="85" t="s">
        <v>190</v>
      </c>
      <c r="C12" s="98">
        <v>70000</v>
      </c>
    </row>
    <row r="13" spans="1:3" x14ac:dyDescent="0.2">
      <c r="A13" s="86" t="s">
        <v>187</v>
      </c>
      <c r="B13" s="85" t="s">
        <v>189</v>
      </c>
      <c r="C13" s="99">
        <v>10000</v>
      </c>
    </row>
    <row r="14" spans="1:3" x14ac:dyDescent="0.2">
      <c r="A14" s="86" t="s">
        <v>188</v>
      </c>
      <c r="B14" s="71"/>
      <c r="C14" s="72">
        <f>+C12-C13</f>
        <v>60000</v>
      </c>
    </row>
    <row r="15" spans="1:3" x14ac:dyDescent="0.2">
      <c r="A15" s="87"/>
    </row>
    <row r="16" spans="1:3" ht="25.5" x14ac:dyDescent="0.2">
      <c r="A16" s="88" t="s">
        <v>192</v>
      </c>
      <c r="B16" s="89" t="s">
        <v>193</v>
      </c>
      <c r="C16" s="100">
        <v>20000</v>
      </c>
    </row>
    <row r="17" spans="1:3" ht="38.25" customHeight="1" x14ac:dyDescent="0.2">
      <c r="A17" s="307" t="s">
        <v>194</v>
      </c>
      <c r="B17" s="295" t="s">
        <v>199</v>
      </c>
      <c r="C17" s="297">
        <v>15000</v>
      </c>
    </row>
    <row r="18" spans="1:3" x14ac:dyDescent="0.2">
      <c r="A18" s="308"/>
      <c r="B18" s="296"/>
      <c r="C18" s="298"/>
    </row>
    <row r="19" spans="1:3" x14ac:dyDescent="0.2">
      <c r="A19" s="308"/>
      <c r="B19" s="93" t="s">
        <v>195</v>
      </c>
      <c r="C19" s="91">
        <v>0.2</v>
      </c>
    </row>
    <row r="20" spans="1:3" x14ac:dyDescent="0.2">
      <c r="A20" s="86" t="s">
        <v>191</v>
      </c>
      <c r="B20" s="90"/>
      <c r="C20" s="92">
        <f>+C17*C19</f>
        <v>3000</v>
      </c>
    </row>
    <row r="21" spans="1:3" x14ac:dyDescent="0.2">
      <c r="A21" s="71" t="s">
        <v>198</v>
      </c>
      <c r="B21" s="71"/>
      <c r="C21" s="72">
        <f>+C14+C16+C20</f>
        <v>83000</v>
      </c>
    </row>
    <row r="22" spans="1:3" x14ac:dyDescent="0.2">
      <c r="A22" s="71" t="s">
        <v>200</v>
      </c>
      <c r="B22" s="71"/>
      <c r="C22" s="94">
        <f>+((C21-C11)/C11)</f>
        <v>-0.28494729630819143</v>
      </c>
    </row>
    <row r="23" spans="1:3" ht="15" x14ac:dyDescent="0.25">
      <c r="B23" s="3" t="s">
        <v>202</v>
      </c>
      <c r="C23" s="72">
        <f>+C21-C9</f>
        <v>63000</v>
      </c>
    </row>
    <row r="24" spans="1:3" ht="15" x14ac:dyDescent="0.25">
      <c r="B24" s="3" t="s">
        <v>201</v>
      </c>
      <c r="C24" s="95">
        <f>+C10/C23</f>
        <v>1.5250057142857141</v>
      </c>
    </row>
    <row r="25" spans="1:3" ht="15" x14ac:dyDescent="0.25">
      <c r="A25" s="266" t="s">
        <v>203</v>
      </c>
      <c r="B25" s="3" t="s">
        <v>204</v>
      </c>
      <c r="C25" s="72">
        <f>+C9</f>
        <v>20000</v>
      </c>
    </row>
    <row r="26" spans="1:3" ht="15" x14ac:dyDescent="0.25">
      <c r="A26" s="267"/>
      <c r="B26" s="3" t="s">
        <v>202</v>
      </c>
      <c r="C26" s="72">
        <f>+C21-C25</f>
        <v>63000</v>
      </c>
    </row>
    <row r="27" spans="1:3" ht="15" x14ac:dyDescent="0.25">
      <c r="A27" s="268"/>
      <c r="B27" s="3" t="s">
        <v>201</v>
      </c>
      <c r="C27" s="96">
        <f>+C10/C26</f>
        <v>1.5250057142857141</v>
      </c>
    </row>
    <row r="28" spans="1:3" ht="15" x14ac:dyDescent="0.25">
      <c r="A28" s="266" t="s">
        <v>205</v>
      </c>
      <c r="B28" t="s">
        <v>206</v>
      </c>
      <c r="C28" s="72">
        <f>+(C25*3)+C10</f>
        <v>156075.35999999999</v>
      </c>
    </row>
    <row r="29" spans="1:3" ht="15" x14ac:dyDescent="0.25">
      <c r="A29" s="267"/>
      <c r="B29" t="s">
        <v>207</v>
      </c>
      <c r="C29" s="72">
        <f>+C21*3</f>
        <v>249000</v>
      </c>
    </row>
    <row r="30" spans="1:3" ht="15" x14ac:dyDescent="0.25">
      <c r="A30" s="267"/>
      <c r="B30" t="s">
        <v>208</v>
      </c>
      <c r="C30" s="97">
        <f>+(C29-C28)/C28</f>
        <v>0.59538315336898806</v>
      </c>
    </row>
    <row r="31" spans="1:3" ht="15" x14ac:dyDescent="0.25">
      <c r="A31" s="299" t="s">
        <v>209</v>
      </c>
      <c r="B31" s="54" t="s">
        <v>202</v>
      </c>
      <c r="C31" s="106">
        <f>+C23</f>
        <v>63000</v>
      </c>
    </row>
    <row r="32" spans="1:3" ht="21" x14ac:dyDescent="0.35">
      <c r="A32" s="300"/>
      <c r="B32" s="54" t="s">
        <v>210</v>
      </c>
      <c r="C32" s="107">
        <f>+C10/C31</f>
        <v>1.5250057142857141</v>
      </c>
    </row>
    <row r="33" spans="1:3" x14ac:dyDescent="0.2">
      <c r="A33" s="71"/>
      <c r="B33" s="71"/>
      <c r="C33" s="72"/>
    </row>
    <row r="34" spans="1:3" x14ac:dyDescent="0.2">
      <c r="A34" s="71"/>
      <c r="B34" s="71"/>
      <c r="C34" s="72"/>
    </row>
  </sheetData>
  <mergeCells count="8">
    <mergeCell ref="A6:A8"/>
    <mergeCell ref="A3:A5"/>
    <mergeCell ref="A17:A19"/>
    <mergeCell ref="B17:B18"/>
    <mergeCell ref="C17:C18"/>
    <mergeCell ref="A25:A27"/>
    <mergeCell ref="A28:A30"/>
    <mergeCell ref="A31:A3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E0762-895E-4E10-9176-3254CBA7DDC8}">
  <dimension ref="A1:D35"/>
  <sheetViews>
    <sheetView showGridLines="0" workbookViewId="0">
      <selection activeCell="A2" sqref="A2:A6"/>
    </sheetView>
  </sheetViews>
  <sheetFormatPr defaultRowHeight="15" x14ac:dyDescent="0.25"/>
  <cols>
    <col min="1" max="1" width="26.140625" style="1" customWidth="1"/>
    <col min="2" max="2" width="13.42578125" customWidth="1"/>
    <col min="3" max="3" width="32.7109375" customWidth="1"/>
    <col min="4" max="4" width="43.140625" customWidth="1"/>
  </cols>
  <sheetData>
    <row r="1" spans="1:4" x14ac:dyDescent="0.25">
      <c r="A1" s="16" t="s">
        <v>124</v>
      </c>
      <c r="B1" s="29" t="s">
        <v>123</v>
      </c>
      <c r="C1" s="312" t="s">
        <v>122</v>
      </c>
      <c r="D1" s="312"/>
    </row>
    <row r="2" spans="1:4" x14ac:dyDescent="0.25">
      <c r="A2" s="334" t="s">
        <v>32</v>
      </c>
      <c r="B2" s="28" t="s">
        <v>33</v>
      </c>
      <c r="C2" s="268" t="s">
        <v>34</v>
      </c>
      <c r="D2" s="317"/>
    </row>
    <row r="3" spans="1:4" x14ac:dyDescent="0.25">
      <c r="A3" s="278"/>
      <c r="B3" s="4" t="s">
        <v>35</v>
      </c>
      <c r="C3" s="290" t="s">
        <v>36</v>
      </c>
      <c r="D3" s="311"/>
    </row>
    <row r="4" spans="1:4" x14ac:dyDescent="0.25">
      <c r="A4" s="278"/>
      <c r="B4" s="4" t="s">
        <v>37</v>
      </c>
      <c r="C4" s="290" t="s">
        <v>38</v>
      </c>
      <c r="D4" s="311"/>
    </row>
    <row r="5" spans="1:4" x14ac:dyDescent="0.25">
      <c r="A5" s="278"/>
      <c r="B5" s="4" t="s">
        <v>39</v>
      </c>
      <c r="C5" s="290" t="s">
        <v>40</v>
      </c>
      <c r="D5" s="311"/>
    </row>
    <row r="6" spans="1:4" ht="15.75" thickBot="1" x14ac:dyDescent="0.3">
      <c r="A6" s="286"/>
      <c r="B6" s="8" t="s">
        <v>41</v>
      </c>
      <c r="C6" s="313" t="s">
        <v>42</v>
      </c>
      <c r="D6" s="314"/>
    </row>
    <row r="7" spans="1:4" x14ac:dyDescent="0.25">
      <c r="A7" s="335" t="s">
        <v>28</v>
      </c>
      <c r="B7" s="18">
        <v>100</v>
      </c>
      <c r="C7" s="19" t="s">
        <v>43</v>
      </c>
      <c r="D7" s="17" t="s">
        <v>224</v>
      </c>
    </row>
    <row r="8" spans="1:4" x14ac:dyDescent="0.25">
      <c r="A8" s="281"/>
      <c r="B8" s="13" t="s">
        <v>47</v>
      </c>
      <c r="C8" s="6" t="s">
        <v>44</v>
      </c>
      <c r="D8" s="9" t="s">
        <v>225</v>
      </c>
    </row>
    <row r="9" spans="1:4" x14ac:dyDescent="0.25">
      <c r="A9" s="281"/>
      <c r="B9" s="13" t="s">
        <v>48</v>
      </c>
      <c r="C9" s="6" t="s">
        <v>45</v>
      </c>
      <c r="D9" s="9" t="s">
        <v>226</v>
      </c>
    </row>
    <row r="10" spans="1:4" ht="15.75" thickBot="1" x14ac:dyDescent="0.3">
      <c r="A10" s="285"/>
      <c r="B10" s="14">
        <v>300</v>
      </c>
      <c r="C10" s="10" t="s">
        <v>46</v>
      </c>
      <c r="D10" s="11" t="s">
        <v>227</v>
      </c>
    </row>
    <row r="11" spans="1:4" x14ac:dyDescent="0.25">
      <c r="A11" s="263" t="s">
        <v>50</v>
      </c>
      <c r="B11" s="20">
        <v>0</v>
      </c>
      <c r="C11" s="315" t="s">
        <v>43</v>
      </c>
      <c r="D11" s="316"/>
    </row>
    <row r="12" spans="1:4" x14ac:dyDescent="0.25">
      <c r="A12" s="264"/>
      <c r="B12" s="4" t="s">
        <v>49</v>
      </c>
      <c r="C12" s="5" t="s">
        <v>52</v>
      </c>
      <c r="D12" s="336" t="s">
        <v>54</v>
      </c>
    </row>
    <row r="13" spans="1:4" ht="15.75" thickBot="1" x14ac:dyDescent="0.3">
      <c r="A13" s="265"/>
      <c r="B13" s="8" t="s">
        <v>51</v>
      </c>
      <c r="C13" s="12" t="s">
        <v>53</v>
      </c>
      <c r="D13" s="337"/>
    </row>
    <row r="14" spans="1:4" x14ac:dyDescent="0.25">
      <c r="A14" s="277" t="s">
        <v>25</v>
      </c>
      <c r="B14" s="21">
        <v>1</v>
      </c>
      <c r="C14" s="309" t="s">
        <v>55</v>
      </c>
      <c r="D14" s="310"/>
    </row>
    <row r="15" spans="1:4" x14ac:dyDescent="0.25">
      <c r="A15" s="278"/>
      <c r="B15" s="7" t="s">
        <v>58</v>
      </c>
      <c r="C15" s="290" t="s">
        <v>56</v>
      </c>
      <c r="D15" s="311"/>
    </row>
    <row r="16" spans="1:4" ht="15.75" thickBot="1" x14ac:dyDescent="0.3">
      <c r="A16" s="286"/>
      <c r="B16" s="15">
        <v>5</v>
      </c>
      <c r="C16" s="313" t="s">
        <v>57</v>
      </c>
      <c r="D16" s="314"/>
    </row>
    <row r="17" spans="1:4" x14ac:dyDescent="0.25">
      <c r="A17" s="277" t="s">
        <v>59</v>
      </c>
      <c r="B17" s="22" t="s">
        <v>63</v>
      </c>
      <c r="C17" s="309" t="s">
        <v>60</v>
      </c>
      <c r="D17" s="310"/>
    </row>
    <row r="18" spans="1:4" x14ac:dyDescent="0.25">
      <c r="A18" s="278"/>
      <c r="B18" s="4" t="s">
        <v>58</v>
      </c>
      <c r="C18" s="328" t="s">
        <v>61</v>
      </c>
      <c r="D18" s="329"/>
    </row>
    <row r="19" spans="1:4" ht="15.75" thickBot="1" x14ac:dyDescent="0.3">
      <c r="A19" s="286"/>
      <c r="B19" s="8" t="s">
        <v>64</v>
      </c>
      <c r="C19" s="330" t="s">
        <v>62</v>
      </c>
      <c r="D19" s="331"/>
    </row>
    <row r="20" spans="1:4" x14ac:dyDescent="0.25">
      <c r="A20" s="263" t="s">
        <v>65</v>
      </c>
      <c r="B20" s="22" t="s">
        <v>66</v>
      </c>
      <c r="C20" s="332" t="s">
        <v>67</v>
      </c>
      <c r="D20" s="333"/>
    </row>
    <row r="21" spans="1:4" x14ac:dyDescent="0.25">
      <c r="A21" s="264"/>
      <c r="B21" s="4" t="s">
        <v>68</v>
      </c>
      <c r="C21" s="326" t="s">
        <v>69</v>
      </c>
      <c r="D21" s="327"/>
    </row>
    <row r="22" spans="1:4" ht="15.75" thickBot="1" x14ac:dyDescent="0.3">
      <c r="A22" s="265"/>
      <c r="B22" s="8" t="s">
        <v>70</v>
      </c>
      <c r="C22" s="324" t="s">
        <v>71</v>
      </c>
      <c r="D22" s="325"/>
    </row>
    <row r="23" spans="1:4" x14ac:dyDescent="0.25">
      <c r="A23" s="263" t="s">
        <v>72</v>
      </c>
      <c r="B23" s="22" t="s">
        <v>73</v>
      </c>
      <c r="C23" s="318" t="s">
        <v>74</v>
      </c>
      <c r="D23" s="319"/>
    </row>
    <row r="24" spans="1:4" x14ac:dyDescent="0.25">
      <c r="A24" s="264"/>
      <c r="B24" s="4" t="s">
        <v>75</v>
      </c>
      <c r="C24" s="320" t="s">
        <v>76</v>
      </c>
      <c r="D24" s="321"/>
    </row>
    <row r="25" spans="1:4" ht="15.75" thickBot="1" x14ac:dyDescent="0.3">
      <c r="A25" s="265"/>
      <c r="B25" s="8" t="s">
        <v>77</v>
      </c>
      <c r="C25" s="322" t="s">
        <v>78</v>
      </c>
      <c r="D25" s="323"/>
    </row>
    <row r="26" spans="1:4" x14ac:dyDescent="0.25">
      <c r="A26" s="263" t="s">
        <v>79</v>
      </c>
      <c r="B26" s="22" t="s">
        <v>80</v>
      </c>
      <c r="C26" s="318" t="s">
        <v>81</v>
      </c>
      <c r="D26" s="319"/>
    </row>
    <row r="27" spans="1:4" x14ac:dyDescent="0.25">
      <c r="A27" s="264"/>
      <c r="B27" s="4" t="s">
        <v>82</v>
      </c>
      <c r="C27" s="320" t="s">
        <v>83</v>
      </c>
      <c r="D27" s="321"/>
    </row>
    <row r="28" spans="1:4" ht="15.75" thickBot="1" x14ac:dyDescent="0.3">
      <c r="A28" s="265"/>
      <c r="B28" s="8" t="s">
        <v>84</v>
      </c>
      <c r="C28" s="322" t="s">
        <v>85</v>
      </c>
      <c r="D28" s="323"/>
    </row>
    <row r="29" spans="1:4" x14ac:dyDescent="0.25">
      <c r="A29" s="263" t="s">
        <v>86</v>
      </c>
      <c r="B29" s="22" t="s">
        <v>87</v>
      </c>
      <c r="C29" s="309" t="s">
        <v>88</v>
      </c>
      <c r="D29" s="310"/>
    </row>
    <row r="30" spans="1:4" x14ac:dyDescent="0.25">
      <c r="A30" s="264"/>
      <c r="B30" s="4" t="s">
        <v>82</v>
      </c>
      <c r="C30" s="290" t="s">
        <v>89</v>
      </c>
      <c r="D30" s="311"/>
    </row>
    <row r="31" spans="1:4" x14ac:dyDescent="0.25">
      <c r="A31" s="264"/>
      <c r="B31" s="4" t="s">
        <v>90</v>
      </c>
      <c r="C31" s="290" t="s">
        <v>91</v>
      </c>
      <c r="D31" s="311"/>
    </row>
    <row r="32" spans="1:4" x14ac:dyDescent="0.25">
      <c r="A32" s="264"/>
      <c r="B32" s="4" t="s">
        <v>93</v>
      </c>
      <c r="C32" s="290" t="s">
        <v>92</v>
      </c>
      <c r="D32" s="311"/>
    </row>
    <row r="33" spans="1:4" ht="15.75" thickBot="1" x14ac:dyDescent="0.3">
      <c r="A33" s="265"/>
      <c r="B33" s="8" t="s">
        <v>94</v>
      </c>
      <c r="C33" s="313" t="s">
        <v>92</v>
      </c>
      <c r="D33" s="314"/>
    </row>
    <row r="34" spans="1:4" x14ac:dyDescent="0.25">
      <c r="A34" s="263" t="s">
        <v>144</v>
      </c>
      <c r="B34" s="21">
        <v>3</v>
      </c>
      <c r="C34" s="309" t="s">
        <v>147</v>
      </c>
      <c r="D34" s="310"/>
    </row>
    <row r="35" spans="1:4" x14ac:dyDescent="0.25">
      <c r="A35" s="264"/>
      <c r="B35" s="7">
        <v>10</v>
      </c>
      <c r="C35" s="290" t="s">
        <v>148</v>
      </c>
      <c r="D35" s="311"/>
    </row>
  </sheetData>
  <mergeCells count="40">
    <mergeCell ref="A2:A6"/>
    <mergeCell ref="A7:A10"/>
    <mergeCell ref="A11:A13"/>
    <mergeCell ref="D12:D13"/>
    <mergeCell ref="A14:A16"/>
    <mergeCell ref="C14:D14"/>
    <mergeCell ref="C15:D15"/>
    <mergeCell ref="C16:D16"/>
    <mergeCell ref="C17:D17"/>
    <mergeCell ref="C18:D18"/>
    <mergeCell ref="C19:D19"/>
    <mergeCell ref="A17:A19"/>
    <mergeCell ref="C20:D20"/>
    <mergeCell ref="C28:D28"/>
    <mergeCell ref="A26:A28"/>
    <mergeCell ref="C29:D29"/>
    <mergeCell ref="C30:D30"/>
    <mergeCell ref="C22:D22"/>
    <mergeCell ref="A20:A22"/>
    <mergeCell ref="A23:A25"/>
    <mergeCell ref="C23:D23"/>
    <mergeCell ref="C24:D24"/>
    <mergeCell ref="C25:D25"/>
    <mergeCell ref="C21:D21"/>
    <mergeCell ref="A34:A35"/>
    <mergeCell ref="C34:D34"/>
    <mergeCell ref="C35:D35"/>
    <mergeCell ref="C1:D1"/>
    <mergeCell ref="C31:D31"/>
    <mergeCell ref="C33:D33"/>
    <mergeCell ref="A29:A33"/>
    <mergeCell ref="C32:D32"/>
    <mergeCell ref="C11:D11"/>
    <mergeCell ref="C2:D2"/>
    <mergeCell ref="C3:D3"/>
    <mergeCell ref="C4:D4"/>
    <mergeCell ref="C5:D5"/>
    <mergeCell ref="C6:D6"/>
    <mergeCell ref="C26:D26"/>
    <mergeCell ref="C27:D27"/>
  </mergeCells>
  <pageMargins left="0.7" right="0.7" top="0.75" bottom="0.75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4:F16"/>
  <sheetViews>
    <sheetView showGridLines="0" zoomScale="120" zoomScaleNormal="120" workbookViewId="0">
      <selection activeCell="F30" sqref="F30"/>
    </sheetView>
  </sheetViews>
  <sheetFormatPr defaultRowHeight="15" x14ac:dyDescent="0.25"/>
  <cols>
    <col min="1" max="1" width="1.85546875" style="27" customWidth="1"/>
    <col min="2" max="2" width="2" style="27" customWidth="1"/>
    <col min="3" max="6" width="23" style="27" customWidth="1"/>
    <col min="7" max="16384" width="9.140625" style="27"/>
  </cols>
  <sheetData>
    <row r="4" spans="3:6" ht="4.5" customHeight="1" x14ac:dyDescent="0.25"/>
    <row r="5" spans="3:6" ht="4.5" customHeight="1" x14ac:dyDescent="0.25"/>
    <row r="6" spans="3:6" x14ac:dyDescent="0.25">
      <c r="C6" s="338" t="s">
        <v>117</v>
      </c>
      <c r="D6" s="339"/>
      <c r="E6" s="339"/>
      <c r="F6" s="340"/>
    </row>
    <row r="7" spans="3:6" x14ac:dyDescent="0.25">
      <c r="C7" s="341" t="s">
        <v>118</v>
      </c>
      <c r="D7" s="341"/>
      <c r="E7" s="341"/>
      <c r="F7" s="341"/>
    </row>
    <row r="8" spans="3:6" x14ac:dyDescent="0.25">
      <c r="C8" s="341"/>
      <c r="D8" s="341"/>
      <c r="E8" s="341"/>
      <c r="F8" s="341"/>
    </row>
    <row r="9" spans="3:6" ht="18" customHeight="1" x14ac:dyDescent="0.25">
      <c r="C9" s="44" t="s">
        <v>113</v>
      </c>
      <c r="D9" s="44" t="s">
        <v>114</v>
      </c>
      <c r="E9" s="44" t="s">
        <v>115</v>
      </c>
      <c r="F9" s="44" t="s">
        <v>116</v>
      </c>
    </row>
    <row r="10" spans="3:6" x14ac:dyDescent="0.25">
      <c r="C10" s="45">
        <v>5</v>
      </c>
      <c r="D10" s="45">
        <v>0.45</v>
      </c>
      <c r="E10" s="45">
        <v>9</v>
      </c>
      <c r="F10" s="46">
        <v>0.45</v>
      </c>
    </row>
    <row r="11" spans="3:6" x14ac:dyDescent="0.25">
      <c r="C11" s="45">
        <v>10</v>
      </c>
      <c r="D11" s="45">
        <v>0.57999999999999996</v>
      </c>
      <c r="E11" s="45">
        <v>12</v>
      </c>
      <c r="F11" s="46">
        <v>0.57999999999999996</v>
      </c>
    </row>
    <row r="12" spans="3:6" x14ac:dyDescent="0.25">
      <c r="C12" s="45">
        <v>15</v>
      </c>
      <c r="D12" s="45">
        <v>0.75</v>
      </c>
      <c r="E12" s="45">
        <v>15</v>
      </c>
      <c r="F12" s="46">
        <v>0.75</v>
      </c>
    </row>
    <row r="13" spans="3:6" x14ac:dyDescent="0.25">
      <c r="C13" s="45">
        <v>20</v>
      </c>
      <c r="D13" s="45">
        <v>0.88</v>
      </c>
      <c r="E13" s="45">
        <v>18</v>
      </c>
      <c r="F13" s="46">
        <v>0.88</v>
      </c>
    </row>
    <row r="14" spans="3:6" x14ac:dyDescent="0.25">
      <c r="C14" s="45">
        <v>25</v>
      </c>
      <c r="D14" s="45">
        <v>1</v>
      </c>
      <c r="E14" s="45">
        <v>20</v>
      </c>
      <c r="F14" s="46">
        <v>1</v>
      </c>
    </row>
    <row r="15" spans="3:6" x14ac:dyDescent="0.25">
      <c r="C15" s="45">
        <v>30</v>
      </c>
      <c r="D15" s="45">
        <v>1.1499999999999999</v>
      </c>
      <c r="E15" s="45">
        <v>23</v>
      </c>
      <c r="F15" s="46">
        <v>1.1499999999999999</v>
      </c>
    </row>
    <row r="16" spans="3:6" x14ac:dyDescent="0.25">
      <c r="C16" s="45">
        <v>35</v>
      </c>
      <c r="D16" s="45">
        <v>1.3</v>
      </c>
      <c r="E16" s="45">
        <v>26</v>
      </c>
      <c r="F16" s="46">
        <v>1.3</v>
      </c>
    </row>
  </sheetData>
  <mergeCells count="2">
    <mergeCell ref="C6:F6"/>
    <mergeCell ref="C7:F8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5D3C70-1E11-4A6B-BA89-0742788A6B36}">
  <dimension ref="A1:B12"/>
  <sheetViews>
    <sheetView showGridLines="0" workbookViewId="0">
      <selection activeCell="B2" sqref="B2"/>
    </sheetView>
  </sheetViews>
  <sheetFormatPr defaultRowHeight="15" x14ac:dyDescent="0.25"/>
  <cols>
    <col min="1" max="1" width="14.140625" style="148" customWidth="1"/>
    <col min="2" max="2" width="16.5703125" style="147" customWidth="1"/>
    <col min="3" max="16384" width="9.140625" style="147"/>
  </cols>
  <sheetData>
    <row r="1" spans="1:2" ht="66" customHeight="1" x14ac:dyDescent="0.25"/>
    <row r="2" spans="1:2" ht="60" customHeight="1" x14ac:dyDescent="0.25">
      <c r="A2" s="149">
        <v>0.25</v>
      </c>
      <c r="B2" s="150" t="e" vm="2">
        <v>#VALUE!</v>
      </c>
    </row>
    <row r="3" spans="1:2" ht="60" customHeight="1" x14ac:dyDescent="0.25">
      <c r="A3" s="149">
        <v>0.5</v>
      </c>
      <c r="B3" s="150" t="e" vm="3">
        <v>#VALUE!</v>
      </c>
    </row>
    <row r="4" spans="1:2" ht="60" customHeight="1" x14ac:dyDescent="0.25">
      <c r="A4" s="149">
        <v>1</v>
      </c>
      <c r="B4" s="150" t="e" vm="4">
        <v>#VALUE!</v>
      </c>
    </row>
    <row r="5" spans="1:2" ht="60" customHeight="1" x14ac:dyDescent="0.25">
      <c r="A5" s="149">
        <v>1.5</v>
      </c>
      <c r="B5" s="150" t="e" vm="5">
        <v>#VALUE!</v>
      </c>
    </row>
    <row r="6" spans="1:2" ht="60" customHeight="1" x14ac:dyDescent="0.25">
      <c r="A6" s="149">
        <v>2</v>
      </c>
      <c r="B6" s="150" t="e" vm="6">
        <v>#VALUE!</v>
      </c>
    </row>
    <row r="7" spans="1:2" ht="60" customHeight="1" x14ac:dyDescent="0.25">
      <c r="A7" s="149">
        <v>3</v>
      </c>
      <c r="B7" s="150" t="e" vm="7">
        <v>#VALUE!</v>
      </c>
    </row>
    <row r="8" spans="1:2" ht="60" customHeight="1" x14ac:dyDescent="0.25">
      <c r="A8" s="149">
        <v>4</v>
      </c>
      <c r="B8" s="150" t="e" vm="8">
        <v>#VALUE!</v>
      </c>
    </row>
    <row r="9" spans="1:2" ht="60" customHeight="1" x14ac:dyDescent="0.25">
      <c r="A9" s="149">
        <v>6</v>
      </c>
      <c r="B9" s="150" t="e" vm="9">
        <v>#VALUE!</v>
      </c>
    </row>
    <row r="10" spans="1:2" ht="60" customHeight="1" x14ac:dyDescent="0.25">
      <c r="A10" s="149">
        <v>9</v>
      </c>
      <c r="B10" s="150" t="e" vm="10">
        <v>#VALUE!</v>
      </c>
    </row>
    <row r="11" spans="1:2" ht="60" customHeight="1" x14ac:dyDescent="0.25">
      <c r="A11" s="149">
        <v>12</v>
      </c>
      <c r="B11" s="150" t="e" vm="11">
        <v>#VALUE!</v>
      </c>
    </row>
    <row r="12" spans="1:2" ht="60" customHeight="1" x14ac:dyDescent="0.25">
      <c r="A12" s="149">
        <v>16</v>
      </c>
      <c r="B12" s="150" t="e" vm="12">
        <v>#VALUE!</v>
      </c>
    </row>
  </sheetData>
  <sortState xmlns:xlrd2="http://schemas.microsoft.com/office/spreadsheetml/2017/richdata2" ref="A2:B12">
    <sortCondition ref="A2:A12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47EC5-65CE-4E4F-9865-1541B017513D}">
  <dimension ref="A2:D13"/>
  <sheetViews>
    <sheetView workbookViewId="0">
      <selection activeCell="I11" sqref="I11"/>
    </sheetView>
  </sheetViews>
  <sheetFormatPr defaultRowHeight="15" x14ac:dyDescent="0.25"/>
  <cols>
    <col min="1" max="4" width="9.140625" style="1"/>
  </cols>
  <sheetData>
    <row r="2" spans="1:4" ht="24" x14ac:dyDescent="0.25">
      <c r="A2" s="44" t="s">
        <v>113</v>
      </c>
      <c r="B2" s="2" t="s">
        <v>17</v>
      </c>
      <c r="C2" s="2" t="s">
        <v>149</v>
      </c>
      <c r="D2" s="2" t="s">
        <v>150</v>
      </c>
    </row>
    <row r="3" spans="1:4" x14ac:dyDescent="0.25">
      <c r="A3" s="45">
        <v>5</v>
      </c>
      <c r="B3" s="55">
        <v>0.1</v>
      </c>
      <c r="C3" s="2" t="s">
        <v>142</v>
      </c>
      <c r="D3" s="2">
        <v>0.25</v>
      </c>
    </row>
    <row r="4" spans="1:4" x14ac:dyDescent="0.25">
      <c r="A4" s="45">
        <v>10</v>
      </c>
      <c r="B4" s="55">
        <v>0.2</v>
      </c>
      <c r="C4" s="2" t="s">
        <v>143</v>
      </c>
      <c r="D4" s="2">
        <v>0.5</v>
      </c>
    </row>
    <row r="5" spans="1:4" x14ac:dyDescent="0.25">
      <c r="A5" s="45">
        <v>15</v>
      </c>
      <c r="B5" s="55">
        <v>0.3</v>
      </c>
      <c r="C5" s="2"/>
      <c r="D5" s="2">
        <v>1</v>
      </c>
    </row>
    <row r="6" spans="1:4" x14ac:dyDescent="0.25">
      <c r="A6" s="45">
        <v>20</v>
      </c>
      <c r="B6" s="55">
        <v>0.35</v>
      </c>
      <c r="C6" s="2"/>
      <c r="D6" s="2">
        <v>1.5</v>
      </c>
    </row>
    <row r="7" spans="1:4" x14ac:dyDescent="0.25">
      <c r="A7" s="45">
        <v>25</v>
      </c>
      <c r="B7" s="55">
        <v>0.4</v>
      </c>
      <c r="C7" s="2"/>
      <c r="D7" s="2">
        <v>2</v>
      </c>
    </row>
    <row r="8" spans="1:4" x14ac:dyDescent="0.25">
      <c r="A8" s="45">
        <v>30</v>
      </c>
      <c r="B8" s="55">
        <v>0.5</v>
      </c>
      <c r="C8" s="2"/>
      <c r="D8" s="2">
        <v>3</v>
      </c>
    </row>
    <row r="9" spans="1:4" x14ac:dyDescent="0.25">
      <c r="A9" s="45">
        <v>35</v>
      </c>
      <c r="B9" s="2"/>
      <c r="C9" s="2"/>
      <c r="D9" s="2">
        <v>4</v>
      </c>
    </row>
    <row r="10" spans="1:4" x14ac:dyDescent="0.25">
      <c r="A10" s="2"/>
      <c r="B10" s="2"/>
      <c r="C10" s="2"/>
      <c r="D10" s="2">
        <v>6</v>
      </c>
    </row>
    <row r="11" spans="1:4" x14ac:dyDescent="0.25">
      <c r="A11" s="2"/>
      <c r="B11" s="2"/>
      <c r="C11" s="2"/>
      <c r="D11" s="2">
        <v>9</v>
      </c>
    </row>
    <row r="12" spans="1:4" x14ac:dyDescent="0.25">
      <c r="D12" s="2">
        <v>12</v>
      </c>
    </row>
    <row r="13" spans="1:4" x14ac:dyDescent="0.25">
      <c r="D13" s="2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MEMUK RO</vt:lpstr>
      <vt:lpstr>Alarms</vt:lpstr>
      <vt:lpstr>Pricing</vt:lpstr>
      <vt:lpstr>ROI</vt:lpstr>
      <vt:lpstr>Feed Spec Notes</vt:lpstr>
      <vt:lpstr>Flux temp correction</vt:lpstr>
      <vt:lpstr>Photo</vt:lpstr>
      <vt:lpstr>Drop Down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Sisman</dc:creator>
  <cp:lastModifiedBy>Steve Sisman</cp:lastModifiedBy>
  <cp:lastPrinted>2026-01-16T13:34:50Z</cp:lastPrinted>
  <dcterms:created xsi:type="dcterms:W3CDTF">2025-12-23T16:45:01Z</dcterms:created>
  <dcterms:modified xsi:type="dcterms:W3CDTF">2026-01-19T13:19:13Z</dcterms:modified>
</cp:coreProperties>
</file>