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PA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4" i="2" l="1"/>
  <c r="F214" i="2"/>
  <c r="E214" i="2"/>
  <c r="D214" i="2"/>
  <c r="C214" i="2"/>
  <c r="B214" i="2"/>
  <c r="G202" i="2"/>
  <c r="E202" i="2"/>
  <c r="C202" i="2"/>
  <c r="G213" i="2"/>
  <c r="E213" i="2"/>
  <c r="C213" i="2"/>
  <c r="B213" i="2"/>
  <c r="F212" i="2"/>
  <c r="D212" i="2"/>
  <c r="B212" i="2"/>
  <c r="F211" i="2"/>
  <c r="F213" i="2" s="1"/>
  <c r="D211" i="2"/>
  <c r="B211" i="2"/>
  <c r="D203" i="2"/>
  <c r="B203" i="2"/>
  <c r="C203" i="2" s="1"/>
  <c r="F207" i="2"/>
  <c r="G207" i="2" s="1"/>
  <c r="D207" i="2"/>
  <c r="E207" i="2" s="1"/>
  <c r="B207" i="2"/>
  <c r="C207" i="2" s="1"/>
  <c r="F206" i="2"/>
  <c r="G206" i="2" s="1"/>
  <c r="D206" i="2"/>
  <c r="E206" i="2" s="1"/>
  <c r="B206" i="2"/>
  <c r="F205" i="2"/>
  <c r="G205" i="2" s="1"/>
  <c r="D205" i="2"/>
  <c r="E205" i="2" s="1"/>
  <c r="B205" i="2"/>
  <c r="C205" i="2" s="1"/>
  <c r="F204" i="2"/>
  <c r="D204" i="2"/>
  <c r="E204" i="2" s="1"/>
  <c r="B204" i="2"/>
  <c r="C204" i="2" s="1"/>
  <c r="F203" i="2"/>
  <c r="G203" i="2" s="1"/>
  <c r="F196" i="2"/>
  <c r="D196" i="2"/>
  <c r="B196" i="2"/>
  <c r="F192" i="2"/>
  <c r="G192" i="2" s="1"/>
  <c r="D192" i="2"/>
  <c r="E192" i="2" s="1"/>
  <c r="B192" i="2"/>
  <c r="C192" i="2" s="1"/>
  <c r="E191" i="2"/>
  <c r="D191" i="2" s="1"/>
  <c r="C191" i="2"/>
  <c r="B191" i="2" s="1"/>
  <c r="G191" i="2"/>
  <c r="G193" i="2" s="1"/>
  <c r="F188" i="2"/>
  <c r="D188" i="2"/>
  <c r="B188" i="2"/>
  <c r="G186" i="2"/>
  <c r="E186" i="2"/>
  <c r="G187" i="2"/>
  <c r="E187" i="2"/>
  <c r="C187" i="2"/>
  <c r="C186" i="2"/>
  <c r="G185" i="2"/>
  <c r="E185" i="2"/>
  <c r="E188" i="2" s="1"/>
  <c r="C185" i="2"/>
  <c r="C188" i="2" s="1"/>
  <c r="B170" i="2"/>
  <c r="C169" i="2"/>
  <c r="C167" i="2"/>
  <c r="C166" i="2"/>
  <c r="C165" i="2"/>
  <c r="C158" i="2"/>
  <c r="C157" i="2"/>
  <c r="B178" i="2"/>
  <c r="C178" i="2" s="1"/>
  <c r="B177" i="2"/>
  <c r="B174" i="2"/>
  <c r="C174" i="2" s="1"/>
  <c r="B173" i="2"/>
  <c r="C173" i="2" s="1"/>
  <c r="D193" i="2" l="1"/>
  <c r="F197" i="2"/>
  <c r="F191" i="2"/>
  <c r="F193" i="2" s="1"/>
  <c r="G188" i="2"/>
  <c r="G197" i="2" s="1"/>
  <c r="B193" i="2"/>
  <c r="B197" i="2" s="1"/>
  <c r="F208" i="2"/>
  <c r="B208" i="2"/>
  <c r="D208" i="2"/>
  <c r="D213" i="2"/>
  <c r="D197" i="2"/>
  <c r="E193" i="2"/>
  <c r="E197" i="2" s="1"/>
  <c r="E203" i="2"/>
  <c r="E208" i="2" s="1"/>
  <c r="G204" i="2"/>
  <c r="G208" i="2" s="1"/>
  <c r="C206" i="2"/>
  <c r="C208" i="2" s="1"/>
  <c r="B179" i="2"/>
  <c r="C193" i="2"/>
  <c r="C197" i="2" s="1"/>
  <c r="C175" i="2"/>
  <c r="C161" i="2" s="1"/>
  <c r="B175" i="2"/>
  <c r="C177" i="2"/>
  <c r="C179" i="2" s="1"/>
  <c r="C162" i="2" s="1"/>
  <c r="C141" i="2"/>
  <c r="C140" i="2"/>
  <c r="C139" i="2"/>
  <c r="B151" i="2"/>
  <c r="C151" i="2" s="1"/>
  <c r="B150" i="2"/>
  <c r="C150" i="2" s="1"/>
  <c r="B147" i="2"/>
  <c r="C147" i="2" s="1"/>
  <c r="B146" i="2"/>
  <c r="C146" i="2" s="1"/>
  <c r="C132" i="2"/>
  <c r="C131" i="2"/>
  <c r="C168" i="2" l="1"/>
  <c r="C170" i="2" s="1"/>
  <c r="C148" i="2"/>
  <c r="C135" i="2" s="1"/>
  <c r="C152" i="2"/>
  <c r="C136" i="2" s="1"/>
  <c r="B152" i="2"/>
  <c r="B148" i="2"/>
  <c r="B124" i="2"/>
  <c r="C125" i="2" s="1"/>
  <c r="E124" i="2"/>
  <c r="D124" i="2"/>
  <c r="C124" i="2"/>
  <c r="G119" i="2"/>
  <c r="E119" i="2"/>
  <c r="D119" i="2"/>
  <c r="F119" i="2"/>
  <c r="C119" i="2"/>
  <c r="G101" i="2"/>
  <c r="F101" i="2"/>
  <c r="E101" i="2"/>
  <c r="D101" i="2"/>
  <c r="C101" i="2"/>
  <c r="B101" i="2"/>
  <c r="G113" i="2"/>
  <c r="G112" i="2"/>
  <c r="F112" i="2"/>
  <c r="G111" i="2"/>
  <c r="F111" i="2"/>
  <c r="E111" i="2"/>
  <c r="F110" i="2"/>
  <c r="E110" i="2"/>
  <c r="D110" i="2"/>
  <c r="E109" i="2"/>
  <c r="D109" i="2"/>
  <c r="C109" i="2"/>
  <c r="D108" i="2"/>
  <c r="C108" i="2"/>
  <c r="B108" i="2"/>
  <c r="B106" i="2"/>
  <c r="C107" i="2"/>
  <c r="B107" i="2"/>
  <c r="D75" i="2"/>
  <c r="C75" i="2"/>
  <c r="B75" i="2"/>
  <c r="D83" i="2"/>
  <c r="D82" i="2"/>
  <c r="C82" i="2"/>
  <c r="C81" i="2"/>
  <c r="B81" i="2"/>
  <c r="B80" i="2"/>
  <c r="D44" i="2"/>
  <c r="C44" i="2"/>
  <c r="D37" i="2"/>
  <c r="C37" i="2"/>
  <c r="B37" i="2"/>
  <c r="B44" i="2"/>
  <c r="E63" i="2"/>
  <c r="E64" i="2" s="1"/>
  <c r="D62" i="2"/>
  <c r="D64" i="2" s="1"/>
  <c r="C61" i="2"/>
  <c r="C60" i="2"/>
  <c r="B59" i="2"/>
  <c r="B64" i="2" s="1"/>
  <c r="C51" i="2"/>
  <c r="C55" i="2" s="1"/>
  <c r="E53" i="2"/>
  <c r="E52" i="2"/>
  <c r="D52" i="2"/>
  <c r="D51" i="2"/>
  <c r="B50" i="2"/>
  <c r="B55" i="2" s="1"/>
  <c r="K31" i="2"/>
  <c r="M31" i="2" s="1"/>
  <c r="H31" i="2"/>
  <c r="J31" i="2" s="1"/>
  <c r="E31" i="2"/>
  <c r="G31" i="2" s="1"/>
  <c r="B31" i="2"/>
  <c r="D31" i="2" s="1"/>
  <c r="M30" i="2"/>
  <c r="M29" i="2"/>
  <c r="M28" i="2"/>
  <c r="J30" i="2"/>
  <c r="J29" i="2"/>
  <c r="J28" i="2"/>
  <c r="G30" i="2"/>
  <c r="G29" i="2"/>
  <c r="G28" i="2"/>
  <c r="D30" i="2"/>
  <c r="D29" i="2"/>
  <c r="D28" i="2"/>
  <c r="E24" i="2"/>
  <c r="G24" i="2" s="1"/>
  <c r="B24" i="2"/>
  <c r="D24" i="2" s="1"/>
  <c r="G23" i="2"/>
  <c r="G22" i="2"/>
  <c r="G21" i="2"/>
  <c r="G20" i="2"/>
  <c r="D23" i="2"/>
  <c r="D22" i="2"/>
  <c r="H22" i="2" s="1"/>
  <c r="L22" i="2" s="1"/>
  <c r="D21" i="2"/>
  <c r="H21" i="2" s="1"/>
  <c r="D20" i="2"/>
  <c r="H20" i="2" s="1"/>
  <c r="E15" i="2"/>
  <c r="G15" i="2" s="1"/>
  <c r="B15" i="2"/>
  <c r="D15" i="2" s="1"/>
  <c r="H7" i="2"/>
  <c r="E7" i="2"/>
  <c r="B7" i="2"/>
  <c r="G14" i="2"/>
  <c r="G13" i="2"/>
  <c r="G12" i="2"/>
  <c r="D14" i="2"/>
  <c r="D13" i="2"/>
  <c r="D12" i="2"/>
  <c r="H23" i="2" l="1"/>
  <c r="L23" i="2" s="1"/>
  <c r="B126" i="2"/>
  <c r="D114" i="2"/>
  <c r="D92" i="2" s="1"/>
  <c r="D93" i="2" s="1"/>
  <c r="F114" i="2"/>
  <c r="F92" i="2" s="1"/>
  <c r="F93" i="2" s="1"/>
  <c r="E114" i="2"/>
  <c r="E92" i="2" s="1"/>
  <c r="E93" i="2" s="1"/>
  <c r="B114" i="2"/>
  <c r="B92" i="2" s="1"/>
  <c r="B93" i="2" s="1"/>
  <c r="B102" i="2" s="1"/>
  <c r="C89" i="2" s="1"/>
  <c r="G114" i="2"/>
  <c r="G92" i="2" s="1"/>
  <c r="G93" i="2" s="1"/>
  <c r="C126" i="2"/>
  <c r="C114" i="2"/>
  <c r="C92" i="2" s="1"/>
  <c r="C93" i="2" s="1"/>
  <c r="D55" i="2"/>
  <c r="B85" i="2"/>
  <c r="B70" i="2" s="1"/>
  <c r="B71" i="2" s="1"/>
  <c r="B76" i="2" s="1"/>
  <c r="C68" i="2" s="1"/>
  <c r="D85" i="2"/>
  <c r="D70" i="2" s="1"/>
  <c r="D71" i="2" s="1"/>
  <c r="C142" i="2"/>
  <c r="D125" i="2"/>
  <c r="D126" i="2" s="1"/>
  <c r="E125" i="2"/>
  <c r="E126" i="2" s="1"/>
  <c r="H13" i="2"/>
  <c r="C85" i="2"/>
  <c r="C70" i="2" s="1"/>
  <c r="C71" i="2" s="1"/>
  <c r="H14" i="2"/>
  <c r="C64" i="2"/>
  <c r="B45" i="2"/>
  <c r="C34" i="2" s="1"/>
  <c r="C45" i="2" s="1"/>
  <c r="D34" i="2" s="1"/>
  <c r="D45" i="2" s="1"/>
  <c r="H12" i="2"/>
  <c r="N28" i="2"/>
  <c r="E55" i="2"/>
  <c r="N29" i="2"/>
  <c r="N30" i="2"/>
  <c r="L20" i="2"/>
  <c r="J20" i="2"/>
  <c r="I20" i="2"/>
  <c r="N31" i="2"/>
  <c r="I21" i="2"/>
  <c r="L21" i="2"/>
  <c r="J21" i="2"/>
  <c r="I23" i="2"/>
  <c r="J23" i="2"/>
  <c r="H24" i="2"/>
  <c r="I22" i="2"/>
  <c r="J22" i="2"/>
  <c r="J6" i="2"/>
  <c r="J5" i="2"/>
  <c r="J4" i="2"/>
  <c r="G6" i="2"/>
  <c r="G5" i="2"/>
  <c r="G4" i="2"/>
  <c r="D6" i="2"/>
  <c r="D5" i="2"/>
  <c r="D4" i="2"/>
  <c r="E62" i="1"/>
  <c r="E61" i="1"/>
  <c r="E60" i="1"/>
  <c r="E59" i="1"/>
  <c r="E58" i="1"/>
  <c r="E57" i="1"/>
  <c r="E56" i="1"/>
  <c r="E55" i="1"/>
  <c r="E54" i="1"/>
  <c r="E53" i="1"/>
  <c r="D53" i="1"/>
  <c r="D62" i="1"/>
  <c r="D61" i="1"/>
  <c r="D60" i="1"/>
  <c r="D59" i="1"/>
  <c r="D58" i="1"/>
  <c r="D57" i="1"/>
  <c r="D56" i="1"/>
  <c r="D55" i="1"/>
  <c r="D54" i="1"/>
  <c r="E50" i="1"/>
  <c r="E49" i="1"/>
  <c r="E48" i="1"/>
  <c r="E47" i="1"/>
  <c r="E46" i="1"/>
  <c r="E45" i="1"/>
  <c r="E44" i="1"/>
  <c r="E43" i="1"/>
  <c r="E42" i="1"/>
  <c r="D50" i="1"/>
  <c r="D49" i="1"/>
  <c r="D48" i="1"/>
  <c r="D47" i="1"/>
  <c r="D46" i="1"/>
  <c r="D45" i="1"/>
  <c r="D44" i="1"/>
  <c r="D43" i="1"/>
  <c r="D42" i="1"/>
  <c r="C102" i="2" l="1"/>
  <c r="D89" i="2" s="1"/>
  <c r="D102" i="2" s="1"/>
  <c r="E89" i="2" s="1"/>
  <c r="E102" i="2" s="1"/>
  <c r="F89" i="2" s="1"/>
  <c r="F102" i="2" s="1"/>
  <c r="G89" i="2" s="1"/>
  <c r="G102" i="2" s="1"/>
  <c r="H15" i="2"/>
  <c r="C76" i="2"/>
  <c r="D68" i="2" s="1"/>
  <c r="D76" i="2" s="1"/>
  <c r="K23" i="2"/>
  <c r="K6" i="2"/>
  <c r="K22" i="2"/>
  <c r="K4" i="2"/>
  <c r="D7" i="2"/>
  <c r="K20" i="2"/>
  <c r="K5" i="2"/>
  <c r="G7" i="2"/>
  <c r="J7" i="2"/>
  <c r="K21" i="2"/>
  <c r="L24" i="2"/>
  <c r="N38" i="1"/>
  <c r="N37" i="1"/>
  <c r="N36" i="1"/>
  <c r="N33" i="1"/>
  <c r="N32" i="1"/>
  <c r="N31" i="1"/>
  <c r="N30" i="1"/>
  <c r="M33" i="1"/>
  <c r="M38" i="1"/>
  <c r="M37" i="1"/>
  <c r="M36" i="1"/>
  <c r="M32" i="1"/>
  <c r="M31" i="1"/>
  <c r="M30" i="1"/>
  <c r="N25" i="1"/>
  <c r="N24" i="1"/>
  <c r="N23" i="1"/>
  <c r="M25" i="1"/>
  <c r="M24" i="1"/>
  <c r="M23" i="1"/>
  <c r="N20" i="1"/>
  <c r="N19" i="1"/>
  <c r="N18" i="1"/>
  <c r="N17" i="1"/>
  <c r="M20" i="1"/>
  <c r="M19" i="1"/>
  <c r="M18" i="1"/>
  <c r="M17" i="1"/>
  <c r="E34" i="1"/>
  <c r="E33" i="1"/>
  <c r="E32" i="1"/>
  <c r="E31" i="1"/>
  <c r="E30" i="1"/>
  <c r="E29" i="1"/>
  <c r="E28" i="1"/>
  <c r="E27" i="1"/>
  <c r="D34" i="1"/>
  <c r="D33" i="1"/>
  <c r="D32" i="1"/>
  <c r="D31" i="1"/>
  <c r="D30" i="1"/>
  <c r="D29" i="1"/>
  <c r="D28" i="1"/>
  <c r="D27" i="1"/>
  <c r="E24" i="1"/>
  <c r="E23" i="1"/>
  <c r="E22" i="1"/>
  <c r="E21" i="1"/>
  <c r="E20" i="1"/>
  <c r="E19" i="1"/>
  <c r="E18" i="1"/>
  <c r="E17" i="1"/>
  <c r="E16" i="1"/>
  <c r="D24" i="1"/>
  <c r="D23" i="1"/>
  <c r="D22" i="1"/>
  <c r="D21" i="1"/>
  <c r="D20" i="1"/>
  <c r="D19" i="1"/>
  <c r="D18" i="1"/>
  <c r="D17" i="1"/>
  <c r="D16" i="1"/>
  <c r="AC17" i="1"/>
  <c r="AC16" i="1"/>
  <c r="AC15" i="1"/>
  <c r="AC12" i="1"/>
  <c r="AC9" i="1"/>
  <c r="AC8" i="1"/>
  <c r="AC7" i="1"/>
  <c r="AC4" i="1"/>
  <c r="AC3" i="1"/>
  <c r="AB17" i="1"/>
  <c r="AB16" i="1"/>
  <c r="AB15" i="1"/>
  <c r="AB12" i="1"/>
  <c r="AB9" i="1"/>
  <c r="AB8" i="1"/>
  <c r="AB7" i="1"/>
  <c r="AB4" i="1"/>
  <c r="AB3" i="1"/>
  <c r="AA17" i="1"/>
  <c r="Z17" i="1"/>
  <c r="AA9" i="1"/>
  <c r="Z9" i="1"/>
  <c r="W12" i="1"/>
  <c r="W11" i="1"/>
  <c r="W10" i="1"/>
  <c r="W8" i="1"/>
  <c r="W7" i="1"/>
  <c r="W6" i="1"/>
  <c r="W5" i="1"/>
  <c r="W4" i="1"/>
  <c r="W3" i="1"/>
  <c r="V12" i="1"/>
  <c r="V11" i="1"/>
  <c r="V10" i="1"/>
  <c r="V8" i="1"/>
  <c r="V7" i="1"/>
  <c r="V6" i="1"/>
  <c r="V5" i="1"/>
  <c r="V4" i="1"/>
  <c r="V3" i="1"/>
  <c r="U12" i="1"/>
  <c r="T12" i="1"/>
  <c r="U7" i="1"/>
  <c r="T7" i="1"/>
  <c r="U5" i="1"/>
  <c r="T5" i="1"/>
  <c r="Q12" i="1"/>
  <c r="Q11" i="1"/>
  <c r="Q10" i="1"/>
  <c r="Q8" i="1"/>
  <c r="Q7" i="1"/>
  <c r="Q5" i="1"/>
  <c r="Q4" i="1"/>
  <c r="Q3" i="1"/>
  <c r="P11" i="1"/>
  <c r="P8" i="1"/>
  <c r="P7" i="1"/>
  <c r="P4" i="1"/>
  <c r="P3" i="1"/>
  <c r="N10" i="1"/>
  <c r="N12" i="1" s="1"/>
  <c r="O5" i="1"/>
  <c r="O10" i="1" s="1"/>
  <c r="N5" i="1"/>
  <c r="P5" i="1" s="1"/>
  <c r="I10" i="1"/>
  <c r="J10" i="1" s="1"/>
  <c r="K10" i="1" s="1"/>
  <c r="H10" i="1"/>
  <c r="J8" i="1"/>
  <c r="K8" i="1" s="1"/>
  <c r="K5" i="1"/>
  <c r="J5" i="1"/>
  <c r="J4" i="1"/>
  <c r="K4" i="1" s="1"/>
  <c r="C5" i="1"/>
  <c r="B5" i="1"/>
  <c r="D4" i="1"/>
  <c r="E4" i="1" s="1"/>
  <c r="D3" i="1"/>
  <c r="E3" i="1" s="1"/>
  <c r="K7" i="2" l="1"/>
  <c r="O12" i="1"/>
  <c r="P12" i="1" s="1"/>
  <c r="P10" i="1"/>
  <c r="D5" i="1"/>
  <c r="E5" i="1" s="1"/>
</calcChain>
</file>

<file path=xl/sharedStrings.xml><?xml version="1.0" encoding="utf-8"?>
<sst xmlns="http://schemas.openxmlformats.org/spreadsheetml/2006/main" count="398" uniqueCount="219">
  <si>
    <t>Comparative Analysis of P&amp;L</t>
  </si>
  <si>
    <t>Particulars</t>
  </si>
  <si>
    <t>Difference</t>
  </si>
  <si>
    <t>%</t>
  </si>
  <si>
    <t>Sales</t>
  </si>
  <si>
    <t>COGS</t>
  </si>
  <si>
    <t>Total</t>
  </si>
  <si>
    <t xml:space="preserve">Comparative Balance Sheet </t>
  </si>
  <si>
    <t>Assets</t>
  </si>
  <si>
    <t>Marketing</t>
  </si>
  <si>
    <t>Furniture</t>
  </si>
  <si>
    <t>CA</t>
  </si>
  <si>
    <t>Debtors</t>
  </si>
  <si>
    <t>Comparative Analysis of P &amp; L</t>
  </si>
  <si>
    <t>Gross Profit</t>
  </si>
  <si>
    <t>Expenses</t>
  </si>
  <si>
    <t>Other Incomes</t>
  </si>
  <si>
    <t>Profit Before Tax</t>
  </si>
  <si>
    <t>Tax(-)</t>
  </si>
  <si>
    <t>Profit After Tax</t>
  </si>
  <si>
    <t>Expenses(-)</t>
  </si>
  <si>
    <t>Patriculars</t>
  </si>
  <si>
    <t>PBIT</t>
  </si>
  <si>
    <t>Interest</t>
  </si>
  <si>
    <t>PBT</t>
  </si>
  <si>
    <t>PAT</t>
  </si>
  <si>
    <t>Comparative Balance sheet of XYZ</t>
  </si>
  <si>
    <t>Capital</t>
  </si>
  <si>
    <t>Reserves and Surplus</t>
  </si>
  <si>
    <t>Current Liabilities</t>
  </si>
  <si>
    <t>Creditors</t>
  </si>
  <si>
    <t>Bank</t>
  </si>
  <si>
    <t>Fixed Assets</t>
  </si>
  <si>
    <t>Machinery</t>
  </si>
  <si>
    <t>Current Assets</t>
  </si>
  <si>
    <t>Cash &amp; Bank Balance</t>
  </si>
  <si>
    <t>Comparative Balance Sheet of Ms shivani Ltd for the year ending 31st December 2006 and 2007</t>
  </si>
  <si>
    <t>Liabilities</t>
  </si>
  <si>
    <t>ESC</t>
  </si>
  <si>
    <t>PSC</t>
  </si>
  <si>
    <t>Reserve</t>
  </si>
  <si>
    <t>P&amp;L A/c</t>
  </si>
  <si>
    <t>BO</t>
  </si>
  <si>
    <t>creditors</t>
  </si>
  <si>
    <t>Provision</t>
  </si>
  <si>
    <t>Proposed Dividend</t>
  </si>
  <si>
    <t>FALD</t>
  </si>
  <si>
    <t>Stock</t>
  </si>
  <si>
    <t>bills receivable</t>
  </si>
  <si>
    <t>Prepaid expenses</t>
  </si>
  <si>
    <t>Cash in hand</t>
  </si>
  <si>
    <t>Cash in bank</t>
  </si>
  <si>
    <t>total</t>
  </si>
  <si>
    <t>Common Size balance Sheet of Aditya Ltd and Anjali Ltd</t>
  </si>
  <si>
    <t>Aditya Ltd</t>
  </si>
  <si>
    <t>Anjali Ltd</t>
  </si>
  <si>
    <t>% of Aditya</t>
  </si>
  <si>
    <t>% of Anjali</t>
  </si>
  <si>
    <t>Equity and Liabilities</t>
  </si>
  <si>
    <t>RAS</t>
  </si>
  <si>
    <t>CL</t>
  </si>
  <si>
    <t>Current assets</t>
  </si>
  <si>
    <t>Common Size Balance Sheet of Ms Anjali Anand</t>
  </si>
  <si>
    <t>2006 Rs</t>
  </si>
  <si>
    <t>2007 Rs</t>
  </si>
  <si>
    <t>% of 2006</t>
  </si>
  <si>
    <t>% of 2007</t>
  </si>
  <si>
    <t>share capital</t>
  </si>
  <si>
    <t>RS</t>
  </si>
  <si>
    <t>Surplus</t>
  </si>
  <si>
    <t>Debentures</t>
  </si>
  <si>
    <t>Accrued Interest on debenture</t>
  </si>
  <si>
    <t>Sundry Creditors</t>
  </si>
  <si>
    <t>Dividend Payable</t>
  </si>
  <si>
    <t>Taxation Provision</t>
  </si>
  <si>
    <t>Goodwill</t>
  </si>
  <si>
    <t>Plant</t>
  </si>
  <si>
    <t>Patent</t>
  </si>
  <si>
    <t>Investment</t>
  </si>
  <si>
    <t>Cash at Bank</t>
  </si>
  <si>
    <t>Debenture discount</t>
  </si>
  <si>
    <t>Sales Budget of 1981  - first quarter</t>
  </si>
  <si>
    <t>X</t>
  </si>
  <si>
    <t>Y</t>
  </si>
  <si>
    <t>Z</t>
  </si>
  <si>
    <t>Units</t>
  </si>
  <si>
    <t>Price per unit</t>
  </si>
  <si>
    <t>Value</t>
  </si>
  <si>
    <t>Jan</t>
  </si>
  <si>
    <t>Feb</t>
  </si>
  <si>
    <t>Mar</t>
  </si>
  <si>
    <t>Total of values</t>
  </si>
  <si>
    <t>Sales Budget of 2017</t>
  </si>
  <si>
    <t xml:space="preserve">Units </t>
  </si>
  <si>
    <t>Price Per Unit</t>
  </si>
  <si>
    <t>Price Per unit</t>
  </si>
  <si>
    <t>West</t>
  </si>
  <si>
    <t>South</t>
  </si>
  <si>
    <t>East</t>
  </si>
  <si>
    <t>Sales Budget of 2003</t>
  </si>
  <si>
    <t>A</t>
  </si>
  <si>
    <t>B</t>
  </si>
  <si>
    <t>Division</t>
  </si>
  <si>
    <t>1st Quarter</t>
  </si>
  <si>
    <t>4th Quarter</t>
  </si>
  <si>
    <t>3rd Quarter</t>
  </si>
  <si>
    <t>2nd Quarter</t>
  </si>
  <si>
    <t>Working Note</t>
  </si>
  <si>
    <t>Average Sales Return (10%)</t>
  </si>
  <si>
    <t>Bad Debts and discounts(2%)</t>
  </si>
  <si>
    <t>Net Profit After discount(88%)</t>
  </si>
  <si>
    <t>C</t>
  </si>
  <si>
    <t>D</t>
  </si>
  <si>
    <t>April</t>
  </si>
  <si>
    <t>May</t>
  </si>
  <si>
    <t>June</t>
  </si>
  <si>
    <t>Cash Budget of Saurashtra Co.Ltd</t>
  </si>
  <si>
    <t>August</t>
  </si>
  <si>
    <t>September</t>
  </si>
  <si>
    <t>October</t>
  </si>
  <si>
    <t>Opening Stock</t>
  </si>
  <si>
    <t>Add:Receipts</t>
  </si>
  <si>
    <t>Opening Stock (a)</t>
  </si>
  <si>
    <t>Total Receipts (b)</t>
  </si>
  <si>
    <t>Less : Payments</t>
  </si>
  <si>
    <t>Purchases</t>
  </si>
  <si>
    <t>August (Rs)</t>
  </si>
  <si>
    <t>September (Rs)</t>
  </si>
  <si>
    <t>October (Rs)</t>
  </si>
  <si>
    <t>Wages</t>
  </si>
  <si>
    <t>Mfg Exp</t>
  </si>
  <si>
    <t>Office Exp</t>
  </si>
  <si>
    <t>Selling Exp</t>
  </si>
  <si>
    <t>Total Payments ©</t>
  </si>
  <si>
    <t>Closing cash balance(a) +(b) -©</t>
  </si>
  <si>
    <t>July</t>
  </si>
  <si>
    <t xml:space="preserve">Particulars </t>
  </si>
  <si>
    <t>Add : Receipts</t>
  </si>
  <si>
    <t>Less: Payments</t>
  </si>
  <si>
    <t>Closing Cash balance (a) + (b) - ©</t>
  </si>
  <si>
    <t>Working note</t>
  </si>
  <si>
    <t>Oct</t>
  </si>
  <si>
    <t>Nov</t>
  </si>
  <si>
    <t>Dec</t>
  </si>
  <si>
    <t>November</t>
  </si>
  <si>
    <t>Decemeber</t>
  </si>
  <si>
    <t>Cash budget of SK Brother</t>
  </si>
  <si>
    <t>Cash budget of XYZ</t>
  </si>
  <si>
    <t>Add : receipts</t>
  </si>
  <si>
    <t>Receipts</t>
  </si>
  <si>
    <t>Raw Materials</t>
  </si>
  <si>
    <t>Salary</t>
  </si>
  <si>
    <t>Lease Payment</t>
  </si>
  <si>
    <t>Misc Exp</t>
  </si>
  <si>
    <t>Income Tax</t>
  </si>
  <si>
    <t>Payment For Research</t>
  </si>
  <si>
    <t>December</t>
  </si>
  <si>
    <t>Closing Cash Balance (a)+(b)-©</t>
  </si>
  <si>
    <t>Trend Analysis</t>
  </si>
  <si>
    <t>Year</t>
  </si>
  <si>
    <t>Trend</t>
  </si>
  <si>
    <t>Closing Stock</t>
  </si>
  <si>
    <t>Production</t>
  </si>
  <si>
    <t>Production Budget of Medford Company</t>
  </si>
  <si>
    <t>Q1</t>
  </si>
  <si>
    <t>Q2</t>
  </si>
  <si>
    <t>Q3</t>
  </si>
  <si>
    <t>Q4</t>
  </si>
  <si>
    <t xml:space="preserve">Flexible Budget </t>
  </si>
  <si>
    <t>VO</t>
  </si>
  <si>
    <t>Material</t>
  </si>
  <si>
    <t>Labour</t>
  </si>
  <si>
    <t>Semi -Variable overheads</t>
  </si>
  <si>
    <t>Electricity (40% F) (60% V)</t>
  </si>
  <si>
    <t>Repairs(80% F) (20% V)</t>
  </si>
  <si>
    <t>Fixed Overhead</t>
  </si>
  <si>
    <t>Depreciation</t>
  </si>
  <si>
    <t>Insurance</t>
  </si>
  <si>
    <t>Salaries</t>
  </si>
  <si>
    <t>Total Overheads</t>
  </si>
  <si>
    <t>Electricity</t>
  </si>
  <si>
    <t>40% F</t>
  </si>
  <si>
    <t>60% V</t>
  </si>
  <si>
    <t>Repairs</t>
  </si>
  <si>
    <t>80% F</t>
  </si>
  <si>
    <t>20% V</t>
  </si>
  <si>
    <t>Flexible Budget</t>
  </si>
  <si>
    <t>Semi Variable Overhead</t>
  </si>
  <si>
    <t>Electricity (40%F) (60%V)</t>
  </si>
  <si>
    <t>Repairs(80%F) (20%V)</t>
  </si>
  <si>
    <t>Fixed Overheads</t>
  </si>
  <si>
    <t>40% Fixed</t>
  </si>
  <si>
    <t>60% Variable</t>
  </si>
  <si>
    <t>80% Fixed</t>
  </si>
  <si>
    <t>20% Variable</t>
  </si>
  <si>
    <t>Estimated Direct Labour Hours</t>
  </si>
  <si>
    <t>Overhead Rate per Hour</t>
  </si>
  <si>
    <t>600 Units</t>
  </si>
  <si>
    <t>800 Units</t>
  </si>
  <si>
    <t>1000 Units</t>
  </si>
  <si>
    <t>Material Cost</t>
  </si>
  <si>
    <t>Labour Cost</t>
  </si>
  <si>
    <t>Variable Overheads</t>
  </si>
  <si>
    <t>Semi Variable Overheads</t>
  </si>
  <si>
    <t>Selling Expenses (20% F)</t>
  </si>
  <si>
    <t>Selling Expenses (80% V)</t>
  </si>
  <si>
    <t>Administrative Expenses</t>
  </si>
  <si>
    <t>Per Unit</t>
  </si>
  <si>
    <t>Amount</t>
  </si>
  <si>
    <t>Total Overhead</t>
  </si>
  <si>
    <t>Power</t>
  </si>
  <si>
    <t>Repairs etc</t>
  </si>
  <si>
    <t>Misc</t>
  </si>
  <si>
    <t>Direct Material</t>
  </si>
  <si>
    <t>Direct Labour</t>
  </si>
  <si>
    <t>Total VH</t>
  </si>
  <si>
    <t>Fixed Costs</t>
  </si>
  <si>
    <t>Administrative, selling and distribution exp</t>
  </si>
  <si>
    <t>Total Fixed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</si>
</sst>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17" fontId="1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tabSelected="1" workbookViewId="0">
      <selection activeCell="I10" sqref="I10"/>
    </sheetView>
  </sheetViews>
  <sheetFormatPr defaultRowHeight="14.4" x14ac:dyDescent="0.3"/>
  <cols>
    <col min="1" max="1" width="26.109375" bestFit="1" customWidth="1"/>
    <col min="3" max="3" width="15.5546875" customWidth="1"/>
    <col min="4" max="4" width="9.6640625" bestFit="1" customWidth="1"/>
    <col min="5" max="5" width="12" bestFit="1" customWidth="1"/>
    <col min="7" max="7" width="9.88671875" customWidth="1"/>
    <col min="10" max="10" width="17.6640625" bestFit="1" customWidth="1"/>
    <col min="13" max="13" width="10.33203125" customWidth="1"/>
    <col min="14" max="14" width="9.5546875" bestFit="1" customWidth="1"/>
    <col min="16" max="16" width="9.5546875" bestFit="1" customWidth="1"/>
    <col min="19" max="19" width="9.5546875" bestFit="1" customWidth="1"/>
    <col min="22" max="22" width="9.5546875" bestFit="1" customWidth="1"/>
    <col min="25" max="25" width="18.109375" bestFit="1" customWidth="1"/>
    <col min="28" max="28" width="9.5546875" bestFit="1" customWidth="1"/>
  </cols>
  <sheetData>
    <row r="1" spans="1:29" x14ac:dyDescent="0.3">
      <c r="A1" s="14" t="s">
        <v>0</v>
      </c>
      <c r="B1" s="14"/>
      <c r="C1" s="14"/>
      <c r="G1" s="15" t="s">
        <v>7</v>
      </c>
      <c r="H1" s="15"/>
      <c r="I1" s="15"/>
      <c r="M1" s="14" t="s">
        <v>13</v>
      </c>
      <c r="N1" s="14"/>
      <c r="O1" s="14"/>
      <c r="S1" s="13" t="s">
        <v>13</v>
      </c>
      <c r="T1" s="13"/>
      <c r="U1" s="13"/>
      <c r="Y1" s="13" t="s">
        <v>26</v>
      </c>
      <c r="Z1" s="13"/>
      <c r="AA1" s="13"/>
      <c r="AB1" s="13"/>
    </row>
    <row r="2" spans="1:29" x14ac:dyDescent="0.3">
      <c r="A2" s="4" t="s">
        <v>1</v>
      </c>
      <c r="B2" s="4">
        <v>2011</v>
      </c>
      <c r="C2" s="4">
        <v>2012</v>
      </c>
      <c r="D2" s="4" t="s">
        <v>2</v>
      </c>
      <c r="E2" s="5" t="s">
        <v>3</v>
      </c>
      <c r="G2" s="4" t="s">
        <v>1</v>
      </c>
      <c r="H2" s="4">
        <v>2012</v>
      </c>
      <c r="I2" s="4">
        <v>2013</v>
      </c>
      <c r="J2" s="4" t="s">
        <v>2</v>
      </c>
      <c r="K2" s="5" t="s">
        <v>3</v>
      </c>
      <c r="M2" s="4" t="s">
        <v>1</v>
      </c>
      <c r="N2" s="4">
        <v>2011</v>
      </c>
      <c r="O2" s="4">
        <v>2012</v>
      </c>
      <c r="P2" s="4" t="s">
        <v>2</v>
      </c>
      <c r="Q2" s="5" t="s">
        <v>3</v>
      </c>
      <c r="S2" s="4" t="s">
        <v>21</v>
      </c>
      <c r="T2" s="4">
        <v>2013</v>
      </c>
      <c r="U2" s="4">
        <v>2012</v>
      </c>
      <c r="V2" s="4" t="s">
        <v>2</v>
      </c>
      <c r="W2" s="5" t="s">
        <v>3</v>
      </c>
      <c r="Y2" s="4" t="s">
        <v>1</v>
      </c>
      <c r="Z2" s="4">
        <v>2015</v>
      </c>
      <c r="AA2" s="4">
        <v>2016</v>
      </c>
      <c r="AB2" s="4" t="s">
        <v>2</v>
      </c>
      <c r="AC2" s="5" t="s">
        <v>3</v>
      </c>
    </row>
    <row r="3" spans="1:29" x14ac:dyDescent="0.3">
      <c r="A3" t="s">
        <v>4</v>
      </c>
      <c r="B3">
        <v>100000</v>
      </c>
      <c r="C3">
        <v>120000</v>
      </c>
      <c r="D3">
        <f>+C3-B3</f>
        <v>20000</v>
      </c>
      <c r="E3">
        <f>+D3/B3*100</f>
        <v>20</v>
      </c>
      <c r="G3" s="5" t="s">
        <v>8</v>
      </c>
      <c r="M3" t="s">
        <v>4</v>
      </c>
      <c r="N3">
        <v>250000</v>
      </c>
      <c r="O3">
        <v>300000</v>
      </c>
      <c r="P3">
        <f>+O3-N3</f>
        <v>50000</v>
      </c>
      <c r="Q3">
        <f>+P3/N3*100</f>
        <v>20</v>
      </c>
      <c r="S3" t="s">
        <v>4</v>
      </c>
      <c r="T3">
        <v>1100000</v>
      </c>
      <c r="U3">
        <v>1000000</v>
      </c>
      <c r="V3">
        <f>+T3-U3</f>
        <v>100000</v>
      </c>
      <c r="W3">
        <f>+V3/U3*100</f>
        <v>10</v>
      </c>
      <c r="Y3" t="s">
        <v>27</v>
      </c>
      <c r="Z3">
        <v>100000</v>
      </c>
      <c r="AA3">
        <v>120000</v>
      </c>
      <c r="AB3">
        <f>+AA3-Z3</f>
        <v>20000</v>
      </c>
      <c r="AC3">
        <f>+AB3/Z3*100</f>
        <v>20</v>
      </c>
    </row>
    <row r="4" spans="1:29" x14ac:dyDescent="0.3">
      <c r="A4" t="s">
        <v>5</v>
      </c>
      <c r="B4">
        <v>50000</v>
      </c>
      <c r="C4">
        <v>60000</v>
      </c>
      <c r="D4">
        <f>+C4-B4</f>
        <v>10000</v>
      </c>
      <c r="E4">
        <f>+D4/B4*100</f>
        <v>20</v>
      </c>
      <c r="G4" t="s">
        <v>9</v>
      </c>
      <c r="H4">
        <v>1000</v>
      </c>
      <c r="I4">
        <v>2000</v>
      </c>
      <c r="J4">
        <f>+I4-H4</f>
        <v>1000</v>
      </c>
      <c r="K4">
        <f>+J4/H4*100</f>
        <v>100</v>
      </c>
      <c r="M4" t="s">
        <v>5</v>
      </c>
      <c r="N4">
        <v>150000</v>
      </c>
      <c r="O4">
        <v>150000</v>
      </c>
      <c r="P4">
        <f>+O4-N4</f>
        <v>0</v>
      </c>
      <c r="Q4">
        <f>+P4/N4*100</f>
        <v>0</v>
      </c>
      <c r="S4" t="s">
        <v>5</v>
      </c>
      <c r="T4">
        <v>600000</v>
      </c>
      <c r="U4">
        <v>500000</v>
      </c>
      <c r="V4">
        <f t="shared" ref="V4:V12" si="0">+T4-U4</f>
        <v>100000</v>
      </c>
      <c r="W4">
        <f>+V4/U4*100</f>
        <v>20</v>
      </c>
      <c r="Y4" t="s">
        <v>28</v>
      </c>
      <c r="Z4">
        <v>20000</v>
      </c>
      <c r="AA4">
        <v>40000</v>
      </c>
      <c r="AB4">
        <f>+AA4-Z4</f>
        <v>20000</v>
      </c>
      <c r="AC4">
        <f>+AB4/Z4*100</f>
        <v>100</v>
      </c>
    </row>
    <row r="5" spans="1:29" x14ac:dyDescent="0.3">
      <c r="A5" s="4" t="s">
        <v>6</v>
      </c>
      <c r="B5" s="4">
        <f>+B3-B4</f>
        <v>50000</v>
      </c>
      <c r="C5" s="4">
        <f>+C3-C4</f>
        <v>60000</v>
      </c>
      <c r="D5" s="4">
        <f>+C5-B5</f>
        <v>10000</v>
      </c>
      <c r="E5" s="4">
        <f>+D5/B5*100</f>
        <v>20</v>
      </c>
      <c r="G5" s="1" t="s">
        <v>10</v>
      </c>
      <c r="H5">
        <v>2000</v>
      </c>
      <c r="I5">
        <v>1500</v>
      </c>
      <c r="J5">
        <f>+I5-H5</f>
        <v>-500</v>
      </c>
      <c r="K5">
        <f>+J5/H5*100</f>
        <v>-25</v>
      </c>
      <c r="M5" t="s">
        <v>14</v>
      </c>
      <c r="N5">
        <f>+N3-N4</f>
        <v>100000</v>
      </c>
      <c r="O5">
        <f>+O3-O4</f>
        <v>150000</v>
      </c>
      <c r="P5">
        <f>+O5-N5</f>
        <v>50000</v>
      </c>
      <c r="Q5">
        <f>+P5/N5*100</f>
        <v>50</v>
      </c>
      <c r="T5">
        <f>+T3-T4</f>
        <v>500000</v>
      </c>
      <c r="U5">
        <f>+U3-U4</f>
        <v>500000</v>
      </c>
      <c r="V5">
        <f t="shared" si="0"/>
        <v>0</v>
      </c>
      <c r="W5">
        <f t="shared" ref="W5:W12" si="1">+V5/U5*100</f>
        <v>0</v>
      </c>
    </row>
    <row r="6" spans="1:29" x14ac:dyDescent="0.3">
      <c r="S6" t="s">
        <v>15</v>
      </c>
      <c r="T6">
        <v>100000</v>
      </c>
      <c r="U6">
        <v>120000</v>
      </c>
      <c r="V6">
        <f t="shared" si="0"/>
        <v>-20000</v>
      </c>
      <c r="W6">
        <f t="shared" si="1"/>
        <v>-16.666666666666664</v>
      </c>
      <c r="Y6" s="4" t="s">
        <v>29</v>
      </c>
    </row>
    <row r="7" spans="1:29" x14ac:dyDescent="0.3">
      <c r="G7" s="5" t="s">
        <v>11</v>
      </c>
      <c r="M7" t="s">
        <v>20</v>
      </c>
      <c r="N7">
        <v>80000</v>
      </c>
      <c r="O7">
        <v>90000</v>
      </c>
      <c r="P7">
        <f>+O7-N7</f>
        <v>10000</v>
      </c>
      <c r="Q7">
        <f>+P7/N7*100</f>
        <v>12.5</v>
      </c>
      <c r="S7" t="s">
        <v>22</v>
      </c>
      <c r="T7">
        <f>+T5-T6</f>
        <v>400000</v>
      </c>
      <c r="U7">
        <f>+U5-U6</f>
        <v>380000</v>
      </c>
      <c r="V7">
        <f t="shared" si="0"/>
        <v>20000</v>
      </c>
      <c r="W7">
        <f t="shared" si="1"/>
        <v>5.2631578947368416</v>
      </c>
      <c r="Y7" t="s">
        <v>30</v>
      </c>
      <c r="Z7">
        <v>40000</v>
      </c>
      <c r="AA7">
        <v>80000</v>
      </c>
      <c r="AB7">
        <f t="shared" ref="AB7:AB16" si="2">+AA7-Z7</f>
        <v>40000</v>
      </c>
      <c r="AC7">
        <f t="shared" ref="AC7:AC17" si="3">+AB7/Z7*100</f>
        <v>100</v>
      </c>
    </row>
    <row r="8" spans="1:29" x14ac:dyDescent="0.3">
      <c r="G8" s="5" t="s">
        <v>12</v>
      </c>
      <c r="H8">
        <v>5000</v>
      </c>
      <c r="I8">
        <v>5500</v>
      </c>
      <c r="J8">
        <f>+I8-H8</f>
        <v>500</v>
      </c>
      <c r="K8">
        <f>+J8/H8*100</f>
        <v>10</v>
      </c>
      <c r="M8" t="s">
        <v>16</v>
      </c>
      <c r="N8">
        <v>10000</v>
      </c>
      <c r="O8">
        <v>20000</v>
      </c>
      <c r="P8">
        <f>+O8-N8</f>
        <v>10000</v>
      </c>
      <c r="Q8">
        <f>+P8/N8*100</f>
        <v>100</v>
      </c>
      <c r="S8" t="s">
        <v>23</v>
      </c>
      <c r="T8">
        <v>20000</v>
      </c>
      <c r="U8">
        <v>20000</v>
      </c>
      <c r="V8">
        <f t="shared" si="0"/>
        <v>0</v>
      </c>
      <c r="W8">
        <f t="shared" si="1"/>
        <v>0</v>
      </c>
      <c r="Y8" t="s">
        <v>31</v>
      </c>
      <c r="Z8">
        <v>10000</v>
      </c>
      <c r="AB8">
        <f t="shared" si="2"/>
        <v>-10000</v>
      </c>
      <c r="AC8">
        <f t="shared" si="3"/>
        <v>-100</v>
      </c>
    </row>
    <row r="9" spans="1:29" x14ac:dyDescent="0.3">
      <c r="Y9" t="s">
        <v>6</v>
      </c>
      <c r="Z9">
        <f>+Z3+Z4+Z7+Z8</f>
        <v>170000</v>
      </c>
      <c r="AA9">
        <f>+AA3+AA4+AA7+AA8</f>
        <v>240000</v>
      </c>
      <c r="AB9">
        <f t="shared" si="2"/>
        <v>70000</v>
      </c>
      <c r="AC9">
        <f t="shared" si="3"/>
        <v>41.17647058823529</v>
      </c>
    </row>
    <row r="10" spans="1:29" x14ac:dyDescent="0.3">
      <c r="G10" s="5" t="s">
        <v>6</v>
      </c>
      <c r="H10" s="4">
        <f>+H8+H5+H4</f>
        <v>8000</v>
      </c>
      <c r="I10" s="4">
        <f>+I4+I5+I8</f>
        <v>9000</v>
      </c>
      <c r="J10" s="4">
        <f>+I10-H10</f>
        <v>1000</v>
      </c>
      <c r="K10" s="4">
        <f>+J10/H10*100</f>
        <v>12.5</v>
      </c>
      <c r="M10" t="s">
        <v>17</v>
      </c>
      <c r="N10">
        <f>+N5-N7+N8</f>
        <v>30000</v>
      </c>
      <c r="O10">
        <f>+O5-O7+O8</f>
        <v>80000</v>
      </c>
      <c r="P10">
        <f>+O10-N10</f>
        <v>50000</v>
      </c>
      <c r="Q10">
        <f>+P10/N10*100</f>
        <v>166.66666666666669</v>
      </c>
      <c r="S10" t="s">
        <v>24</v>
      </c>
      <c r="T10">
        <v>380000</v>
      </c>
      <c r="U10">
        <v>360000</v>
      </c>
      <c r="V10">
        <f t="shared" si="0"/>
        <v>20000</v>
      </c>
      <c r="W10">
        <f t="shared" si="1"/>
        <v>5.5555555555555554</v>
      </c>
    </row>
    <row r="11" spans="1:29" x14ac:dyDescent="0.3">
      <c r="M11" t="s">
        <v>18</v>
      </c>
      <c r="N11">
        <v>6000</v>
      </c>
      <c r="O11">
        <v>16000</v>
      </c>
      <c r="P11">
        <f>+O11-N11</f>
        <v>10000</v>
      </c>
      <c r="Q11">
        <f>+P11/N11*100</f>
        <v>166.66666666666669</v>
      </c>
      <c r="T11">
        <v>38000</v>
      </c>
      <c r="U11">
        <v>36000</v>
      </c>
      <c r="V11">
        <f t="shared" si="0"/>
        <v>2000</v>
      </c>
      <c r="W11">
        <f t="shared" si="1"/>
        <v>5.5555555555555554</v>
      </c>
      <c r="Y11" s="4" t="s">
        <v>32</v>
      </c>
    </row>
    <row r="12" spans="1:29" x14ac:dyDescent="0.3">
      <c r="M12" t="s">
        <v>19</v>
      </c>
      <c r="N12">
        <f>+N10-N11</f>
        <v>24000</v>
      </c>
      <c r="O12">
        <f>+O10-O11</f>
        <v>64000</v>
      </c>
      <c r="P12">
        <f>+O12-N12</f>
        <v>40000</v>
      </c>
      <c r="Q12">
        <f>+P12/N12*100</f>
        <v>166.66666666666669</v>
      </c>
      <c r="S12" s="4" t="s">
        <v>25</v>
      </c>
      <c r="T12" s="4">
        <f>+T10-T11</f>
        <v>342000</v>
      </c>
      <c r="U12" s="4">
        <f>+U10-U11</f>
        <v>324000</v>
      </c>
      <c r="V12" s="4">
        <f t="shared" si="0"/>
        <v>18000</v>
      </c>
      <c r="W12" s="4">
        <f t="shared" si="1"/>
        <v>5.5555555555555554</v>
      </c>
      <c r="Y12" t="s">
        <v>33</v>
      </c>
      <c r="Z12">
        <v>100000</v>
      </c>
      <c r="AA12">
        <v>130000</v>
      </c>
      <c r="AB12">
        <f t="shared" si="2"/>
        <v>30000</v>
      </c>
      <c r="AC12">
        <f t="shared" si="3"/>
        <v>30</v>
      </c>
    </row>
    <row r="14" spans="1:29" x14ac:dyDescent="0.3">
      <c r="A14" s="13" t="s">
        <v>36</v>
      </c>
      <c r="B14" s="13"/>
      <c r="C14" s="13"/>
      <c r="D14" s="13"/>
      <c r="E14" s="13"/>
      <c r="F14" s="13"/>
      <c r="G14" s="13"/>
      <c r="H14" s="13"/>
      <c r="I14" s="13"/>
      <c r="J14" s="13" t="s">
        <v>53</v>
      </c>
      <c r="K14" s="13"/>
      <c r="L14" s="13"/>
      <c r="M14" s="13"/>
      <c r="N14" s="13"/>
      <c r="Y14" s="4" t="s">
        <v>34</v>
      </c>
    </row>
    <row r="15" spans="1:29" x14ac:dyDescent="0.3">
      <c r="A15" s="4" t="s">
        <v>37</v>
      </c>
      <c r="B15" s="4">
        <v>2006</v>
      </c>
      <c r="C15" s="4">
        <v>2007</v>
      </c>
      <c r="D15" s="4" t="s">
        <v>2</v>
      </c>
      <c r="E15" s="5" t="s">
        <v>3</v>
      </c>
      <c r="J15" t="s">
        <v>1</v>
      </c>
      <c r="K15" t="s">
        <v>54</v>
      </c>
      <c r="L15" t="s">
        <v>55</v>
      </c>
      <c r="M15" t="s">
        <v>56</v>
      </c>
      <c r="N15" t="s">
        <v>57</v>
      </c>
      <c r="Y15" t="s">
        <v>35</v>
      </c>
      <c r="Z15">
        <v>40000</v>
      </c>
      <c r="AA15">
        <v>60000</v>
      </c>
      <c r="AB15">
        <f t="shared" si="2"/>
        <v>20000</v>
      </c>
      <c r="AC15">
        <f t="shared" si="3"/>
        <v>50</v>
      </c>
    </row>
    <row r="16" spans="1:29" x14ac:dyDescent="0.3">
      <c r="A16" s="2" t="s">
        <v>38</v>
      </c>
      <c r="B16">
        <v>200000</v>
      </c>
      <c r="C16">
        <v>330000</v>
      </c>
      <c r="D16">
        <f>+C16-B16</f>
        <v>130000</v>
      </c>
      <c r="E16">
        <f>+D16/B16*100</f>
        <v>65</v>
      </c>
      <c r="J16" s="4" t="s">
        <v>58</v>
      </c>
      <c r="Y16" t="s">
        <v>12</v>
      </c>
      <c r="Z16">
        <v>30000</v>
      </c>
      <c r="AA16">
        <v>50000</v>
      </c>
      <c r="AB16">
        <f t="shared" si="2"/>
        <v>20000</v>
      </c>
      <c r="AC16">
        <f t="shared" si="3"/>
        <v>66.666666666666657</v>
      </c>
    </row>
    <row r="17" spans="1:29" x14ac:dyDescent="0.3">
      <c r="A17" t="s">
        <v>39</v>
      </c>
      <c r="B17">
        <v>200000</v>
      </c>
      <c r="C17">
        <v>250000</v>
      </c>
      <c r="D17">
        <f>+C17-B17</f>
        <v>50000</v>
      </c>
      <c r="E17">
        <f>+D17/B17*100</f>
        <v>25</v>
      </c>
      <c r="J17" t="s">
        <v>38</v>
      </c>
      <c r="K17">
        <v>600000</v>
      </c>
      <c r="L17">
        <v>800000</v>
      </c>
      <c r="M17">
        <f>+K17/K20*100</f>
        <v>60</v>
      </c>
      <c r="N17">
        <f>+L17/L20*100</f>
        <v>66.666666666666657</v>
      </c>
      <c r="Y17" s="4" t="s">
        <v>6</v>
      </c>
      <c r="Z17" s="4">
        <f>+Z12+Z15+Z16</f>
        <v>170000</v>
      </c>
      <c r="AA17" s="4">
        <f>+AA12+AA15+AA16</f>
        <v>240000</v>
      </c>
      <c r="AB17" s="4">
        <f>+AB16+AB15+AB12</f>
        <v>70000</v>
      </c>
      <c r="AC17">
        <f t="shared" si="3"/>
        <v>41.17647058823529</v>
      </c>
    </row>
    <row r="18" spans="1:29" x14ac:dyDescent="0.3">
      <c r="A18" t="s">
        <v>40</v>
      </c>
      <c r="B18">
        <v>20000</v>
      </c>
      <c r="C18">
        <v>30000</v>
      </c>
      <c r="D18">
        <f t="shared" ref="D18:D24" si="4">+C18-B18</f>
        <v>10000</v>
      </c>
      <c r="E18">
        <f t="shared" ref="E18:E24" si="5">+D18/B18*100</f>
        <v>50</v>
      </c>
      <c r="J18" t="s">
        <v>59</v>
      </c>
      <c r="K18">
        <v>300000</v>
      </c>
      <c r="L18">
        <v>250000</v>
      </c>
      <c r="M18">
        <f>+K18/K20*100</f>
        <v>30</v>
      </c>
      <c r="N18">
        <f>+L18/L20*100</f>
        <v>20.833333333333336</v>
      </c>
    </row>
    <row r="19" spans="1:29" x14ac:dyDescent="0.3">
      <c r="A19" t="s">
        <v>41</v>
      </c>
      <c r="B19">
        <v>15000</v>
      </c>
      <c r="C19">
        <v>20000</v>
      </c>
      <c r="D19">
        <f t="shared" si="4"/>
        <v>5000</v>
      </c>
      <c r="E19">
        <f t="shared" si="5"/>
        <v>33.333333333333329</v>
      </c>
      <c r="J19" t="s">
        <v>60</v>
      </c>
      <c r="K19">
        <v>100000</v>
      </c>
      <c r="L19">
        <v>150000</v>
      </c>
      <c r="M19">
        <f>+K19/K20*100</f>
        <v>10</v>
      </c>
      <c r="N19">
        <f>+L19/L20*100</f>
        <v>12.5</v>
      </c>
    </row>
    <row r="20" spans="1:29" x14ac:dyDescent="0.3">
      <c r="A20" t="s">
        <v>42</v>
      </c>
      <c r="B20">
        <v>50000</v>
      </c>
      <c r="C20">
        <v>50000</v>
      </c>
      <c r="D20">
        <f t="shared" si="4"/>
        <v>0</v>
      </c>
      <c r="E20">
        <f t="shared" si="5"/>
        <v>0</v>
      </c>
      <c r="J20" s="4" t="s">
        <v>6</v>
      </c>
      <c r="K20" s="4">
        <v>1000000</v>
      </c>
      <c r="L20" s="4">
        <v>1200000</v>
      </c>
      <c r="M20" s="4">
        <f>+K20/K20*100</f>
        <v>100</v>
      </c>
      <c r="N20" s="4">
        <f>+L20/L20*100</f>
        <v>100</v>
      </c>
    </row>
    <row r="21" spans="1:29" x14ac:dyDescent="0.3">
      <c r="A21" t="s">
        <v>43</v>
      </c>
      <c r="B21">
        <v>40000</v>
      </c>
      <c r="C21">
        <v>50000</v>
      </c>
      <c r="D21">
        <f t="shared" si="4"/>
        <v>10000</v>
      </c>
      <c r="E21">
        <f t="shared" si="5"/>
        <v>25</v>
      </c>
    </row>
    <row r="22" spans="1:29" x14ac:dyDescent="0.3">
      <c r="A22" t="s">
        <v>44</v>
      </c>
      <c r="B22">
        <v>20000</v>
      </c>
      <c r="C22">
        <v>25000</v>
      </c>
      <c r="D22">
        <f t="shared" si="4"/>
        <v>5000</v>
      </c>
      <c r="E22">
        <f t="shared" si="5"/>
        <v>25</v>
      </c>
      <c r="J22" s="4" t="s">
        <v>8</v>
      </c>
    </row>
    <row r="23" spans="1:29" x14ac:dyDescent="0.3">
      <c r="A23" t="s">
        <v>45</v>
      </c>
      <c r="B23">
        <v>15000</v>
      </c>
      <c r="C23">
        <v>25000</v>
      </c>
      <c r="D23">
        <f t="shared" si="4"/>
        <v>10000</v>
      </c>
      <c r="E23">
        <f t="shared" si="5"/>
        <v>66.666666666666657</v>
      </c>
      <c r="J23" t="s">
        <v>32</v>
      </c>
      <c r="K23">
        <v>400000</v>
      </c>
      <c r="L23">
        <v>700000</v>
      </c>
      <c r="M23">
        <f>+K23/K25*100</f>
        <v>40</v>
      </c>
      <c r="N23">
        <f>+L23/L25*100</f>
        <v>58.333333333333336</v>
      </c>
    </row>
    <row r="24" spans="1:29" x14ac:dyDescent="0.3">
      <c r="A24" t="s">
        <v>6</v>
      </c>
      <c r="B24">
        <v>560000</v>
      </c>
      <c r="C24">
        <v>780000</v>
      </c>
      <c r="D24">
        <f t="shared" si="4"/>
        <v>220000</v>
      </c>
      <c r="E24">
        <f t="shared" si="5"/>
        <v>39.285714285714285</v>
      </c>
      <c r="J24" s="2" t="s">
        <v>61</v>
      </c>
      <c r="K24">
        <v>600000</v>
      </c>
      <c r="L24">
        <v>500000</v>
      </c>
      <c r="M24">
        <f>+K24/K25*100</f>
        <v>60</v>
      </c>
      <c r="N24">
        <f>+L24/L25*100</f>
        <v>41.666666666666671</v>
      </c>
    </row>
    <row r="25" spans="1:29" x14ac:dyDescent="0.3">
      <c r="J25" s="4" t="s">
        <v>6</v>
      </c>
      <c r="K25" s="4">
        <v>1000000</v>
      </c>
      <c r="L25" s="4">
        <v>1200000</v>
      </c>
      <c r="M25" s="4">
        <f>+K25/K25*100</f>
        <v>100</v>
      </c>
      <c r="N25" s="4">
        <f>+L25/L25*100</f>
        <v>100</v>
      </c>
    </row>
    <row r="26" spans="1:29" x14ac:dyDescent="0.3">
      <c r="A26" s="4" t="s">
        <v>8</v>
      </c>
    </row>
    <row r="27" spans="1:29" x14ac:dyDescent="0.3">
      <c r="A27" t="s">
        <v>46</v>
      </c>
      <c r="B27">
        <v>340000</v>
      </c>
      <c r="C27">
        <v>450000</v>
      </c>
      <c r="D27">
        <f>+C27-B27</f>
        <v>110000</v>
      </c>
      <c r="E27">
        <f>+D27/B27*100</f>
        <v>32.352941176470587</v>
      </c>
      <c r="J27" s="13" t="s">
        <v>53</v>
      </c>
      <c r="K27" s="13"/>
      <c r="L27" s="13"/>
      <c r="M27" s="13"/>
      <c r="N27" s="13"/>
    </row>
    <row r="28" spans="1:29" x14ac:dyDescent="0.3">
      <c r="A28" t="s">
        <v>47</v>
      </c>
      <c r="B28">
        <v>40000</v>
      </c>
      <c r="C28">
        <v>50000</v>
      </c>
      <c r="D28">
        <f>+C28-B28</f>
        <v>10000</v>
      </c>
      <c r="E28">
        <f>+D28/B28*100</f>
        <v>25</v>
      </c>
      <c r="J28" s="4" t="s">
        <v>1</v>
      </c>
      <c r="K28" s="4" t="s">
        <v>54</v>
      </c>
      <c r="L28" s="4" t="s">
        <v>55</v>
      </c>
      <c r="M28" s="4" t="s">
        <v>2</v>
      </c>
      <c r="N28" s="5" t="s">
        <v>3</v>
      </c>
    </row>
    <row r="29" spans="1:29" x14ac:dyDescent="0.3">
      <c r="A29" t="s">
        <v>12</v>
      </c>
      <c r="B29">
        <v>100000</v>
      </c>
      <c r="C29">
        <v>125000</v>
      </c>
      <c r="D29">
        <f t="shared" ref="D29:D34" si="6">+C29-B29</f>
        <v>25000</v>
      </c>
      <c r="E29">
        <f t="shared" ref="E29:E33" si="7">+D29/B29*100</f>
        <v>25</v>
      </c>
      <c r="J29" s="4" t="s">
        <v>58</v>
      </c>
    </row>
    <row r="30" spans="1:29" x14ac:dyDescent="0.3">
      <c r="A30" t="s">
        <v>48</v>
      </c>
      <c r="B30">
        <v>20000</v>
      </c>
      <c r="C30">
        <v>60000</v>
      </c>
      <c r="D30">
        <f t="shared" si="6"/>
        <v>40000</v>
      </c>
      <c r="E30">
        <f t="shared" si="7"/>
        <v>200</v>
      </c>
      <c r="J30" t="s">
        <v>38</v>
      </c>
      <c r="K30">
        <v>600000</v>
      </c>
      <c r="L30">
        <v>800000</v>
      </c>
      <c r="M30">
        <f>+L30-K30</f>
        <v>200000</v>
      </c>
      <c r="N30">
        <f>+M30/K30*100</f>
        <v>33.333333333333329</v>
      </c>
    </row>
    <row r="31" spans="1:29" x14ac:dyDescent="0.3">
      <c r="A31" t="s">
        <v>49</v>
      </c>
      <c r="B31">
        <v>10000</v>
      </c>
      <c r="C31">
        <v>12000</v>
      </c>
      <c r="D31">
        <f t="shared" si="6"/>
        <v>2000</v>
      </c>
      <c r="E31">
        <f t="shared" si="7"/>
        <v>20</v>
      </c>
      <c r="J31" t="s">
        <v>59</v>
      </c>
      <c r="K31">
        <v>300000</v>
      </c>
      <c r="L31">
        <v>250000</v>
      </c>
      <c r="M31">
        <f>+L31-K31</f>
        <v>-50000</v>
      </c>
      <c r="N31">
        <f>+M31/K31*100</f>
        <v>-16.666666666666664</v>
      </c>
    </row>
    <row r="32" spans="1:29" x14ac:dyDescent="0.3">
      <c r="A32" t="s">
        <v>50</v>
      </c>
      <c r="B32">
        <v>40000</v>
      </c>
      <c r="C32">
        <v>53000</v>
      </c>
      <c r="D32">
        <f t="shared" si="6"/>
        <v>13000</v>
      </c>
      <c r="E32">
        <f t="shared" si="7"/>
        <v>32.5</v>
      </c>
      <c r="J32" t="s">
        <v>60</v>
      </c>
      <c r="K32">
        <v>100000</v>
      </c>
      <c r="L32">
        <v>150000</v>
      </c>
      <c r="M32">
        <f t="shared" ref="M32" si="8">+L32-K32</f>
        <v>50000</v>
      </c>
      <c r="N32">
        <f>+M32/K32*100</f>
        <v>50</v>
      </c>
    </row>
    <row r="33" spans="1:14" x14ac:dyDescent="0.3">
      <c r="A33" t="s">
        <v>51</v>
      </c>
      <c r="B33">
        <v>10000</v>
      </c>
      <c r="C33">
        <v>30000</v>
      </c>
      <c r="D33">
        <f t="shared" si="6"/>
        <v>20000</v>
      </c>
      <c r="E33">
        <f t="shared" si="7"/>
        <v>200</v>
      </c>
      <c r="J33" s="4" t="s">
        <v>6</v>
      </c>
      <c r="K33" s="4">
        <v>1000000</v>
      </c>
      <c r="L33" s="4">
        <v>1200000</v>
      </c>
      <c r="M33" s="4">
        <f>+L33-K33</f>
        <v>200000</v>
      </c>
      <c r="N33" s="4">
        <f>+M33/K33*100</f>
        <v>20</v>
      </c>
    </row>
    <row r="34" spans="1:14" x14ac:dyDescent="0.3">
      <c r="A34" t="s">
        <v>52</v>
      </c>
      <c r="B34">
        <v>560000</v>
      </c>
      <c r="C34">
        <v>780000</v>
      </c>
      <c r="D34">
        <f t="shared" si="6"/>
        <v>220000</v>
      </c>
      <c r="E34">
        <f>+D34/B34*100</f>
        <v>39.285714285714285</v>
      </c>
    </row>
    <row r="35" spans="1:14" x14ac:dyDescent="0.3">
      <c r="J35" s="4" t="s">
        <v>8</v>
      </c>
    </row>
    <row r="36" spans="1:14" x14ac:dyDescent="0.3">
      <c r="J36" t="s">
        <v>32</v>
      </c>
      <c r="K36">
        <v>400000</v>
      </c>
      <c r="L36">
        <v>700000</v>
      </c>
      <c r="M36">
        <f t="shared" ref="M36:M38" si="9">+L36-K36</f>
        <v>300000</v>
      </c>
      <c r="N36">
        <f t="shared" ref="N36:N38" si="10">+M36/K36*100</f>
        <v>75</v>
      </c>
    </row>
    <row r="37" spans="1:14" x14ac:dyDescent="0.3">
      <c r="J37" s="2" t="s">
        <v>61</v>
      </c>
      <c r="K37">
        <v>600000</v>
      </c>
      <c r="L37">
        <v>500000</v>
      </c>
      <c r="M37">
        <f t="shared" si="9"/>
        <v>-100000</v>
      </c>
      <c r="N37">
        <f t="shared" si="10"/>
        <v>-16.666666666666664</v>
      </c>
    </row>
    <row r="38" spans="1:14" x14ac:dyDescent="0.3">
      <c r="J38" s="4" t="s">
        <v>6</v>
      </c>
      <c r="K38" s="4">
        <v>1000000</v>
      </c>
      <c r="L38" s="4">
        <v>1200000</v>
      </c>
      <c r="M38" s="4">
        <f t="shared" si="9"/>
        <v>200000</v>
      </c>
      <c r="N38" s="4">
        <f t="shared" si="10"/>
        <v>20</v>
      </c>
    </row>
    <row r="40" spans="1:14" x14ac:dyDescent="0.3">
      <c r="A40" s="14" t="s">
        <v>62</v>
      </c>
      <c r="B40" s="14"/>
      <c r="C40" s="14"/>
    </row>
    <row r="41" spans="1:14" x14ac:dyDescent="0.3">
      <c r="A41" s="4" t="s">
        <v>37</v>
      </c>
      <c r="B41" s="4" t="s">
        <v>63</v>
      </c>
      <c r="C41" s="4" t="s">
        <v>64</v>
      </c>
      <c r="D41" s="4" t="s">
        <v>65</v>
      </c>
      <c r="E41" s="4" t="s">
        <v>66</v>
      </c>
    </row>
    <row r="42" spans="1:14" x14ac:dyDescent="0.3">
      <c r="A42" t="s">
        <v>67</v>
      </c>
      <c r="B42">
        <v>625000</v>
      </c>
      <c r="C42">
        <v>675000</v>
      </c>
      <c r="D42">
        <f>+B42/B50*100</f>
        <v>44.601918952961036</v>
      </c>
      <c r="E42">
        <f>+C42/C50*100</f>
        <v>48.040311158874651</v>
      </c>
    </row>
    <row r="43" spans="1:14" x14ac:dyDescent="0.3">
      <c r="A43" t="s">
        <v>68</v>
      </c>
      <c r="B43">
        <v>352000</v>
      </c>
      <c r="C43">
        <v>352000</v>
      </c>
      <c r="D43">
        <f>+B43/B50*100</f>
        <v>25.119800754307654</v>
      </c>
      <c r="E43">
        <f>+C43/C50*100</f>
        <v>25.0521326339613</v>
      </c>
    </row>
    <row r="44" spans="1:14" x14ac:dyDescent="0.3">
      <c r="A44" t="s">
        <v>69</v>
      </c>
      <c r="B44">
        <v>175535</v>
      </c>
      <c r="C44">
        <v>59070</v>
      </c>
      <c r="D44">
        <f>+B44/B50*100</f>
        <v>12.526716549452823</v>
      </c>
      <c r="E44">
        <f>+C44/C50*100</f>
        <v>4.2040610076366303</v>
      </c>
    </row>
    <row r="45" spans="1:14" x14ac:dyDescent="0.3">
      <c r="A45" t="s">
        <v>70</v>
      </c>
      <c r="B45">
        <v>225000</v>
      </c>
      <c r="C45">
        <v>200000</v>
      </c>
      <c r="D45">
        <f>+B45/B50*100</f>
        <v>16.056690823065971</v>
      </c>
      <c r="E45">
        <f>+C45/C50*100</f>
        <v>14.234166269296193</v>
      </c>
    </row>
    <row r="46" spans="1:14" x14ac:dyDescent="0.3">
      <c r="A46" t="s">
        <v>71</v>
      </c>
      <c r="B46">
        <v>3750</v>
      </c>
      <c r="C46">
        <v>3000</v>
      </c>
      <c r="D46">
        <f>+B46/B50*100</f>
        <v>0.2676115137177662</v>
      </c>
      <c r="E46">
        <f>+C46/C50*100</f>
        <v>0.21351249403944289</v>
      </c>
    </row>
    <row r="47" spans="1:14" x14ac:dyDescent="0.3">
      <c r="A47" t="s">
        <v>72</v>
      </c>
      <c r="B47">
        <v>112000</v>
      </c>
      <c r="C47">
        <v>143000</v>
      </c>
      <c r="D47">
        <f>+B47/B50*100</f>
        <v>7.9926638763706173</v>
      </c>
      <c r="E47">
        <f>+C47/C50*100</f>
        <v>10.177428882546776</v>
      </c>
      <c r="J47" s="3"/>
    </row>
    <row r="48" spans="1:14" x14ac:dyDescent="0.3">
      <c r="A48" t="s">
        <v>73</v>
      </c>
      <c r="C48">
        <v>25000</v>
      </c>
      <c r="D48">
        <f>+B48/B50*100</f>
        <v>0</v>
      </c>
      <c r="E48">
        <f>+C48/C50*100</f>
        <v>1.7792707836620241</v>
      </c>
    </row>
    <row r="49" spans="1:5" x14ac:dyDescent="0.3">
      <c r="A49" t="s">
        <v>74</v>
      </c>
      <c r="B49">
        <v>8000</v>
      </c>
      <c r="C49">
        <v>48000</v>
      </c>
      <c r="D49">
        <f>+B49/B50*100</f>
        <v>0.57090456259790123</v>
      </c>
      <c r="E49">
        <f>+C49/C50*100</f>
        <v>3.4161999046310862</v>
      </c>
    </row>
    <row r="50" spans="1:5" x14ac:dyDescent="0.3">
      <c r="A50" s="4" t="s">
        <v>6</v>
      </c>
      <c r="B50" s="4">
        <v>1401285</v>
      </c>
      <c r="C50" s="4">
        <v>1405070</v>
      </c>
      <c r="D50" s="4">
        <f>+B50/B50*100</f>
        <v>100</v>
      </c>
      <c r="E50" s="4">
        <f>+C50/C50*100</f>
        <v>100</v>
      </c>
    </row>
    <row r="52" spans="1:5" x14ac:dyDescent="0.3">
      <c r="A52" s="4" t="s">
        <v>8</v>
      </c>
    </row>
    <row r="53" spans="1:5" x14ac:dyDescent="0.3">
      <c r="A53" t="s">
        <v>75</v>
      </c>
      <c r="B53">
        <v>80000</v>
      </c>
      <c r="C53">
        <v>50000</v>
      </c>
      <c r="D53">
        <f>+B53/B62*100</f>
        <v>5.7090456259790123</v>
      </c>
      <c r="E53">
        <f>+C53/C62*100</f>
        <v>3.5585415673240481</v>
      </c>
    </row>
    <row r="54" spans="1:5" x14ac:dyDescent="0.3">
      <c r="A54" t="s">
        <v>76</v>
      </c>
      <c r="B54">
        <v>526000</v>
      </c>
      <c r="C54">
        <v>513000</v>
      </c>
      <c r="D54">
        <f>+B54/B62*100</f>
        <v>37.536974990812006</v>
      </c>
      <c r="E54">
        <f>+C54/C62*100</f>
        <v>36.510636480744729</v>
      </c>
    </row>
    <row r="55" spans="1:5" x14ac:dyDescent="0.3">
      <c r="A55" t="s">
        <v>77</v>
      </c>
      <c r="B55">
        <v>30000</v>
      </c>
      <c r="C55">
        <v>26000</v>
      </c>
      <c r="D55">
        <f>+B55/B62*100</f>
        <v>2.1408921097421296</v>
      </c>
      <c r="E55">
        <f>+C55/C62*100</f>
        <v>1.8504416150085048</v>
      </c>
    </row>
    <row r="56" spans="1:5" x14ac:dyDescent="0.3">
      <c r="A56" t="s">
        <v>78</v>
      </c>
      <c r="B56">
        <v>205000</v>
      </c>
      <c r="C56">
        <v>125000</v>
      </c>
      <c r="D56">
        <f>+B56/B62*100</f>
        <v>14.629429416571218</v>
      </c>
      <c r="E56">
        <f>+C56/C62*100</f>
        <v>8.896353918310119</v>
      </c>
    </row>
    <row r="57" spans="1:5" x14ac:dyDescent="0.3">
      <c r="A57" t="s">
        <v>79</v>
      </c>
      <c r="B57">
        <v>170650</v>
      </c>
      <c r="C57">
        <v>287000</v>
      </c>
      <c r="D57">
        <f>+B57/B62*100</f>
        <v>12.17810795091648</v>
      </c>
      <c r="E57">
        <f>+C57/C62*100</f>
        <v>20.426028596440034</v>
      </c>
    </row>
    <row r="58" spans="1:5" x14ac:dyDescent="0.3">
      <c r="A58" t="s">
        <v>49</v>
      </c>
      <c r="B58">
        <v>3200</v>
      </c>
      <c r="C58">
        <v>4600</v>
      </c>
      <c r="D58">
        <f>+B58/B62*100</f>
        <v>0.2283618250391605</v>
      </c>
      <c r="E58">
        <f>+C58/C62*100</f>
        <v>0.3273858241938124</v>
      </c>
    </row>
    <row r="59" spans="1:5" x14ac:dyDescent="0.3">
      <c r="A59" t="s">
        <v>12</v>
      </c>
      <c r="B59">
        <v>138760</v>
      </c>
      <c r="C59">
        <v>153000</v>
      </c>
      <c r="D59">
        <f>+B59/B62*100</f>
        <v>9.9023396382605959</v>
      </c>
      <c r="E59">
        <f>+C59/C62*100</f>
        <v>10.889137196011585</v>
      </c>
    </row>
    <row r="60" spans="1:5" x14ac:dyDescent="0.3">
      <c r="A60" t="s">
        <v>47</v>
      </c>
      <c r="B60">
        <v>235800</v>
      </c>
      <c r="C60">
        <v>287670</v>
      </c>
      <c r="D60">
        <f>+B60/B62*100</f>
        <v>16.827411982573139</v>
      </c>
      <c r="E60">
        <f>+C60/C62*100</f>
        <v>20.473713053442179</v>
      </c>
    </row>
    <row r="61" spans="1:5" x14ac:dyDescent="0.3">
      <c r="A61" t="s">
        <v>80</v>
      </c>
      <c r="B61">
        <v>6875</v>
      </c>
      <c r="C61">
        <v>5000</v>
      </c>
      <c r="D61">
        <f>+B61/B62*100</f>
        <v>0.4906211084825714</v>
      </c>
      <c r="E61">
        <f>+C61/C62*100</f>
        <v>0.35585415673240484</v>
      </c>
    </row>
    <row r="62" spans="1:5" x14ac:dyDescent="0.3">
      <c r="A62" s="4" t="s">
        <v>6</v>
      </c>
      <c r="B62" s="4">
        <v>1401285</v>
      </c>
      <c r="C62" s="4">
        <v>1405070</v>
      </c>
      <c r="D62" s="4">
        <f>+B62/B62*100</f>
        <v>100</v>
      </c>
      <c r="E62" s="4">
        <f>+C62/C62*100</f>
        <v>100</v>
      </c>
    </row>
  </sheetData>
  <mergeCells count="9">
    <mergeCell ref="Y1:AB1"/>
    <mergeCell ref="A14:I14"/>
    <mergeCell ref="J14:N14"/>
    <mergeCell ref="A40:C40"/>
    <mergeCell ref="J27:N27"/>
    <mergeCell ref="A1:C1"/>
    <mergeCell ref="G1:I1"/>
    <mergeCell ref="M1:O1"/>
    <mergeCell ref="S1:U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topLeftCell="A188" workbookViewId="0">
      <selection activeCell="A215" sqref="A215"/>
    </sheetView>
  </sheetViews>
  <sheetFormatPr defaultRowHeight="14.4" x14ac:dyDescent="0.3"/>
  <cols>
    <col min="1" max="1" width="37.33203125" bestFit="1" customWidth="1"/>
    <col min="2" max="2" width="10.5546875" bestFit="1" customWidth="1"/>
    <col min="3" max="3" width="14" bestFit="1" customWidth="1"/>
    <col min="4" max="4" width="11.44140625" bestFit="1" customWidth="1"/>
    <col min="5" max="5" width="12" bestFit="1" customWidth="1"/>
    <col min="6" max="6" width="12.109375" bestFit="1" customWidth="1"/>
    <col min="9" max="9" width="24.21875" bestFit="1" customWidth="1"/>
    <col min="10" max="10" width="25.77734375" bestFit="1" customWidth="1"/>
    <col min="11" max="11" width="13.33203125" bestFit="1" customWidth="1"/>
    <col min="12" max="12" width="26.6640625" bestFit="1" customWidth="1"/>
  </cols>
  <sheetData>
    <row r="1" spans="1:11" x14ac:dyDescent="0.3">
      <c r="A1" s="13" t="s">
        <v>81</v>
      </c>
      <c r="B1" s="13"/>
      <c r="C1" s="13"/>
      <c r="D1" s="13"/>
    </row>
    <row r="2" spans="1:11" x14ac:dyDescent="0.3">
      <c r="B2" s="13" t="s">
        <v>82</v>
      </c>
      <c r="C2" s="13"/>
      <c r="D2" s="13"/>
      <c r="E2" s="13" t="s">
        <v>83</v>
      </c>
      <c r="F2" s="13"/>
      <c r="G2" s="13"/>
      <c r="H2" s="13" t="s">
        <v>84</v>
      </c>
      <c r="I2" s="13"/>
      <c r="J2" s="13"/>
    </row>
    <row r="3" spans="1:11" x14ac:dyDescent="0.3">
      <c r="B3" s="4" t="s">
        <v>85</v>
      </c>
      <c r="C3" s="4" t="s">
        <v>86</v>
      </c>
      <c r="D3" s="4" t="s">
        <v>87</v>
      </c>
      <c r="E3" s="4" t="s">
        <v>85</v>
      </c>
      <c r="F3" s="4" t="s">
        <v>86</v>
      </c>
      <c r="G3" s="4" t="s">
        <v>87</v>
      </c>
      <c r="H3" s="4" t="s">
        <v>85</v>
      </c>
      <c r="I3" s="4" t="s">
        <v>86</v>
      </c>
      <c r="J3" s="4" t="s">
        <v>87</v>
      </c>
      <c r="K3" s="4" t="s">
        <v>91</v>
      </c>
    </row>
    <row r="4" spans="1:11" x14ac:dyDescent="0.3">
      <c r="A4" s="4" t="s">
        <v>88</v>
      </c>
      <c r="B4" s="3">
        <v>30000</v>
      </c>
      <c r="C4" s="3">
        <v>10</v>
      </c>
      <c r="D4" s="3">
        <f>+B4*C4</f>
        <v>300000</v>
      </c>
      <c r="E4">
        <v>33000</v>
      </c>
      <c r="F4">
        <v>22</v>
      </c>
      <c r="G4" s="3">
        <f>+E4*F4</f>
        <v>726000</v>
      </c>
      <c r="H4">
        <v>11000</v>
      </c>
      <c r="I4">
        <v>50</v>
      </c>
      <c r="J4" s="3">
        <f>+H4*I4</f>
        <v>550000</v>
      </c>
      <c r="K4">
        <f>+D4+G4+J4</f>
        <v>1576000</v>
      </c>
    </row>
    <row r="5" spans="1:11" x14ac:dyDescent="0.3">
      <c r="A5" s="4" t="s">
        <v>89</v>
      </c>
      <c r="B5">
        <v>24000</v>
      </c>
      <c r="C5">
        <v>10</v>
      </c>
      <c r="D5" s="3">
        <f t="shared" ref="D5:D6" si="0">+B5*C5</f>
        <v>240000</v>
      </c>
      <c r="E5">
        <v>27500</v>
      </c>
      <c r="F5">
        <v>22</v>
      </c>
      <c r="G5" s="3">
        <f t="shared" ref="G5:G6" si="1">+E5*F5</f>
        <v>605000</v>
      </c>
      <c r="H5">
        <v>11000</v>
      </c>
      <c r="I5">
        <v>50</v>
      </c>
      <c r="J5" s="3">
        <f t="shared" ref="J5:J6" si="2">+H5*I5</f>
        <v>550000</v>
      </c>
      <c r="K5" s="3">
        <f t="shared" ref="K5:K6" si="3">+D5+G5+J5</f>
        <v>1395000</v>
      </c>
    </row>
    <row r="6" spans="1:11" x14ac:dyDescent="0.3">
      <c r="A6" s="4" t="s">
        <v>90</v>
      </c>
      <c r="B6">
        <v>36000</v>
      </c>
      <c r="C6">
        <v>10</v>
      </c>
      <c r="D6" s="3">
        <f t="shared" si="0"/>
        <v>360000</v>
      </c>
      <c r="E6">
        <v>38500</v>
      </c>
      <c r="F6">
        <v>22</v>
      </c>
      <c r="G6" s="3">
        <f t="shared" si="1"/>
        <v>847000</v>
      </c>
      <c r="H6">
        <v>11000</v>
      </c>
      <c r="I6">
        <v>50</v>
      </c>
      <c r="J6" s="3">
        <f t="shared" si="2"/>
        <v>550000</v>
      </c>
      <c r="K6" s="3">
        <f t="shared" si="3"/>
        <v>1757000</v>
      </c>
    </row>
    <row r="7" spans="1:11" x14ac:dyDescent="0.3">
      <c r="A7" s="4" t="s">
        <v>6</v>
      </c>
      <c r="B7" s="4">
        <f>+B4+B5+B6</f>
        <v>90000</v>
      </c>
      <c r="C7" s="4">
        <v>10</v>
      </c>
      <c r="D7" s="4">
        <f>+D4+D5+D6</f>
        <v>900000</v>
      </c>
      <c r="E7" s="4">
        <f>+E4+E5+E6</f>
        <v>99000</v>
      </c>
      <c r="F7" s="4">
        <v>22</v>
      </c>
      <c r="G7" s="4">
        <f>+G4+G5+G6</f>
        <v>2178000</v>
      </c>
      <c r="H7" s="4">
        <f>+H4+H5+H6</f>
        <v>33000</v>
      </c>
      <c r="I7" s="4">
        <v>50</v>
      </c>
      <c r="J7" s="4">
        <f>+J4+J5+J6</f>
        <v>1650000</v>
      </c>
      <c r="K7" s="4">
        <f>+D7+G7+J7</f>
        <v>4728000</v>
      </c>
    </row>
    <row r="8" spans="1:11" x14ac:dyDescent="0.3">
      <c r="K8" s="3"/>
    </row>
    <row r="9" spans="1:11" x14ac:dyDescent="0.3">
      <c r="A9" s="13" t="s">
        <v>92</v>
      </c>
      <c r="B9" s="13"/>
    </row>
    <row r="10" spans="1:11" x14ac:dyDescent="0.3">
      <c r="B10" s="13" t="s">
        <v>82</v>
      </c>
      <c r="C10" s="13"/>
      <c r="D10" s="13"/>
      <c r="E10" s="13" t="s">
        <v>83</v>
      </c>
      <c r="F10" s="13"/>
      <c r="G10" s="13"/>
    </row>
    <row r="11" spans="1:11" x14ac:dyDescent="0.3">
      <c r="B11" s="4" t="s">
        <v>93</v>
      </c>
      <c r="C11" s="4" t="s">
        <v>94</v>
      </c>
      <c r="D11" s="4" t="s">
        <v>87</v>
      </c>
      <c r="E11" s="4" t="s">
        <v>93</v>
      </c>
      <c r="F11" s="4" t="s">
        <v>95</v>
      </c>
      <c r="G11" s="4" t="s">
        <v>87</v>
      </c>
      <c r="H11" s="4" t="s">
        <v>6</v>
      </c>
    </row>
    <row r="12" spans="1:11" x14ac:dyDescent="0.3">
      <c r="A12" s="4" t="s">
        <v>96</v>
      </c>
      <c r="B12">
        <v>60000</v>
      </c>
      <c r="C12">
        <v>2</v>
      </c>
      <c r="D12">
        <f>+B12*C12</f>
        <v>120000</v>
      </c>
      <c r="E12">
        <v>80000</v>
      </c>
      <c r="F12">
        <v>3</v>
      </c>
      <c r="G12">
        <f>+E12*F12</f>
        <v>240000</v>
      </c>
      <c r="H12">
        <f>+D12+G12</f>
        <v>360000</v>
      </c>
    </row>
    <row r="13" spans="1:11" x14ac:dyDescent="0.3">
      <c r="A13" s="4" t="s">
        <v>97</v>
      </c>
      <c r="B13">
        <v>110000</v>
      </c>
      <c r="C13">
        <v>2</v>
      </c>
      <c r="D13" s="7">
        <f t="shared" ref="D13:D14" si="4">+B13*C13</f>
        <v>220000</v>
      </c>
      <c r="E13">
        <v>88000</v>
      </c>
      <c r="F13">
        <v>3</v>
      </c>
      <c r="G13">
        <f>+E13*F13</f>
        <v>264000</v>
      </c>
      <c r="H13">
        <f>+D13+G13</f>
        <v>484000</v>
      </c>
    </row>
    <row r="14" spans="1:11" x14ac:dyDescent="0.3">
      <c r="A14" s="4" t="s">
        <v>98</v>
      </c>
      <c r="B14">
        <v>20000</v>
      </c>
      <c r="C14">
        <v>2</v>
      </c>
      <c r="D14" s="7">
        <f t="shared" si="4"/>
        <v>40000</v>
      </c>
      <c r="E14">
        <v>100000</v>
      </c>
      <c r="F14">
        <v>3</v>
      </c>
      <c r="G14" s="7">
        <f>+E14*F14</f>
        <v>300000</v>
      </c>
      <c r="H14">
        <f>+D14+G14</f>
        <v>340000</v>
      </c>
    </row>
    <row r="15" spans="1:11" x14ac:dyDescent="0.3">
      <c r="A15" s="4" t="s">
        <v>6</v>
      </c>
      <c r="B15" s="4">
        <f>+B12+B13+B14</f>
        <v>190000</v>
      </c>
      <c r="C15" s="4">
        <v>2</v>
      </c>
      <c r="D15" s="4">
        <f>+B15*C15</f>
        <v>380000</v>
      </c>
      <c r="E15" s="4">
        <f>+E12+E13+E14</f>
        <v>268000</v>
      </c>
      <c r="F15" s="4">
        <v>3</v>
      </c>
      <c r="G15" s="4">
        <f>+E15*F15</f>
        <v>804000</v>
      </c>
      <c r="H15" s="4">
        <f>+H12+H13+H14</f>
        <v>1184000</v>
      </c>
    </row>
    <row r="17" spans="1:14" x14ac:dyDescent="0.3">
      <c r="A17" s="13" t="s">
        <v>99</v>
      </c>
      <c r="B17" s="13"/>
    </row>
    <row r="18" spans="1:14" x14ac:dyDescent="0.3">
      <c r="B18" s="13" t="s">
        <v>100</v>
      </c>
      <c r="C18" s="13"/>
      <c r="D18" s="13"/>
      <c r="E18" s="13" t="s">
        <v>101</v>
      </c>
      <c r="F18" s="13"/>
      <c r="G18" s="13"/>
    </row>
    <row r="19" spans="1:14" x14ac:dyDescent="0.3">
      <c r="A19" s="4" t="s">
        <v>102</v>
      </c>
      <c r="B19" s="4" t="s">
        <v>85</v>
      </c>
      <c r="C19" s="4" t="s">
        <v>94</v>
      </c>
      <c r="D19" s="4" t="s">
        <v>87</v>
      </c>
      <c r="E19" s="4" t="s">
        <v>85</v>
      </c>
      <c r="F19" s="4" t="s">
        <v>94</v>
      </c>
      <c r="G19" s="4" t="s">
        <v>87</v>
      </c>
      <c r="H19" s="4" t="s">
        <v>6</v>
      </c>
      <c r="I19" s="4" t="s">
        <v>108</v>
      </c>
      <c r="J19" s="4" t="s">
        <v>109</v>
      </c>
      <c r="K19" s="4" t="s">
        <v>6</v>
      </c>
      <c r="L19" s="4" t="s">
        <v>110</v>
      </c>
    </row>
    <row r="20" spans="1:14" x14ac:dyDescent="0.3">
      <c r="A20" s="4" t="s">
        <v>103</v>
      </c>
      <c r="B20">
        <v>5000</v>
      </c>
      <c r="C20">
        <v>10</v>
      </c>
      <c r="D20">
        <f>+B20*C20</f>
        <v>50000</v>
      </c>
      <c r="E20">
        <v>2500</v>
      </c>
      <c r="F20">
        <v>20</v>
      </c>
      <c r="G20">
        <f>+E20*F20</f>
        <v>50000</v>
      </c>
      <c r="H20">
        <f>+D20+G20</f>
        <v>100000</v>
      </c>
      <c r="I20">
        <f>+H20*0.1</f>
        <v>10000</v>
      </c>
      <c r="J20">
        <f>+H20*0.02</f>
        <v>2000</v>
      </c>
      <c r="K20">
        <f>+I20+J20</f>
        <v>12000</v>
      </c>
      <c r="L20">
        <f>+H20*0.88</f>
        <v>88000</v>
      </c>
    </row>
    <row r="21" spans="1:14" x14ac:dyDescent="0.3">
      <c r="A21" s="4" t="s">
        <v>106</v>
      </c>
      <c r="B21">
        <v>6000</v>
      </c>
      <c r="C21">
        <v>10</v>
      </c>
      <c r="D21">
        <f>+B21*C21</f>
        <v>60000</v>
      </c>
      <c r="E21">
        <v>2250</v>
      </c>
      <c r="F21">
        <v>20</v>
      </c>
      <c r="G21" s="7">
        <f t="shared" ref="G21:G23" si="5">+E21*F21</f>
        <v>45000</v>
      </c>
      <c r="H21" s="7">
        <f t="shared" ref="H21:H24" si="6">+D21+G21</f>
        <v>105000</v>
      </c>
      <c r="I21">
        <f>+H21*0.1</f>
        <v>10500</v>
      </c>
      <c r="J21">
        <f>+H21*0.02</f>
        <v>2100</v>
      </c>
      <c r="K21">
        <f>+I21+J21</f>
        <v>12600</v>
      </c>
      <c r="L21">
        <f>+H21*0.88</f>
        <v>92400</v>
      </c>
    </row>
    <row r="22" spans="1:14" x14ac:dyDescent="0.3">
      <c r="A22" s="4" t="s">
        <v>105</v>
      </c>
      <c r="B22">
        <v>6500</v>
      </c>
      <c r="C22">
        <v>10</v>
      </c>
      <c r="D22" s="7">
        <f t="shared" ref="D22:D23" si="7">+B22*C22</f>
        <v>65000</v>
      </c>
      <c r="E22">
        <v>2000</v>
      </c>
      <c r="F22">
        <v>20</v>
      </c>
      <c r="G22" s="7">
        <f t="shared" si="5"/>
        <v>40000</v>
      </c>
      <c r="H22" s="7">
        <f t="shared" si="6"/>
        <v>105000</v>
      </c>
      <c r="I22" s="7">
        <f t="shared" ref="I22" si="8">+H22*0.1</f>
        <v>10500</v>
      </c>
      <c r="J22" s="7">
        <f t="shared" ref="J22" si="9">+H22*0.02</f>
        <v>2100</v>
      </c>
      <c r="K22">
        <f>+I22+J22</f>
        <v>12600</v>
      </c>
      <c r="L22" s="7">
        <f t="shared" ref="L22:L23" si="10">+H22*0.88</f>
        <v>92400</v>
      </c>
    </row>
    <row r="23" spans="1:14" x14ac:dyDescent="0.3">
      <c r="A23" s="4" t="s">
        <v>104</v>
      </c>
      <c r="B23">
        <v>7500</v>
      </c>
      <c r="C23">
        <v>10</v>
      </c>
      <c r="D23" s="7">
        <f t="shared" si="7"/>
        <v>75000</v>
      </c>
      <c r="E23">
        <v>1900</v>
      </c>
      <c r="F23">
        <v>20</v>
      </c>
      <c r="G23" s="7">
        <f t="shared" si="5"/>
        <v>38000</v>
      </c>
      <c r="H23" s="7">
        <f t="shared" si="6"/>
        <v>113000</v>
      </c>
      <c r="I23" s="7">
        <f>+H23*0.1</f>
        <v>11300</v>
      </c>
      <c r="J23" s="7">
        <f>+H23*0.02</f>
        <v>2260</v>
      </c>
      <c r="K23">
        <f>+I23+J23</f>
        <v>13560</v>
      </c>
      <c r="L23" s="7">
        <f t="shared" si="10"/>
        <v>99440</v>
      </c>
    </row>
    <row r="24" spans="1:14" x14ac:dyDescent="0.3">
      <c r="A24" s="4" t="s">
        <v>6</v>
      </c>
      <c r="B24" s="4">
        <f>+B20+B21+B22+B23</f>
        <v>25000</v>
      </c>
      <c r="C24" s="4">
        <v>10</v>
      </c>
      <c r="D24" s="4">
        <f>+B24*C24</f>
        <v>250000</v>
      </c>
      <c r="E24" s="4">
        <f>+E20+E21+E22+E23</f>
        <v>8650</v>
      </c>
      <c r="F24" s="4">
        <v>20</v>
      </c>
      <c r="G24" s="4">
        <f>+E24*F24</f>
        <v>173000</v>
      </c>
      <c r="H24" s="4">
        <f t="shared" si="6"/>
        <v>423000</v>
      </c>
      <c r="L24" s="4">
        <f>+L20+L21+L22+L23</f>
        <v>372240</v>
      </c>
    </row>
    <row r="25" spans="1:14" x14ac:dyDescent="0.3">
      <c r="A25" s="4" t="s">
        <v>99</v>
      </c>
    </row>
    <row r="26" spans="1:14" x14ac:dyDescent="0.3">
      <c r="A26" s="4"/>
      <c r="C26" s="6" t="s">
        <v>100</v>
      </c>
      <c r="F26" s="4" t="s">
        <v>101</v>
      </c>
      <c r="I26" s="6" t="s">
        <v>111</v>
      </c>
      <c r="L26" s="6" t="s">
        <v>112</v>
      </c>
    </row>
    <row r="27" spans="1:14" x14ac:dyDescent="0.3">
      <c r="B27" s="4" t="s">
        <v>93</v>
      </c>
      <c r="C27" s="4" t="s">
        <v>94</v>
      </c>
      <c r="D27" s="4" t="s">
        <v>87</v>
      </c>
      <c r="E27" s="4" t="s">
        <v>85</v>
      </c>
      <c r="F27" s="4" t="s">
        <v>94</v>
      </c>
      <c r="G27" s="4" t="s">
        <v>87</v>
      </c>
      <c r="H27" s="4" t="s">
        <v>93</v>
      </c>
      <c r="I27" s="4" t="s">
        <v>94</v>
      </c>
      <c r="J27" s="4" t="s">
        <v>87</v>
      </c>
      <c r="K27" s="4" t="s">
        <v>93</v>
      </c>
      <c r="L27" s="4" t="s">
        <v>94</v>
      </c>
      <c r="M27" s="4" t="s">
        <v>87</v>
      </c>
      <c r="N27" s="4" t="s">
        <v>6</v>
      </c>
    </row>
    <row r="28" spans="1:14" x14ac:dyDescent="0.3">
      <c r="A28" s="4" t="s">
        <v>113</v>
      </c>
      <c r="B28">
        <v>500</v>
      </c>
      <c r="C28">
        <v>10</v>
      </c>
      <c r="D28">
        <f>+B28*C28</f>
        <v>5000</v>
      </c>
      <c r="E28">
        <v>750</v>
      </c>
      <c r="F28">
        <v>10</v>
      </c>
      <c r="G28">
        <f>+E28*F28</f>
        <v>7500</v>
      </c>
      <c r="H28">
        <v>1250</v>
      </c>
      <c r="I28">
        <v>10</v>
      </c>
      <c r="J28">
        <f>+H28*I28</f>
        <v>12500</v>
      </c>
      <c r="K28">
        <v>1750</v>
      </c>
      <c r="L28">
        <v>10</v>
      </c>
      <c r="M28">
        <f>+K28*L28</f>
        <v>17500</v>
      </c>
      <c r="N28">
        <f>+D28+G28+J28+M28</f>
        <v>42500</v>
      </c>
    </row>
    <row r="29" spans="1:14" x14ac:dyDescent="0.3">
      <c r="A29" s="4" t="s">
        <v>114</v>
      </c>
      <c r="B29">
        <v>1000</v>
      </c>
      <c r="C29">
        <v>10</v>
      </c>
      <c r="D29" s="7">
        <f t="shared" ref="D29:D30" si="11">+B29*C29</f>
        <v>10000</v>
      </c>
      <c r="E29">
        <v>900</v>
      </c>
      <c r="F29">
        <v>10</v>
      </c>
      <c r="G29" s="7">
        <f t="shared" ref="G29:G30" si="12">+E29*F29</f>
        <v>9000</v>
      </c>
      <c r="H29">
        <v>1400</v>
      </c>
      <c r="I29">
        <v>10</v>
      </c>
      <c r="J29" s="7">
        <f t="shared" ref="J29:J30" si="13">+H29*I29</f>
        <v>14000</v>
      </c>
      <c r="K29">
        <v>2000</v>
      </c>
      <c r="L29">
        <v>10</v>
      </c>
      <c r="M29" s="7">
        <f t="shared" ref="M29:M30" si="14">+K29*L29</f>
        <v>20000</v>
      </c>
      <c r="N29">
        <f>+D29+G29+J29+M29</f>
        <v>53000</v>
      </c>
    </row>
    <row r="30" spans="1:14" x14ac:dyDescent="0.3">
      <c r="A30" s="4" t="s">
        <v>115</v>
      </c>
      <c r="B30">
        <v>1250</v>
      </c>
      <c r="C30">
        <v>10</v>
      </c>
      <c r="D30" s="7">
        <f t="shared" si="11"/>
        <v>12500</v>
      </c>
      <c r="E30">
        <v>1000</v>
      </c>
      <c r="F30">
        <v>10</v>
      </c>
      <c r="G30" s="7">
        <f t="shared" si="12"/>
        <v>10000</v>
      </c>
      <c r="H30">
        <v>1500</v>
      </c>
      <c r="I30">
        <v>10</v>
      </c>
      <c r="J30" s="7">
        <f t="shared" si="13"/>
        <v>15000</v>
      </c>
      <c r="K30">
        <v>2250</v>
      </c>
      <c r="L30">
        <v>10</v>
      </c>
      <c r="M30" s="7">
        <f t="shared" si="14"/>
        <v>22500</v>
      </c>
      <c r="N30" s="7">
        <f t="shared" ref="N30" si="15">+D30+G30+J30+M30</f>
        <v>60000</v>
      </c>
    </row>
    <row r="31" spans="1:14" x14ac:dyDescent="0.3">
      <c r="A31" s="4" t="s">
        <v>6</v>
      </c>
      <c r="B31" s="4">
        <f>+B28+B29+B30</f>
        <v>2750</v>
      </c>
      <c r="C31" s="4">
        <v>10</v>
      </c>
      <c r="D31" s="4">
        <f>+B31*C31</f>
        <v>27500</v>
      </c>
      <c r="E31" s="4">
        <f>+E28+E29+E30</f>
        <v>2650</v>
      </c>
      <c r="F31" s="4">
        <v>10</v>
      </c>
      <c r="G31" s="4">
        <f>+E31*F31</f>
        <v>26500</v>
      </c>
      <c r="H31" s="4">
        <f>+H28+H29+H30</f>
        <v>4150</v>
      </c>
      <c r="I31" s="4">
        <v>10</v>
      </c>
      <c r="J31" s="4">
        <f>+H31*I31</f>
        <v>41500</v>
      </c>
      <c r="K31" s="4">
        <f>+K28+K29+K30</f>
        <v>6000</v>
      </c>
      <c r="L31" s="4">
        <v>10</v>
      </c>
      <c r="M31" s="4">
        <f>+K31*L31</f>
        <v>60000</v>
      </c>
      <c r="N31" s="7">
        <f>+D31+G31+J31+M31</f>
        <v>155500</v>
      </c>
    </row>
    <row r="32" spans="1:14" x14ac:dyDescent="0.3">
      <c r="A32" s="13" t="s">
        <v>116</v>
      </c>
      <c r="B32" s="13"/>
      <c r="C32" s="13"/>
    </row>
    <row r="33" spans="1:4" x14ac:dyDescent="0.3">
      <c r="A33" s="4" t="s">
        <v>1</v>
      </c>
      <c r="B33" s="4" t="s">
        <v>126</v>
      </c>
      <c r="C33" s="4" t="s">
        <v>127</v>
      </c>
      <c r="D33" s="4" t="s">
        <v>128</v>
      </c>
    </row>
    <row r="34" spans="1:4" x14ac:dyDescent="0.3">
      <c r="A34" s="4" t="s">
        <v>122</v>
      </c>
      <c r="B34">
        <v>25000</v>
      </c>
      <c r="C34" s="7">
        <f>+B45</f>
        <v>44500</v>
      </c>
      <c r="D34">
        <f>+C45</f>
        <v>-66750</v>
      </c>
    </row>
    <row r="35" spans="1:4" x14ac:dyDescent="0.3">
      <c r="A35" s="4" t="s">
        <v>121</v>
      </c>
    </row>
    <row r="36" spans="1:4" x14ac:dyDescent="0.3">
      <c r="A36" s="4" t="s">
        <v>4</v>
      </c>
      <c r="B36">
        <v>186000</v>
      </c>
      <c r="C36">
        <v>150000</v>
      </c>
      <c r="D36">
        <v>141000</v>
      </c>
    </row>
    <row r="37" spans="1:4" x14ac:dyDescent="0.3">
      <c r="A37" s="4" t="s">
        <v>123</v>
      </c>
      <c r="B37">
        <f>+B36</f>
        <v>186000</v>
      </c>
      <c r="C37">
        <f>+C36</f>
        <v>150000</v>
      </c>
      <c r="D37">
        <f>+D36</f>
        <v>141000</v>
      </c>
    </row>
    <row r="38" spans="1:4" x14ac:dyDescent="0.3">
      <c r="A38" s="4" t="s">
        <v>124</v>
      </c>
    </row>
    <row r="39" spans="1:4" x14ac:dyDescent="0.3">
      <c r="A39" s="4" t="s">
        <v>125</v>
      </c>
      <c r="B39">
        <v>144000</v>
      </c>
      <c r="C39">
        <v>243000</v>
      </c>
      <c r="D39">
        <v>246000</v>
      </c>
    </row>
    <row r="40" spans="1:4" x14ac:dyDescent="0.3">
      <c r="A40" s="4" t="s">
        <v>129</v>
      </c>
      <c r="B40">
        <v>14000</v>
      </c>
      <c r="C40">
        <v>11000</v>
      </c>
      <c r="D40">
        <v>12000</v>
      </c>
    </row>
    <row r="41" spans="1:4" x14ac:dyDescent="0.3">
      <c r="A41" s="4" t="s">
        <v>130</v>
      </c>
      <c r="B41">
        <v>3500</v>
      </c>
      <c r="C41">
        <v>3750</v>
      </c>
      <c r="D41">
        <v>4750</v>
      </c>
    </row>
    <row r="42" spans="1:4" x14ac:dyDescent="0.3">
      <c r="A42" s="4" t="s">
        <v>131</v>
      </c>
      <c r="B42">
        <v>1000</v>
      </c>
      <c r="C42">
        <v>1500</v>
      </c>
      <c r="D42">
        <v>2000</v>
      </c>
    </row>
    <row r="43" spans="1:4" x14ac:dyDescent="0.3">
      <c r="A43" s="4" t="s">
        <v>132</v>
      </c>
      <c r="B43">
        <v>4000</v>
      </c>
      <c r="C43">
        <v>2000</v>
      </c>
      <c r="D43">
        <v>5000</v>
      </c>
    </row>
    <row r="44" spans="1:4" x14ac:dyDescent="0.3">
      <c r="A44" s="4" t="s">
        <v>133</v>
      </c>
      <c r="B44">
        <f>+B39+B40+B41+B42+B43</f>
        <v>166500</v>
      </c>
      <c r="C44">
        <f>+C39+C40+C41+C42+C43</f>
        <v>261250</v>
      </c>
      <c r="D44">
        <f>+D39+D40+D41+D42+D43</f>
        <v>269750</v>
      </c>
    </row>
    <row r="45" spans="1:4" x14ac:dyDescent="0.3">
      <c r="A45" s="4" t="s">
        <v>134</v>
      </c>
      <c r="B45">
        <f>+B34+B37-B44</f>
        <v>44500</v>
      </c>
      <c r="C45">
        <f>+C34+C37-C44</f>
        <v>-66750</v>
      </c>
      <c r="D45">
        <f>+D34+D37-D44</f>
        <v>-195500</v>
      </c>
    </row>
    <row r="47" spans="1:4" x14ac:dyDescent="0.3">
      <c r="A47" s="4" t="s">
        <v>107</v>
      </c>
    </row>
    <row r="48" spans="1:4" x14ac:dyDescent="0.3">
      <c r="A48" s="4" t="s">
        <v>4</v>
      </c>
    </row>
    <row r="49" spans="1:5" x14ac:dyDescent="0.3">
      <c r="B49" s="4" t="s">
        <v>135</v>
      </c>
      <c r="C49" s="4" t="s">
        <v>117</v>
      </c>
      <c r="D49" s="4" t="s">
        <v>118</v>
      </c>
      <c r="E49" s="4" t="s">
        <v>119</v>
      </c>
    </row>
    <row r="50" spans="1:5" x14ac:dyDescent="0.3">
      <c r="A50" s="4" t="s">
        <v>115</v>
      </c>
      <c r="B50">
        <f>180000/2</f>
        <v>90000</v>
      </c>
      <c r="C50">
        <v>90000</v>
      </c>
    </row>
    <row r="51" spans="1:5" x14ac:dyDescent="0.3">
      <c r="A51" s="4" t="s">
        <v>135</v>
      </c>
      <c r="C51">
        <f>192000/2</f>
        <v>96000</v>
      </c>
      <c r="D51" s="7">
        <f>192000/2</f>
        <v>96000</v>
      </c>
    </row>
    <row r="52" spans="1:5" x14ac:dyDescent="0.3">
      <c r="A52" s="4" t="s">
        <v>117</v>
      </c>
      <c r="D52">
        <f>108000/2</f>
        <v>54000</v>
      </c>
      <c r="E52" s="7">
        <f>108000/2</f>
        <v>54000</v>
      </c>
    </row>
    <row r="53" spans="1:5" x14ac:dyDescent="0.3">
      <c r="A53" s="4" t="s">
        <v>118</v>
      </c>
      <c r="E53">
        <f>174000/2</f>
        <v>87000</v>
      </c>
    </row>
    <row r="54" spans="1:5" x14ac:dyDescent="0.3">
      <c r="A54" s="4" t="s">
        <v>119</v>
      </c>
    </row>
    <row r="55" spans="1:5" x14ac:dyDescent="0.3">
      <c r="A55" s="4" t="s">
        <v>6</v>
      </c>
      <c r="B55" s="4">
        <f>+B50</f>
        <v>90000</v>
      </c>
      <c r="C55" s="4">
        <f>+C50+C51</f>
        <v>186000</v>
      </c>
      <c r="D55" s="4">
        <f>+D51+D52</f>
        <v>150000</v>
      </c>
      <c r="E55" s="4">
        <f>+E52+E53</f>
        <v>141000</v>
      </c>
    </row>
    <row r="57" spans="1:5" x14ac:dyDescent="0.3">
      <c r="A57" s="4" t="s">
        <v>130</v>
      </c>
    </row>
    <row r="58" spans="1:5" x14ac:dyDescent="0.3">
      <c r="B58" s="4" t="s">
        <v>135</v>
      </c>
      <c r="C58" s="4" t="s">
        <v>117</v>
      </c>
      <c r="D58" s="4" t="s">
        <v>118</v>
      </c>
      <c r="E58" s="4" t="s">
        <v>119</v>
      </c>
    </row>
    <row r="59" spans="1:5" x14ac:dyDescent="0.3">
      <c r="A59" s="4" t="s">
        <v>115</v>
      </c>
      <c r="B59">
        <f>3000/2</f>
        <v>1500</v>
      </c>
    </row>
    <row r="60" spans="1:5" x14ac:dyDescent="0.3">
      <c r="A60" s="4" t="s">
        <v>135</v>
      </c>
      <c r="C60">
        <f>4000/2</f>
        <v>2000</v>
      </c>
    </row>
    <row r="61" spans="1:5" x14ac:dyDescent="0.3">
      <c r="A61" s="4" t="s">
        <v>117</v>
      </c>
      <c r="C61">
        <f>3000/2</f>
        <v>1500</v>
      </c>
      <c r="D61">
        <v>1500</v>
      </c>
    </row>
    <row r="62" spans="1:5" x14ac:dyDescent="0.3">
      <c r="A62" s="4" t="s">
        <v>118</v>
      </c>
      <c r="D62">
        <f>4500/2</f>
        <v>2250</v>
      </c>
      <c r="E62">
        <v>2250</v>
      </c>
    </row>
    <row r="63" spans="1:5" x14ac:dyDescent="0.3">
      <c r="A63" s="4" t="s">
        <v>119</v>
      </c>
      <c r="E63">
        <f>5000/2</f>
        <v>2500</v>
      </c>
    </row>
    <row r="64" spans="1:5" x14ac:dyDescent="0.3">
      <c r="A64" s="4" t="s">
        <v>6</v>
      </c>
      <c r="B64" s="4">
        <f>+B59</f>
        <v>1500</v>
      </c>
      <c r="C64" s="4">
        <f>+C60+C61</f>
        <v>3500</v>
      </c>
      <c r="D64" s="4">
        <f>+D61+D62</f>
        <v>3750</v>
      </c>
      <c r="E64" s="4">
        <f>+E62+E63</f>
        <v>4750</v>
      </c>
    </row>
    <row r="65" spans="1:4" x14ac:dyDescent="0.3">
      <c r="A65" s="4"/>
      <c r="B65" s="4"/>
      <c r="C65" s="4"/>
      <c r="D65" s="4"/>
    </row>
    <row r="66" spans="1:4" x14ac:dyDescent="0.3">
      <c r="A66" s="13" t="s">
        <v>146</v>
      </c>
      <c r="B66" s="13"/>
      <c r="C66" s="13"/>
      <c r="D66" s="13"/>
    </row>
    <row r="67" spans="1:4" x14ac:dyDescent="0.3">
      <c r="A67" s="4" t="s">
        <v>136</v>
      </c>
      <c r="B67" s="8">
        <v>40452</v>
      </c>
      <c r="C67" s="8">
        <v>40483</v>
      </c>
      <c r="D67" s="8">
        <v>40513</v>
      </c>
    </row>
    <row r="68" spans="1:4" x14ac:dyDescent="0.3">
      <c r="A68" s="4" t="s">
        <v>122</v>
      </c>
      <c r="B68">
        <v>50000</v>
      </c>
      <c r="C68">
        <f>+B76</f>
        <v>112000</v>
      </c>
      <c r="D68">
        <f>+C76</f>
        <v>-94000</v>
      </c>
    </row>
    <row r="69" spans="1:4" x14ac:dyDescent="0.3">
      <c r="A69" s="4" t="s">
        <v>137</v>
      </c>
    </row>
    <row r="70" spans="1:4" x14ac:dyDescent="0.3">
      <c r="A70" s="4" t="s">
        <v>4</v>
      </c>
      <c r="B70">
        <f>+B85</f>
        <v>372000</v>
      </c>
      <c r="C70">
        <f>+C85</f>
        <v>300000</v>
      </c>
      <c r="D70">
        <f>+D85</f>
        <v>282000</v>
      </c>
    </row>
    <row r="71" spans="1:4" x14ac:dyDescent="0.3">
      <c r="A71" s="4" t="s">
        <v>123</v>
      </c>
      <c r="B71" s="4">
        <f>+B70</f>
        <v>372000</v>
      </c>
      <c r="C71" s="4">
        <f>+C70</f>
        <v>300000</v>
      </c>
      <c r="D71" s="4">
        <f>+D70</f>
        <v>282000</v>
      </c>
    </row>
    <row r="72" spans="1:4" x14ac:dyDescent="0.3">
      <c r="A72" s="4" t="s">
        <v>138</v>
      </c>
    </row>
    <row r="73" spans="1:4" x14ac:dyDescent="0.3">
      <c r="A73" s="4" t="s">
        <v>125</v>
      </c>
      <c r="B73">
        <v>288000</v>
      </c>
      <c r="C73">
        <v>486000</v>
      </c>
      <c r="D73">
        <v>492000</v>
      </c>
    </row>
    <row r="74" spans="1:4" x14ac:dyDescent="0.3">
      <c r="A74" s="4" t="s">
        <v>129</v>
      </c>
      <c r="B74">
        <v>22000</v>
      </c>
      <c r="C74">
        <v>20000</v>
      </c>
      <c r="D74">
        <v>30000</v>
      </c>
    </row>
    <row r="75" spans="1:4" x14ac:dyDescent="0.3">
      <c r="A75" s="4" t="s">
        <v>133</v>
      </c>
      <c r="B75" s="4">
        <f>+B73+B74</f>
        <v>310000</v>
      </c>
      <c r="C75" s="4">
        <f>+C73+C74</f>
        <v>506000</v>
      </c>
      <c r="D75" s="4">
        <f>+D73+D74</f>
        <v>522000</v>
      </c>
    </row>
    <row r="76" spans="1:4" x14ac:dyDescent="0.3">
      <c r="A76" s="4" t="s">
        <v>139</v>
      </c>
      <c r="B76" s="4">
        <f>+B68+B71-B75</f>
        <v>112000</v>
      </c>
      <c r="C76" s="4">
        <f>+C68+C71-C75</f>
        <v>-94000</v>
      </c>
      <c r="D76" s="4">
        <f>+D68+D71-D75</f>
        <v>-334000</v>
      </c>
    </row>
    <row r="78" spans="1:4" x14ac:dyDescent="0.3">
      <c r="A78" s="4" t="s">
        <v>140</v>
      </c>
    </row>
    <row r="79" spans="1:4" x14ac:dyDescent="0.3">
      <c r="A79" s="4" t="s">
        <v>4</v>
      </c>
      <c r="B79" t="s">
        <v>141</v>
      </c>
      <c r="C79" t="s">
        <v>142</v>
      </c>
      <c r="D79" t="s">
        <v>143</v>
      </c>
    </row>
    <row r="80" spans="1:4" x14ac:dyDescent="0.3">
      <c r="A80" s="4" t="s">
        <v>117</v>
      </c>
      <c r="B80">
        <f>360000/2</f>
        <v>180000</v>
      </c>
    </row>
    <row r="81" spans="1:7" x14ac:dyDescent="0.3">
      <c r="A81" s="4" t="s">
        <v>118</v>
      </c>
      <c r="B81">
        <f>384000/2</f>
        <v>192000</v>
      </c>
      <c r="C81" s="7">
        <f>384000/2</f>
        <v>192000</v>
      </c>
    </row>
    <row r="82" spans="1:7" x14ac:dyDescent="0.3">
      <c r="A82" s="4" t="s">
        <v>119</v>
      </c>
      <c r="C82">
        <f>216000/2</f>
        <v>108000</v>
      </c>
      <c r="D82" s="7">
        <f>216000/2</f>
        <v>108000</v>
      </c>
    </row>
    <row r="83" spans="1:7" x14ac:dyDescent="0.3">
      <c r="A83" s="4" t="s">
        <v>144</v>
      </c>
      <c r="D83">
        <f>348000/2</f>
        <v>174000</v>
      </c>
    </row>
    <row r="84" spans="1:7" x14ac:dyDescent="0.3">
      <c r="A84" s="4" t="s">
        <v>145</v>
      </c>
    </row>
    <row r="85" spans="1:7" x14ac:dyDescent="0.3">
      <c r="A85" s="4" t="s">
        <v>6</v>
      </c>
      <c r="B85" s="4">
        <f>+B80+B81</f>
        <v>372000</v>
      </c>
      <c r="C85" s="4">
        <f>+C81+C82</f>
        <v>300000</v>
      </c>
      <c r="D85" s="4">
        <f>+D82+D83</f>
        <v>282000</v>
      </c>
    </row>
    <row r="87" spans="1:7" x14ac:dyDescent="0.3">
      <c r="A87" s="13" t="s">
        <v>147</v>
      </c>
      <c r="B87" s="13"/>
      <c r="C87" s="13"/>
      <c r="D87" s="13"/>
      <c r="E87" s="13"/>
      <c r="F87" s="13"/>
      <c r="G87" s="13"/>
    </row>
    <row r="88" spans="1:7" x14ac:dyDescent="0.3">
      <c r="A88" s="4" t="s">
        <v>136</v>
      </c>
      <c r="B88" s="8">
        <v>40360</v>
      </c>
      <c r="C88" s="8">
        <v>40391</v>
      </c>
      <c r="D88" s="8">
        <v>40422</v>
      </c>
      <c r="E88" s="8">
        <v>40452</v>
      </c>
      <c r="F88" s="8">
        <v>40483</v>
      </c>
      <c r="G88" s="8">
        <v>40513</v>
      </c>
    </row>
    <row r="89" spans="1:7" x14ac:dyDescent="0.3">
      <c r="A89" s="4" t="s">
        <v>122</v>
      </c>
      <c r="B89">
        <v>55000</v>
      </c>
      <c r="C89">
        <f>+B102</f>
        <v>80100</v>
      </c>
      <c r="D89">
        <f>+C102</f>
        <v>153950</v>
      </c>
      <c r="E89">
        <f>+D102</f>
        <v>-38450</v>
      </c>
      <c r="F89">
        <f>+E102</f>
        <v>24150</v>
      </c>
      <c r="G89">
        <f>+F102</f>
        <v>83000</v>
      </c>
    </row>
    <row r="90" spans="1:7" x14ac:dyDescent="0.3">
      <c r="A90" s="4" t="s">
        <v>148</v>
      </c>
    </row>
    <row r="91" spans="1:7" x14ac:dyDescent="0.3">
      <c r="A91" s="4" t="s">
        <v>149</v>
      </c>
    </row>
    <row r="92" spans="1:7" x14ac:dyDescent="0.3">
      <c r="A92" s="4" t="s">
        <v>4</v>
      </c>
      <c r="B92">
        <f t="shared" ref="B92:G92" si="16">+B114</f>
        <v>78750</v>
      </c>
      <c r="C92">
        <f t="shared" si="16"/>
        <v>142500</v>
      </c>
      <c r="D92">
        <f t="shared" si="16"/>
        <v>217500</v>
      </c>
      <c r="E92">
        <f t="shared" si="16"/>
        <v>281250</v>
      </c>
      <c r="F92">
        <f t="shared" si="16"/>
        <v>172500</v>
      </c>
      <c r="G92">
        <f t="shared" si="16"/>
        <v>149375</v>
      </c>
    </row>
    <row r="93" spans="1:7" x14ac:dyDescent="0.3">
      <c r="A93" s="4" t="s">
        <v>123</v>
      </c>
      <c r="B93" s="4">
        <f t="shared" ref="B93:G93" si="17">+B92</f>
        <v>78750</v>
      </c>
      <c r="C93" s="4">
        <f t="shared" si="17"/>
        <v>142500</v>
      </c>
      <c r="D93" s="4">
        <f t="shared" si="17"/>
        <v>217500</v>
      </c>
      <c r="E93" s="4">
        <f t="shared" si="17"/>
        <v>281250</v>
      </c>
      <c r="F93" s="4">
        <f t="shared" si="17"/>
        <v>172500</v>
      </c>
      <c r="G93" s="4">
        <f t="shared" si="17"/>
        <v>149375</v>
      </c>
    </row>
    <row r="94" spans="1:7" x14ac:dyDescent="0.3">
      <c r="A94" s="4" t="s">
        <v>138</v>
      </c>
    </row>
    <row r="95" spans="1:7" x14ac:dyDescent="0.3">
      <c r="A95" s="4" t="s">
        <v>150</v>
      </c>
      <c r="B95">
        <v>37500</v>
      </c>
      <c r="C95">
        <v>52500</v>
      </c>
      <c r="D95">
        <v>367500</v>
      </c>
      <c r="E95">
        <v>127500</v>
      </c>
      <c r="F95">
        <v>97500</v>
      </c>
      <c r="G95">
        <v>67500</v>
      </c>
    </row>
    <row r="96" spans="1:7" x14ac:dyDescent="0.3">
      <c r="A96" s="4" t="s">
        <v>151</v>
      </c>
      <c r="B96">
        <v>11250</v>
      </c>
      <c r="C96">
        <v>11250</v>
      </c>
      <c r="D96">
        <v>11250</v>
      </c>
      <c r="E96">
        <v>11250</v>
      </c>
      <c r="F96">
        <v>11250</v>
      </c>
      <c r="G96">
        <v>11250</v>
      </c>
    </row>
    <row r="97" spans="1:7" x14ac:dyDescent="0.3">
      <c r="A97" s="4" t="s">
        <v>152</v>
      </c>
      <c r="B97">
        <v>3750</v>
      </c>
      <c r="C97">
        <v>3750</v>
      </c>
      <c r="D97">
        <v>3750</v>
      </c>
      <c r="E97">
        <v>3750</v>
      </c>
      <c r="F97">
        <v>3750</v>
      </c>
      <c r="G97">
        <v>3750</v>
      </c>
    </row>
    <row r="98" spans="1:7" x14ac:dyDescent="0.3">
      <c r="A98" s="4" t="s">
        <v>153</v>
      </c>
      <c r="B98">
        <v>1150</v>
      </c>
      <c r="C98">
        <v>1150</v>
      </c>
      <c r="D98">
        <v>1150</v>
      </c>
      <c r="E98">
        <v>1150</v>
      </c>
      <c r="F98">
        <v>1150</v>
      </c>
      <c r="G98">
        <v>1150</v>
      </c>
    </row>
    <row r="99" spans="1:7" x14ac:dyDescent="0.3">
      <c r="A99" s="4" t="s">
        <v>154</v>
      </c>
      <c r="D99">
        <v>26250</v>
      </c>
      <c r="G99">
        <v>26250</v>
      </c>
    </row>
    <row r="100" spans="1:7" x14ac:dyDescent="0.3">
      <c r="A100" s="4" t="s">
        <v>155</v>
      </c>
      <c r="E100">
        <v>75000</v>
      </c>
    </row>
    <row r="101" spans="1:7" x14ac:dyDescent="0.3">
      <c r="A101" s="4" t="s">
        <v>133</v>
      </c>
      <c r="B101" s="4">
        <f>+B95+B96+B97+B98</f>
        <v>53650</v>
      </c>
      <c r="C101" s="4">
        <f>+C95+C96+C97+C98</f>
        <v>68650</v>
      </c>
      <c r="D101" s="4">
        <f>+D95+D96+D97+D98+D99</f>
        <v>409900</v>
      </c>
      <c r="E101" s="4">
        <f>+E95+E96+E97+E98+E100</f>
        <v>218650</v>
      </c>
      <c r="F101" s="4">
        <f>+F95+F96+F97+F98</f>
        <v>113650</v>
      </c>
      <c r="G101" s="4">
        <f>+G95+G96+G97+G98+G99</f>
        <v>109900</v>
      </c>
    </row>
    <row r="102" spans="1:7" x14ac:dyDescent="0.3">
      <c r="A102" s="4" t="s">
        <v>157</v>
      </c>
      <c r="B102" s="4">
        <f t="shared" ref="B102:G102" si="18">+B89+B93-B101</f>
        <v>80100</v>
      </c>
      <c r="C102" s="4">
        <f t="shared" si="18"/>
        <v>153950</v>
      </c>
      <c r="D102" s="4">
        <f t="shared" si="18"/>
        <v>-38450</v>
      </c>
      <c r="E102" s="4">
        <f t="shared" si="18"/>
        <v>24150</v>
      </c>
      <c r="F102" s="4">
        <f t="shared" si="18"/>
        <v>83000</v>
      </c>
      <c r="G102" s="4">
        <f t="shared" si="18"/>
        <v>122475</v>
      </c>
    </row>
    <row r="104" spans="1:7" x14ac:dyDescent="0.3">
      <c r="A104" s="4" t="s">
        <v>107</v>
      </c>
    </row>
    <row r="105" spans="1:7" x14ac:dyDescent="0.3">
      <c r="A105" s="4" t="s">
        <v>4</v>
      </c>
      <c r="B105" s="8">
        <v>40360</v>
      </c>
      <c r="C105" s="8">
        <v>40391</v>
      </c>
      <c r="D105" s="8">
        <v>40422</v>
      </c>
      <c r="E105" s="8">
        <v>40452</v>
      </c>
      <c r="F105" s="8">
        <v>40483</v>
      </c>
      <c r="G105" s="8">
        <v>40513</v>
      </c>
    </row>
    <row r="106" spans="1:7" x14ac:dyDescent="0.3">
      <c r="A106" s="9" t="s">
        <v>114</v>
      </c>
      <c r="B106" s="10">
        <f>75000*0.15</f>
        <v>11250</v>
      </c>
      <c r="C106" s="10"/>
      <c r="D106" s="10"/>
      <c r="E106" s="10"/>
      <c r="F106" s="10"/>
      <c r="G106" s="10"/>
    </row>
    <row r="107" spans="1:7" x14ac:dyDescent="0.3">
      <c r="A107" s="8" t="s">
        <v>115</v>
      </c>
      <c r="B107">
        <f>75000*0.8</f>
        <v>60000</v>
      </c>
      <c r="C107">
        <f>75000*0.15</f>
        <v>11250</v>
      </c>
    </row>
    <row r="108" spans="1:7" x14ac:dyDescent="0.3">
      <c r="A108" s="4" t="s">
        <v>135</v>
      </c>
      <c r="B108">
        <f>150000*0.05</f>
        <v>7500</v>
      </c>
      <c r="C108" s="7">
        <f>150000*0.8</f>
        <v>120000</v>
      </c>
      <c r="D108" s="7">
        <f>150000*0.15</f>
        <v>22500</v>
      </c>
    </row>
    <row r="109" spans="1:7" x14ac:dyDescent="0.3">
      <c r="A109" s="4" t="s">
        <v>117</v>
      </c>
      <c r="C109" s="7">
        <f>225000*0.05</f>
        <v>11250</v>
      </c>
      <c r="D109" s="7">
        <f>225000*0.8</f>
        <v>180000</v>
      </c>
      <c r="E109" s="7">
        <f>225000*0.15</f>
        <v>33750</v>
      </c>
    </row>
    <row r="110" spans="1:7" x14ac:dyDescent="0.3">
      <c r="A110" s="4" t="s">
        <v>118</v>
      </c>
      <c r="D110" s="7">
        <f>300000*0.05</f>
        <v>15000</v>
      </c>
      <c r="E110" s="7">
        <f>300000*0.8</f>
        <v>240000</v>
      </c>
      <c r="F110" s="7">
        <f>300000*0.15</f>
        <v>45000</v>
      </c>
    </row>
    <row r="111" spans="1:7" x14ac:dyDescent="0.3">
      <c r="A111" s="4" t="s">
        <v>119</v>
      </c>
      <c r="E111" s="7">
        <f>150000*0.05</f>
        <v>7500</v>
      </c>
      <c r="F111" s="7">
        <f>150000*0.8</f>
        <v>120000</v>
      </c>
      <c r="G111" s="7">
        <f>150000*0.15</f>
        <v>22500</v>
      </c>
    </row>
    <row r="112" spans="1:7" x14ac:dyDescent="0.3">
      <c r="A112" s="4" t="s">
        <v>144</v>
      </c>
      <c r="F112" s="7">
        <f>150000*0.05</f>
        <v>7500</v>
      </c>
      <c r="G112" s="7">
        <f>150000*0.8</f>
        <v>120000</v>
      </c>
    </row>
    <row r="113" spans="1:7" x14ac:dyDescent="0.3">
      <c r="A113" s="4" t="s">
        <v>156</v>
      </c>
      <c r="G113" s="7">
        <f>137500*0.05</f>
        <v>6875</v>
      </c>
    </row>
    <row r="114" spans="1:7" x14ac:dyDescent="0.3">
      <c r="A114" s="4" t="s">
        <v>6</v>
      </c>
      <c r="B114" s="4">
        <f>+B106+B107+B108</f>
        <v>78750</v>
      </c>
      <c r="C114" s="4">
        <f>+C107+C108+C109</f>
        <v>142500</v>
      </c>
      <c r="D114" s="4">
        <f>+D108+D109+D110</f>
        <v>217500</v>
      </c>
      <c r="E114" s="4">
        <f>+E109+E110+E111</f>
        <v>281250</v>
      </c>
      <c r="F114" s="4">
        <f>+F110+F111+F112</f>
        <v>172500</v>
      </c>
      <c r="G114" s="4">
        <f>+G111+G112+G113</f>
        <v>149375</v>
      </c>
    </row>
    <row r="116" spans="1:7" x14ac:dyDescent="0.3">
      <c r="A116" s="13" t="s">
        <v>158</v>
      </c>
      <c r="B116" s="13"/>
      <c r="C116" s="13"/>
      <c r="D116" s="13"/>
      <c r="E116" s="13"/>
      <c r="F116" s="13"/>
      <c r="G116" s="13"/>
    </row>
    <row r="117" spans="1:7" x14ac:dyDescent="0.3">
      <c r="A117" s="4" t="s">
        <v>159</v>
      </c>
      <c r="B117">
        <v>2012</v>
      </c>
      <c r="C117">
        <v>2013</v>
      </c>
      <c r="D117">
        <v>2014</v>
      </c>
      <c r="E117">
        <v>2015</v>
      </c>
      <c r="F117">
        <v>2016</v>
      </c>
      <c r="G117">
        <v>2017</v>
      </c>
    </row>
    <row r="118" spans="1:7" x14ac:dyDescent="0.3">
      <c r="C118">
        <v>189000</v>
      </c>
      <c r="D118">
        <v>234000</v>
      </c>
      <c r="E118">
        <v>264000</v>
      </c>
      <c r="F118">
        <v>277000</v>
      </c>
      <c r="G118">
        <v>271000</v>
      </c>
    </row>
    <row r="119" spans="1:7" x14ac:dyDescent="0.3">
      <c r="A119" s="4" t="s">
        <v>160</v>
      </c>
      <c r="C119">
        <f>+C118/C118*100</f>
        <v>100</v>
      </c>
      <c r="D119">
        <f>+D118/C118*100</f>
        <v>123.80952380952381</v>
      </c>
      <c r="E119">
        <f>+E118/C118*100</f>
        <v>139.68253968253967</v>
      </c>
      <c r="F119">
        <f>+F118/C118*100</f>
        <v>146.56084656084656</v>
      </c>
      <c r="G119">
        <f>+G118/C118*100</f>
        <v>143.38624338624339</v>
      </c>
    </row>
    <row r="121" spans="1:7" x14ac:dyDescent="0.3">
      <c r="A121" s="4" t="s">
        <v>163</v>
      </c>
    </row>
    <row r="122" spans="1:7" x14ac:dyDescent="0.3">
      <c r="B122" s="6" t="s">
        <v>164</v>
      </c>
      <c r="C122" s="6" t="s">
        <v>165</v>
      </c>
      <c r="D122" s="6" t="s">
        <v>166</v>
      </c>
      <c r="E122" s="6" t="s">
        <v>167</v>
      </c>
      <c r="F122" s="6" t="s">
        <v>164</v>
      </c>
    </row>
    <row r="123" spans="1:7" x14ac:dyDescent="0.3">
      <c r="A123" s="4" t="s">
        <v>4</v>
      </c>
      <c r="B123">
        <v>10000</v>
      </c>
      <c r="C123">
        <v>12000</v>
      </c>
      <c r="D123">
        <v>14000</v>
      </c>
      <c r="E123">
        <v>18000</v>
      </c>
      <c r="F123">
        <v>21000</v>
      </c>
    </row>
    <row r="124" spans="1:7" x14ac:dyDescent="0.3">
      <c r="A124" s="4" t="s">
        <v>161</v>
      </c>
      <c r="B124">
        <f>+C123*0.25</f>
        <v>3000</v>
      </c>
      <c r="C124">
        <f>+D123*0.25</f>
        <v>3500</v>
      </c>
      <c r="D124">
        <f>+E123*0.25</f>
        <v>4500</v>
      </c>
      <c r="E124">
        <f>+F123*0.25</f>
        <v>5250</v>
      </c>
    </row>
    <row r="125" spans="1:7" x14ac:dyDescent="0.3">
      <c r="A125" s="4" t="s">
        <v>120</v>
      </c>
      <c r="B125">
        <v>2500</v>
      </c>
      <c r="C125">
        <f>+B124</f>
        <v>3000</v>
      </c>
      <c r="D125">
        <f>+C124</f>
        <v>3500</v>
      </c>
      <c r="E125">
        <f>+D124</f>
        <v>4500</v>
      </c>
    </row>
    <row r="126" spans="1:7" x14ac:dyDescent="0.3">
      <c r="A126" s="4" t="s">
        <v>162</v>
      </c>
      <c r="B126" s="4">
        <f>+B123+B124-B125</f>
        <v>10500</v>
      </c>
      <c r="C126" s="4">
        <f>+C123+C124-C125</f>
        <v>12500</v>
      </c>
      <c r="D126" s="4">
        <f>+D123+D124-D125</f>
        <v>15000</v>
      </c>
      <c r="E126" s="4">
        <f>+E123+E124-E125</f>
        <v>18750</v>
      </c>
    </row>
    <row r="128" spans="1:7" x14ac:dyDescent="0.3">
      <c r="A128" s="13" t="s">
        <v>168</v>
      </c>
      <c r="B128" s="13"/>
      <c r="C128" s="13"/>
    </row>
    <row r="129" spans="1:3" x14ac:dyDescent="0.3">
      <c r="B129" s="12">
        <v>0.6</v>
      </c>
      <c r="C129" s="12">
        <v>0.5</v>
      </c>
    </row>
    <row r="130" spans="1:3" x14ac:dyDescent="0.3">
      <c r="A130" s="4" t="s">
        <v>169</v>
      </c>
    </row>
    <row r="131" spans="1:3" x14ac:dyDescent="0.3">
      <c r="A131" t="s">
        <v>170</v>
      </c>
      <c r="B131">
        <v>6000</v>
      </c>
      <c r="C131">
        <f>+B131*50/60</f>
        <v>5000</v>
      </c>
    </row>
    <row r="132" spans="1:3" x14ac:dyDescent="0.3">
      <c r="A132" s="2" t="s">
        <v>171</v>
      </c>
      <c r="B132">
        <v>18000</v>
      </c>
      <c r="C132">
        <f>+B132/60*50</f>
        <v>15000</v>
      </c>
    </row>
    <row r="134" spans="1:3" x14ac:dyDescent="0.3">
      <c r="A134" s="4" t="s">
        <v>172</v>
      </c>
    </row>
    <row r="135" spans="1:3" x14ac:dyDescent="0.3">
      <c r="A135" t="s">
        <v>173</v>
      </c>
      <c r="B135">
        <v>30000</v>
      </c>
      <c r="C135">
        <f>+C148</f>
        <v>27000</v>
      </c>
    </row>
    <row r="136" spans="1:3" x14ac:dyDescent="0.3">
      <c r="A136" t="s">
        <v>174</v>
      </c>
      <c r="B136">
        <v>3000</v>
      </c>
      <c r="C136">
        <f>+C152</f>
        <v>2900</v>
      </c>
    </row>
    <row r="138" spans="1:3" x14ac:dyDescent="0.3">
      <c r="A138" s="4" t="s">
        <v>175</v>
      </c>
    </row>
    <row r="139" spans="1:3" x14ac:dyDescent="0.3">
      <c r="A139" t="s">
        <v>176</v>
      </c>
      <c r="B139">
        <v>16500</v>
      </c>
      <c r="C139">
        <f>+B139</f>
        <v>16500</v>
      </c>
    </row>
    <row r="140" spans="1:3" x14ac:dyDescent="0.3">
      <c r="A140" t="s">
        <v>177</v>
      </c>
      <c r="B140">
        <v>4500</v>
      </c>
      <c r="C140">
        <f>+B140</f>
        <v>4500</v>
      </c>
    </row>
    <row r="141" spans="1:3" x14ac:dyDescent="0.3">
      <c r="A141" t="s">
        <v>178</v>
      </c>
      <c r="B141">
        <v>15000</v>
      </c>
      <c r="C141">
        <f>+B141</f>
        <v>15000</v>
      </c>
    </row>
    <row r="142" spans="1:3" x14ac:dyDescent="0.3">
      <c r="A142" s="4" t="s">
        <v>179</v>
      </c>
      <c r="B142">
        <v>93000</v>
      </c>
      <c r="C142">
        <f>+C131+C132+C135+C136+C139+C140+C141</f>
        <v>85900</v>
      </c>
    </row>
    <row r="144" spans="1:3" x14ac:dyDescent="0.3">
      <c r="A144" s="4" t="s">
        <v>140</v>
      </c>
    </row>
    <row r="145" spans="1:3" x14ac:dyDescent="0.3">
      <c r="A145" s="4" t="s">
        <v>180</v>
      </c>
    </row>
    <row r="146" spans="1:3" x14ac:dyDescent="0.3">
      <c r="A146" t="s">
        <v>181</v>
      </c>
      <c r="B146">
        <f>+B135*0.4</f>
        <v>12000</v>
      </c>
      <c r="C146">
        <f>+B146</f>
        <v>12000</v>
      </c>
    </row>
    <row r="147" spans="1:3" x14ac:dyDescent="0.3">
      <c r="A147" t="s">
        <v>182</v>
      </c>
      <c r="B147">
        <f>+B135*0.6</f>
        <v>18000</v>
      </c>
      <c r="C147">
        <f>+B147*50/60</f>
        <v>15000</v>
      </c>
    </row>
    <row r="148" spans="1:3" x14ac:dyDescent="0.3">
      <c r="A148" s="4" t="s">
        <v>6</v>
      </c>
      <c r="B148">
        <f>+B146+B147</f>
        <v>30000</v>
      </c>
      <c r="C148">
        <f>+C146+C147</f>
        <v>27000</v>
      </c>
    </row>
    <row r="149" spans="1:3" x14ac:dyDescent="0.3">
      <c r="A149" s="4" t="s">
        <v>183</v>
      </c>
    </row>
    <row r="150" spans="1:3" x14ac:dyDescent="0.3">
      <c r="A150" t="s">
        <v>184</v>
      </c>
      <c r="B150">
        <f>+B136*0.8</f>
        <v>2400</v>
      </c>
      <c r="C150">
        <f>+B150</f>
        <v>2400</v>
      </c>
    </row>
    <row r="151" spans="1:3" x14ac:dyDescent="0.3">
      <c r="A151" t="s">
        <v>185</v>
      </c>
      <c r="B151">
        <f>+B136*0.2</f>
        <v>600</v>
      </c>
      <c r="C151">
        <f>+B151*50/60</f>
        <v>500</v>
      </c>
    </row>
    <row r="152" spans="1:3" x14ac:dyDescent="0.3">
      <c r="A152" s="4" t="s">
        <v>6</v>
      </c>
      <c r="B152">
        <f>+B150+B151</f>
        <v>3000</v>
      </c>
      <c r="C152">
        <f>+C150+C151</f>
        <v>2900</v>
      </c>
    </row>
    <row r="153" spans="1:3" x14ac:dyDescent="0.3">
      <c r="A153" s="4"/>
      <c r="B153" s="11"/>
      <c r="C153" s="11"/>
    </row>
    <row r="154" spans="1:3" x14ac:dyDescent="0.3">
      <c r="A154" s="13" t="s">
        <v>186</v>
      </c>
      <c r="B154" s="13"/>
      <c r="C154" s="13"/>
    </row>
    <row r="155" spans="1:3" x14ac:dyDescent="0.3">
      <c r="A155" s="4"/>
      <c r="B155" s="12">
        <v>0.6</v>
      </c>
      <c r="C155" s="12">
        <v>0.7</v>
      </c>
    </row>
    <row r="156" spans="1:3" x14ac:dyDescent="0.3">
      <c r="A156" s="4" t="s">
        <v>169</v>
      </c>
    </row>
    <row r="157" spans="1:3" x14ac:dyDescent="0.3">
      <c r="A157" s="4" t="s">
        <v>170</v>
      </c>
      <c r="B157">
        <v>6000</v>
      </c>
      <c r="C157">
        <f>+B157*70/60</f>
        <v>7000</v>
      </c>
    </row>
    <row r="158" spans="1:3" x14ac:dyDescent="0.3">
      <c r="A158" s="4" t="s">
        <v>171</v>
      </c>
      <c r="B158">
        <v>18000</v>
      </c>
      <c r="C158">
        <f>+B158*70/60</f>
        <v>21000</v>
      </c>
    </row>
    <row r="160" spans="1:3" x14ac:dyDescent="0.3">
      <c r="A160" s="4" t="s">
        <v>187</v>
      </c>
    </row>
    <row r="161" spans="1:3" x14ac:dyDescent="0.3">
      <c r="A161" s="4" t="s">
        <v>188</v>
      </c>
      <c r="B161">
        <v>30000</v>
      </c>
      <c r="C161">
        <f>+C175</f>
        <v>33000</v>
      </c>
    </row>
    <row r="162" spans="1:3" x14ac:dyDescent="0.3">
      <c r="A162" s="4" t="s">
        <v>189</v>
      </c>
      <c r="B162">
        <v>3000</v>
      </c>
      <c r="C162">
        <f>+C179</f>
        <v>3100</v>
      </c>
    </row>
    <row r="164" spans="1:3" x14ac:dyDescent="0.3">
      <c r="A164" s="4" t="s">
        <v>190</v>
      </c>
    </row>
    <row r="165" spans="1:3" x14ac:dyDescent="0.3">
      <c r="A165" s="4" t="s">
        <v>176</v>
      </c>
      <c r="B165">
        <v>16500</v>
      </c>
      <c r="C165">
        <f>+B165</f>
        <v>16500</v>
      </c>
    </row>
    <row r="166" spans="1:3" x14ac:dyDescent="0.3">
      <c r="A166" s="4" t="s">
        <v>177</v>
      </c>
      <c r="B166">
        <v>4500</v>
      </c>
      <c r="C166">
        <f>+B166</f>
        <v>4500</v>
      </c>
    </row>
    <row r="167" spans="1:3" x14ac:dyDescent="0.3">
      <c r="A167" s="4" t="s">
        <v>178</v>
      </c>
      <c r="B167">
        <v>15000</v>
      </c>
      <c r="C167">
        <f>+B167</f>
        <v>15000</v>
      </c>
    </row>
    <row r="168" spans="1:3" x14ac:dyDescent="0.3">
      <c r="A168" s="4" t="s">
        <v>179</v>
      </c>
      <c r="B168" s="4">
        <v>93000</v>
      </c>
      <c r="C168" s="4">
        <f>+C157+C158+C161+C165+C166+C167+C162</f>
        <v>100100</v>
      </c>
    </row>
    <row r="169" spans="1:3" x14ac:dyDescent="0.3">
      <c r="A169" s="4" t="s">
        <v>195</v>
      </c>
      <c r="B169" s="4">
        <v>186000</v>
      </c>
      <c r="C169" s="4">
        <f>+B169*70/60</f>
        <v>217000</v>
      </c>
    </row>
    <row r="170" spans="1:3" x14ac:dyDescent="0.3">
      <c r="A170" s="4" t="s">
        <v>196</v>
      </c>
      <c r="B170" s="4">
        <f>+B168/B169</f>
        <v>0.5</v>
      </c>
      <c r="C170" s="4">
        <f>+C168/C169</f>
        <v>0.46129032258064517</v>
      </c>
    </row>
    <row r="171" spans="1:3" x14ac:dyDescent="0.3">
      <c r="A171" s="11"/>
    </row>
    <row r="172" spans="1:3" x14ac:dyDescent="0.3">
      <c r="A172" s="4" t="s">
        <v>107</v>
      </c>
    </row>
    <row r="173" spans="1:3" x14ac:dyDescent="0.3">
      <c r="A173" s="4" t="s">
        <v>180</v>
      </c>
      <c r="B173">
        <f>+B161*0.4</f>
        <v>12000</v>
      </c>
      <c r="C173">
        <f>+B173</f>
        <v>12000</v>
      </c>
    </row>
    <row r="174" spans="1:3" x14ac:dyDescent="0.3">
      <c r="A174" s="4" t="s">
        <v>191</v>
      </c>
      <c r="B174">
        <f>+B161*0.6</f>
        <v>18000</v>
      </c>
      <c r="C174">
        <f>+B174*70/60</f>
        <v>21000</v>
      </c>
    </row>
    <row r="175" spans="1:3" x14ac:dyDescent="0.3">
      <c r="A175" s="4" t="s">
        <v>192</v>
      </c>
      <c r="B175" s="4">
        <f>+B173+B174</f>
        <v>30000</v>
      </c>
      <c r="C175" s="4">
        <f>+C173+C174</f>
        <v>33000</v>
      </c>
    </row>
    <row r="176" spans="1:3" x14ac:dyDescent="0.3">
      <c r="A176" s="4" t="s">
        <v>6</v>
      </c>
    </row>
    <row r="177" spans="1:7" x14ac:dyDescent="0.3">
      <c r="A177" s="4" t="s">
        <v>183</v>
      </c>
      <c r="B177">
        <f>+B162*0.8</f>
        <v>2400</v>
      </c>
      <c r="C177">
        <f>+B177</f>
        <v>2400</v>
      </c>
    </row>
    <row r="178" spans="1:7" x14ac:dyDescent="0.3">
      <c r="A178" s="4" t="s">
        <v>193</v>
      </c>
      <c r="B178">
        <f>+B162*0.2</f>
        <v>600</v>
      </c>
      <c r="C178">
        <f>+B178*70/60</f>
        <v>700</v>
      </c>
    </row>
    <row r="179" spans="1:7" x14ac:dyDescent="0.3">
      <c r="A179" s="4" t="s">
        <v>194</v>
      </c>
      <c r="B179" s="4">
        <f>+B177+B178</f>
        <v>3000</v>
      </c>
      <c r="C179" s="4">
        <f>+C177+C178</f>
        <v>3100</v>
      </c>
    </row>
    <row r="180" spans="1:7" x14ac:dyDescent="0.3">
      <c r="A180" s="4" t="s">
        <v>6</v>
      </c>
    </row>
    <row r="182" spans="1:7" x14ac:dyDescent="0.3">
      <c r="A182" s="13" t="s">
        <v>186</v>
      </c>
      <c r="B182" s="13"/>
      <c r="C182" s="13"/>
      <c r="D182" s="13"/>
      <c r="E182" s="13"/>
      <c r="F182" s="13"/>
      <c r="G182" s="13"/>
    </row>
    <row r="183" spans="1:7" x14ac:dyDescent="0.3">
      <c r="A183" s="4" t="s">
        <v>1</v>
      </c>
      <c r="B183" s="13" t="s">
        <v>197</v>
      </c>
      <c r="C183" s="13"/>
      <c r="D183" s="13" t="s">
        <v>198</v>
      </c>
      <c r="E183" s="13"/>
      <c r="F183" s="13" t="s">
        <v>199</v>
      </c>
      <c r="G183" s="13"/>
    </row>
    <row r="184" spans="1:7" x14ac:dyDescent="0.3">
      <c r="A184" s="4" t="s">
        <v>169</v>
      </c>
      <c r="B184" s="4" t="s">
        <v>207</v>
      </c>
      <c r="C184" s="4" t="s">
        <v>208</v>
      </c>
      <c r="D184" s="4" t="s">
        <v>207</v>
      </c>
      <c r="E184" s="4" t="s">
        <v>208</v>
      </c>
      <c r="F184" s="4" t="s">
        <v>207</v>
      </c>
      <c r="G184" s="4" t="s">
        <v>208</v>
      </c>
    </row>
    <row r="185" spans="1:7" x14ac:dyDescent="0.3">
      <c r="A185" s="4" t="s">
        <v>200</v>
      </c>
      <c r="B185" s="2">
        <v>700</v>
      </c>
      <c r="C185" s="2">
        <f>+B185*600</f>
        <v>420000</v>
      </c>
      <c r="D185">
        <v>700</v>
      </c>
      <c r="E185">
        <f>+D185*800</f>
        <v>560000</v>
      </c>
      <c r="F185">
        <v>700</v>
      </c>
      <c r="G185">
        <f>+F185*1000</f>
        <v>700000</v>
      </c>
    </row>
    <row r="186" spans="1:7" x14ac:dyDescent="0.3">
      <c r="A186" s="4" t="s">
        <v>201</v>
      </c>
      <c r="B186">
        <v>250</v>
      </c>
      <c r="C186">
        <f>+B186*600</f>
        <v>150000</v>
      </c>
      <c r="D186">
        <v>250</v>
      </c>
      <c r="E186">
        <f>+D186*800</f>
        <v>200000</v>
      </c>
      <c r="F186">
        <v>250</v>
      </c>
      <c r="G186">
        <f>+F186*1000</f>
        <v>250000</v>
      </c>
    </row>
    <row r="187" spans="1:7" x14ac:dyDescent="0.3">
      <c r="A187" s="4" t="s">
        <v>202</v>
      </c>
      <c r="B187">
        <v>200</v>
      </c>
      <c r="C187">
        <f>+B187*600</f>
        <v>120000</v>
      </c>
      <c r="D187">
        <v>200</v>
      </c>
      <c r="E187">
        <f>+D187*800</f>
        <v>160000</v>
      </c>
      <c r="F187">
        <v>200</v>
      </c>
      <c r="G187">
        <f>+F187*1000</f>
        <v>200000</v>
      </c>
    </row>
    <row r="188" spans="1:7" x14ac:dyDescent="0.3">
      <c r="A188" s="4" t="s">
        <v>209</v>
      </c>
      <c r="B188" s="4">
        <f t="shared" ref="B188:G188" si="19">+B185+B186+B187</f>
        <v>1150</v>
      </c>
      <c r="C188" s="4">
        <f t="shared" si="19"/>
        <v>690000</v>
      </c>
      <c r="D188" s="4">
        <f t="shared" si="19"/>
        <v>1150</v>
      </c>
      <c r="E188" s="4">
        <f t="shared" si="19"/>
        <v>920000</v>
      </c>
      <c r="F188" s="4">
        <f t="shared" si="19"/>
        <v>1150</v>
      </c>
      <c r="G188" s="4">
        <f t="shared" si="19"/>
        <v>1150000</v>
      </c>
    </row>
    <row r="190" spans="1:7" x14ac:dyDescent="0.3">
      <c r="A190" s="4" t="s">
        <v>203</v>
      </c>
    </row>
    <row r="191" spans="1:7" x14ac:dyDescent="0.3">
      <c r="A191" s="4" t="s">
        <v>204</v>
      </c>
      <c r="B191">
        <f>+C191/600</f>
        <v>43.333333333333336</v>
      </c>
      <c r="C191" s="11">
        <f>130*0.2*1000</f>
        <v>26000</v>
      </c>
      <c r="D191">
        <f>+E191/800</f>
        <v>32.5</v>
      </c>
      <c r="E191" s="11">
        <f>130*0.2*1000</f>
        <v>26000</v>
      </c>
      <c r="F191">
        <f>+G191/1000</f>
        <v>26</v>
      </c>
      <c r="G191" s="11">
        <f>130*0.2*1000</f>
        <v>26000</v>
      </c>
    </row>
    <row r="192" spans="1:7" x14ac:dyDescent="0.3">
      <c r="A192" s="4" t="s">
        <v>205</v>
      </c>
      <c r="B192">
        <f>130*0.8</f>
        <v>104</v>
      </c>
      <c r="C192">
        <f>+B192*600</f>
        <v>62400</v>
      </c>
      <c r="D192">
        <f>130*0.8</f>
        <v>104</v>
      </c>
      <c r="E192">
        <f>+D192*800</f>
        <v>83200</v>
      </c>
      <c r="F192">
        <f>130*0.8</f>
        <v>104</v>
      </c>
      <c r="G192">
        <f>+F192*1000</f>
        <v>104000</v>
      </c>
    </row>
    <row r="193" spans="1:7" x14ac:dyDescent="0.3">
      <c r="A193" s="4" t="s">
        <v>179</v>
      </c>
      <c r="B193" s="4">
        <f t="shared" ref="B193:G193" si="20">+B191+B192</f>
        <v>147.33333333333334</v>
      </c>
      <c r="C193" s="4">
        <f t="shared" si="20"/>
        <v>88400</v>
      </c>
      <c r="D193" s="4">
        <f t="shared" si="20"/>
        <v>136.5</v>
      </c>
      <c r="E193" s="4">
        <f t="shared" si="20"/>
        <v>109200</v>
      </c>
      <c r="F193" s="4">
        <f t="shared" si="20"/>
        <v>130</v>
      </c>
      <c r="G193" s="4">
        <f t="shared" si="20"/>
        <v>130000</v>
      </c>
    </row>
    <row r="195" spans="1:7" x14ac:dyDescent="0.3">
      <c r="A195" s="4" t="s">
        <v>190</v>
      </c>
    </row>
    <row r="196" spans="1:7" x14ac:dyDescent="0.3">
      <c r="A196" s="4" t="s">
        <v>206</v>
      </c>
      <c r="B196" s="4">
        <f>+C196/600</f>
        <v>333.33333333333331</v>
      </c>
      <c r="C196" s="4">
        <v>200000</v>
      </c>
      <c r="D196" s="4">
        <f>+E196/800</f>
        <v>250</v>
      </c>
      <c r="E196" s="4">
        <v>200000</v>
      </c>
      <c r="F196" s="4">
        <f>+G196/1000</f>
        <v>200</v>
      </c>
      <c r="G196" s="4">
        <v>200000</v>
      </c>
    </row>
    <row r="197" spans="1:7" x14ac:dyDescent="0.3">
      <c r="A197" s="4" t="s">
        <v>209</v>
      </c>
      <c r="B197">
        <f>+B188+B193+B196</f>
        <v>1630.6666666666665</v>
      </c>
      <c r="C197">
        <f>+C188+C193+C196</f>
        <v>978400</v>
      </c>
      <c r="D197" s="11">
        <f t="shared" ref="D197:G197" si="21">+D188+D193+D196</f>
        <v>1536.5</v>
      </c>
      <c r="E197" s="11">
        <f t="shared" si="21"/>
        <v>1229200</v>
      </c>
      <c r="F197" s="11">
        <f t="shared" si="21"/>
        <v>1480</v>
      </c>
      <c r="G197" s="11">
        <f t="shared" si="21"/>
        <v>1480000</v>
      </c>
    </row>
    <row r="199" spans="1:7" x14ac:dyDescent="0.3">
      <c r="A199" s="13" t="s">
        <v>186</v>
      </c>
      <c r="B199" s="13"/>
      <c r="C199" s="13"/>
      <c r="D199" s="13"/>
      <c r="E199" s="13"/>
      <c r="F199" s="13"/>
      <c r="G199" s="13"/>
    </row>
    <row r="200" spans="1:7" x14ac:dyDescent="0.3">
      <c r="A200" s="4" t="s">
        <v>1</v>
      </c>
      <c r="B200" s="13">
        <v>6400</v>
      </c>
      <c r="C200" s="13"/>
      <c r="D200" s="13">
        <v>3200</v>
      </c>
      <c r="E200" s="13"/>
      <c r="F200" s="13">
        <v>4800</v>
      </c>
      <c r="G200" s="13"/>
    </row>
    <row r="201" spans="1:7" x14ac:dyDescent="0.3">
      <c r="A201" s="4" t="s">
        <v>169</v>
      </c>
      <c r="B201" s="4" t="s">
        <v>207</v>
      </c>
      <c r="C201" s="4" t="s">
        <v>208</v>
      </c>
      <c r="D201" s="4" t="s">
        <v>207</v>
      </c>
      <c r="E201" s="4" t="s">
        <v>208</v>
      </c>
      <c r="F201" s="4" t="s">
        <v>207</v>
      </c>
      <c r="G201" s="4" t="s">
        <v>208</v>
      </c>
    </row>
    <row r="202" spans="1:7" x14ac:dyDescent="0.3">
      <c r="A202" s="4" t="s">
        <v>4</v>
      </c>
      <c r="B202" s="4">
        <v>40</v>
      </c>
      <c r="C202" s="4">
        <f>+B202*B200</f>
        <v>256000</v>
      </c>
      <c r="D202" s="4">
        <v>40</v>
      </c>
      <c r="E202" s="4" t="e">
        <f>+D201*D200</f>
        <v>#VALUE!</v>
      </c>
      <c r="F202" s="4">
        <v>40</v>
      </c>
      <c r="G202" s="4">
        <f>+F202*F200</f>
        <v>192000</v>
      </c>
    </row>
    <row r="203" spans="1:7" x14ac:dyDescent="0.3">
      <c r="A203" s="4" t="s">
        <v>210</v>
      </c>
      <c r="B203">
        <f>1440/B200</f>
        <v>0.22500000000000001</v>
      </c>
      <c r="C203">
        <f>+B203*B200</f>
        <v>1440</v>
      </c>
      <c r="D203">
        <f>1440/B200</f>
        <v>0.22500000000000001</v>
      </c>
      <c r="E203">
        <f>+D203*D200</f>
        <v>720</v>
      </c>
      <c r="F203" s="11">
        <f>1440/B200</f>
        <v>0.22500000000000001</v>
      </c>
      <c r="G203">
        <f>+F203*F200</f>
        <v>1080</v>
      </c>
    </row>
    <row r="204" spans="1:7" x14ac:dyDescent="0.3">
      <c r="A204" s="4" t="s">
        <v>211</v>
      </c>
      <c r="B204">
        <f>1700/B200</f>
        <v>0.265625</v>
      </c>
      <c r="C204">
        <f>+B204*B200</f>
        <v>1700</v>
      </c>
      <c r="D204">
        <f>1700/B200</f>
        <v>0.265625</v>
      </c>
      <c r="E204">
        <f>+D204*D200</f>
        <v>850</v>
      </c>
      <c r="F204">
        <f>1700/B200</f>
        <v>0.265625</v>
      </c>
      <c r="G204">
        <f>+F204*F200</f>
        <v>1275</v>
      </c>
    </row>
    <row r="205" spans="1:7" x14ac:dyDescent="0.3">
      <c r="A205" s="4" t="s">
        <v>212</v>
      </c>
      <c r="B205">
        <f>540/B200</f>
        <v>8.4375000000000006E-2</v>
      </c>
      <c r="C205">
        <f>+B205*B200</f>
        <v>540</v>
      </c>
      <c r="D205">
        <f>540/B200</f>
        <v>8.4375000000000006E-2</v>
      </c>
      <c r="E205">
        <f>+D205*D200</f>
        <v>270</v>
      </c>
      <c r="F205">
        <f>540/B200</f>
        <v>8.4375000000000006E-2</v>
      </c>
      <c r="G205">
        <f>+F205*F200</f>
        <v>405</v>
      </c>
    </row>
    <row r="206" spans="1:7" x14ac:dyDescent="0.3">
      <c r="A206" s="4" t="s">
        <v>213</v>
      </c>
      <c r="B206">
        <f>49280/B200</f>
        <v>7.7</v>
      </c>
      <c r="C206">
        <f>+B206*B200</f>
        <v>49280</v>
      </c>
      <c r="D206">
        <f>49280/B200</f>
        <v>7.7</v>
      </c>
      <c r="E206">
        <f>+D206*D200</f>
        <v>24640</v>
      </c>
      <c r="F206">
        <f>49280/B200</f>
        <v>7.7</v>
      </c>
      <c r="G206">
        <f>+F206*F200</f>
        <v>36960</v>
      </c>
    </row>
    <row r="207" spans="1:7" x14ac:dyDescent="0.3">
      <c r="A207" s="4" t="s">
        <v>214</v>
      </c>
      <c r="B207">
        <f>102400/B200</f>
        <v>16</v>
      </c>
      <c r="C207">
        <f>+B207*B200</f>
        <v>102400</v>
      </c>
      <c r="D207">
        <f>102400/B200</f>
        <v>16</v>
      </c>
      <c r="E207">
        <f>+D207*D200</f>
        <v>51200</v>
      </c>
      <c r="F207">
        <f>102400/B200</f>
        <v>16</v>
      </c>
      <c r="G207">
        <f>+F207*F200</f>
        <v>76800</v>
      </c>
    </row>
    <row r="208" spans="1:7" x14ac:dyDescent="0.3">
      <c r="A208" s="4" t="s">
        <v>215</v>
      </c>
      <c r="B208" s="4">
        <f>+B203+B204+B205+B206+B207</f>
        <v>24.274999999999999</v>
      </c>
      <c r="C208" s="4">
        <f>+C203+C204+C205+C206+C207</f>
        <v>155360</v>
      </c>
      <c r="D208" s="4">
        <f>+D203+D204+D205+D206+D207</f>
        <v>24.274999999999999</v>
      </c>
      <c r="E208" s="4">
        <f t="shared" ref="E208:G208" si="22">+E203+E204+E205+E206+E207</f>
        <v>77680</v>
      </c>
      <c r="F208" s="4">
        <f t="shared" si="22"/>
        <v>24.274999999999999</v>
      </c>
      <c r="G208" s="4">
        <f t="shared" si="22"/>
        <v>116520</v>
      </c>
    </row>
    <row r="210" spans="1:7" x14ac:dyDescent="0.3">
      <c r="A210" s="4" t="s">
        <v>175</v>
      </c>
    </row>
    <row r="211" spans="1:7" x14ac:dyDescent="0.3">
      <c r="A211" s="4" t="s">
        <v>216</v>
      </c>
      <c r="B211">
        <f>+C211/B200</f>
        <v>3.2324999999999999</v>
      </c>
      <c r="C211">
        <v>20688</v>
      </c>
      <c r="D211">
        <f>+E211/D200</f>
        <v>6.4649999999999999</v>
      </c>
      <c r="E211">
        <v>20688</v>
      </c>
      <c r="F211">
        <f>+G211/F200</f>
        <v>4.3099999999999996</v>
      </c>
      <c r="G211">
        <v>20688</v>
      </c>
    </row>
    <row r="212" spans="1:7" x14ac:dyDescent="0.3">
      <c r="A212" s="4" t="s">
        <v>217</v>
      </c>
      <c r="B212">
        <f>+C212/B200</f>
        <v>0.5625</v>
      </c>
      <c r="C212">
        <v>3600</v>
      </c>
      <c r="D212">
        <f>+E212/D200</f>
        <v>1.125</v>
      </c>
      <c r="E212">
        <v>3600</v>
      </c>
      <c r="F212">
        <f>+G212/F200</f>
        <v>0.75</v>
      </c>
      <c r="G212">
        <v>3600</v>
      </c>
    </row>
    <row r="213" spans="1:7" x14ac:dyDescent="0.3">
      <c r="A213" s="4" t="s">
        <v>218</v>
      </c>
      <c r="B213" s="4">
        <f t="shared" ref="B213:G213" si="23">+B211+B212</f>
        <v>3.7949999999999999</v>
      </c>
      <c r="C213" s="4">
        <f t="shared" si="23"/>
        <v>24288</v>
      </c>
      <c r="D213" s="4">
        <f t="shared" si="23"/>
        <v>7.59</v>
      </c>
      <c r="E213" s="4">
        <f t="shared" si="23"/>
        <v>24288</v>
      </c>
      <c r="F213" s="4">
        <f t="shared" si="23"/>
        <v>5.0599999999999996</v>
      </c>
      <c r="G213" s="4">
        <f t="shared" si="23"/>
        <v>24288</v>
      </c>
    </row>
    <row r="214" spans="1:7" x14ac:dyDescent="0.3">
      <c r="A214" s="4" t="s">
        <v>209</v>
      </c>
      <c r="B214">
        <f>+B208+B213</f>
        <v>28.07</v>
      </c>
      <c r="C214" s="11">
        <f t="shared" ref="C214:G214" si="24">+C208+C213</f>
        <v>179648</v>
      </c>
      <c r="D214" s="11">
        <f t="shared" si="24"/>
        <v>31.864999999999998</v>
      </c>
      <c r="E214" s="11">
        <f t="shared" si="24"/>
        <v>101968</v>
      </c>
      <c r="F214" s="11">
        <f t="shared" si="24"/>
        <v>29.334999999999997</v>
      </c>
      <c r="G214" s="11">
        <f t="shared" si="24"/>
        <v>140808</v>
      </c>
    </row>
  </sheetData>
  <mergeCells count="24">
    <mergeCell ref="H2:J2"/>
    <mergeCell ref="A9:B9"/>
    <mergeCell ref="B10:D10"/>
    <mergeCell ref="E10:G10"/>
    <mergeCell ref="B18:D18"/>
    <mergeCell ref="E18:G18"/>
    <mergeCell ref="A1:D1"/>
    <mergeCell ref="B2:D2"/>
    <mergeCell ref="E2:G2"/>
    <mergeCell ref="A32:C32"/>
    <mergeCell ref="A66:D66"/>
    <mergeCell ref="A182:G182"/>
    <mergeCell ref="A199:G199"/>
    <mergeCell ref="A87:G87"/>
    <mergeCell ref="A116:G116"/>
    <mergeCell ref="A17:B17"/>
    <mergeCell ref="A128:C128"/>
    <mergeCell ref="A154:C154"/>
    <mergeCell ref="B200:C200"/>
    <mergeCell ref="D200:E200"/>
    <mergeCell ref="F200:G200"/>
    <mergeCell ref="B183:C183"/>
    <mergeCell ref="D183:E183"/>
    <mergeCell ref="F183:G18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Vijaykumar R Pai</dc:creator>
  <cp:lastModifiedBy>Vijaykumar R Pai</cp:lastModifiedBy>
  <dcterms:created xsi:type="dcterms:W3CDTF">2017-12-17T04:30:13Z</dcterms:created>
  <dcterms:modified xsi:type="dcterms:W3CDTF">2018-01-15T11:12:21Z</dcterms:modified>
</cp:coreProperties>
</file>