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yoc\OneDrive\Documents\Code\C#\Rankings2\"/>
    </mc:Choice>
  </mc:AlternateContent>
  <bookViews>
    <workbookView xWindow="0" yWindow="0" windowWidth="14460" windowHeight="5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" i="1" l="1"/>
  <c r="AF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AF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D41" i="1"/>
  <c r="H41" i="1" l="1"/>
  <c r="G41" i="1"/>
  <c r="F41" i="1"/>
  <c r="E41" i="1"/>
  <c r="C41" i="1"/>
  <c r="I40" i="1"/>
  <c r="L40" i="1" s="1"/>
  <c r="I3" i="1"/>
  <c r="L3" i="1" s="1"/>
  <c r="I4" i="1"/>
  <c r="I5" i="1"/>
  <c r="I6" i="1"/>
  <c r="L6" i="1" s="1"/>
  <c r="I7" i="1"/>
  <c r="L7" i="1" s="1"/>
  <c r="I8" i="1"/>
  <c r="I9" i="1"/>
  <c r="I10" i="1"/>
  <c r="L10" i="1" s="1"/>
  <c r="I11" i="1"/>
  <c r="L11" i="1" s="1"/>
  <c r="I12" i="1"/>
  <c r="I13" i="1"/>
  <c r="I14" i="1"/>
  <c r="L14" i="1" s="1"/>
  <c r="I15" i="1"/>
  <c r="L15" i="1" s="1"/>
  <c r="I16" i="1"/>
  <c r="I17" i="1"/>
  <c r="I18" i="1"/>
  <c r="L18" i="1" s="1"/>
  <c r="I19" i="1"/>
  <c r="L19" i="1" s="1"/>
  <c r="I20" i="1"/>
  <c r="I21" i="1"/>
  <c r="I22" i="1"/>
  <c r="L22" i="1" s="1"/>
  <c r="I23" i="1"/>
  <c r="L23" i="1" s="1"/>
  <c r="I24" i="1"/>
  <c r="I25" i="1"/>
  <c r="I26" i="1"/>
  <c r="L26" i="1" s="1"/>
  <c r="I27" i="1"/>
  <c r="L27" i="1" s="1"/>
  <c r="I28" i="1"/>
  <c r="I29" i="1"/>
  <c r="I30" i="1"/>
  <c r="L30" i="1" s="1"/>
  <c r="I31" i="1"/>
  <c r="L31" i="1" s="1"/>
  <c r="I32" i="1"/>
  <c r="I33" i="1"/>
  <c r="I34" i="1"/>
  <c r="L34" i="1" s="1"/>
  <c r="I35" i="1"/>
  <c r="L35" i="1" s="1"/>
  <c r="I36" i="1"/>
  <c r="I37" i="1"/>
  <c r="I38" i="1"/>
  <c r="L38" i="1" s="1"/>
  <c r="I39" i="1"/>
  <c r="L39" i="1" s="1"/>
  <c r="I2" i="1"/>
  <c r="L2" i="1" s="1"/>
  <c r="Z10" i="1" l="1"/>
  <c r="J2" i="1"/>
  <c r="K2" i="1" s="1"/>
  <c r="Z3" i="1"/>
  <c r="Z5" i="1"/>
  <c r="J40" i="1"/>
  <c r="K40" i="1" s="1"/>
  <c r="J29" i="1"/>
  <c r="L29" i="1"/>
  <c r="J37" i="1"/>
  <c r="K37" i="1" s="1"/>
  <c r="L37" i="1"/>
  <c r="J33" i="1"/>
  <c r="L33" i="1"/>
  <c r="J25" i="1"/>
  <c r="K25" i="1" s="1"/>
  <c r="L25" i="1"/>
  <c r="J21" i="1"/>
  <c r="K21" i="1" s="1"/>
  <c r="L21" i="1"/>
  <c r="J17" i="1"/>
  <c r="K17" i="1" s="1"/>
  <c r="L17" i="1"/>
  <c r="J13" i="1"/>
  <c r="K13" i="1" s="1"/>
  <c r="L13" i="1"/>
  <c r="J9" i="1"/>
  <c r="L9" i="1"/>
  <c r="J5" i="1"/>
  <c r="K5" i="1" s="1"/>
  <c r="L5" i="1"/>
  <c r="L36" i="1"/>
  <c r="J36" i="1"/>
  <c r="K36" i="1" s="1"/>
  <c r="L32" i="1"/>
  <c r="J32" i="1"/>
  <c r="K32" i="1" s="1"/>
  <c r="L28" i="1"/>
  <c r="J28" i="1"/>
  <c r="K28" i="1" s="1"/>
  <c r="L24" i="1"/>
  <c r="J24" i="1"/>
  <c r="L20" i="1"/>
  <c r="J20" i="1"/>
  <c r="L16" i="1"/>
  <c r="J16" i="1"/>
  <c r="K16" i="1" s="1"/>
  <c r="L12" i="1"/>
  <c r="J12" i="1"/>
  <c r="K12" i="1" s="1"/>
  <c r="L8" i="1"/>
  <c r="J8" i="1"/>
  <c r="K8" i="1" s="1"/>
  <c r="L4" i="1"/>
  <c r="J4" i="1"/>
  <c r="K4" i="1" s="1"/>
  <c r="Z13" i="1"/>
  <c r="Z9" i="1"/>
  <c r="Z4" i="1"/>
  <c r="Z2" i="1"/>
  <c r="Z6" i="1"/>
  <c r="Z11" i="1"/>
  <c r="J39" i="1"/>
  <c r="K39" i="1" s="1"/>
  <c r="J35" i="1"/>
  <c r="K35" i="1" s="1"/>
  <c r="J31" i="1"/>
  <c r="K31" i="1" s="1"/>
  <c r="J27" i="1"/>
  <c r="K27" i="1" s="1"/>
  <c r="J23" i="1"/>
  <c r="K23" i="1" s="1"/>
  <c r="J19" i="1"/>
  <c r="K19" i="1" s="1"/>
  <c r="J15" i="1"/>
  <c r="K15" i="1" s="1"/>
  <c r="J11" i="1"/>
  <c r="K11" i="1" s="1"/>
  <c r="J7" i="1"/>
  <c r="K7" i="1" s="1"/>
  <c r="J3" i="1"/>
  <c r="K3" i="1" s="1"/>
  <c r="Z8" i="1"/>
  <c r="Z12" i="1"/>
  <c r="J38" i="1"/>
  <c r="J34" i="1"/>
  <c r="J30" i="1"/>
  <c r="J26" i="1"/>
  <c r="K26" i="1" s="1"/>
  <c r="J22" i="1"/>
  <c r="K22" i="1" s="1"/>
  <c r="J18" i="1"/>
  <c r="J14" i="1"/>
  <c r="J10" i="1"/>
  <c r="J6" i="1"/>
  <c r="K6" i="1" s="1"/>
  <c r="I41" i="1"/>
  <c r="AA9" i="1" l="1"/>
  <c r="AD9" i="1" s="1"/>
  <c r="K33" i="1"/>
  <c r="AA8" i="1" s="1"/>
  <c r="AD8" i="1" s="1"/>
  <c r="K18" i="1"/>
  <c r="X6" i="1" s="1"/>
  <c r="K34" i="1"/>
  <c r="X13" i="1"/>
  <c r="AA13" i="1"/>
  <c r="AD13" i="1" s="1"/>
  <c r="K38" i="1"/>
  <c r="Z14" i="1"/>
  <c r="K20" i="1"/>
  <c r="K14" i="1"/>
  <c r="X9" i="1"/>
  <c r="K30" i="1"/>
  <c r="X12" i="1" s="1"/>
  <c r="K24" i="1"/>
  <c r="AA3" i="1"/>
  <c r="X3" i="1"/>
  <c r="J41" i="1"/>
  <c r="K41" i="1" s="1"/>
  <c r="L41" i="1"/>
  <c r="AF2" i="1" s="1"/>
  <c r="K10" i="1"/>
  <c r="X11" i="1" s="1"/>
  <c r="AA10" i="1"/>
  <c r="X10" i="1"/>
  <c r="K9" i="1"/>
  <c r="K29" i="1"/>
  <c r="AA5" i="1" s="1"/>
  <c r="AA2" i="1"/>
  <c r="AB2" i="1" s="1"/>
  <c r="X8" i="1" l="1"/>
  <c r="Y8" i="1" s="1"/>
  <c r="AA4" i="1"/>
  <c r="AD4" i="1" s="1"/>
  <c r="X5" i="1"/>
  <c r="AC5" i="1" s="1"/>
  <c r="AA11" i="1"/>
  <c r="AD11" i="1" s="1"/>
  <c r="AA12" i="1"/>
  <c r="AD12" i="1" s="1"/>
  <c r="AB9" i="1"/>
  <c r="X2" i="1"/>
  <c r="Y2" i="1" s="1"/>
  <c r="Y12" i="1"/>
  <c r="AC12" i="1"/>
  <c r="Y10" i="1"/>
  <c r="AC10" i="1"/>
  <c r="AD5" i="1"/>
  <c r="AB5" i="1"/>
  <c r="X4" i="1"/>
  <c r="AB13" i="1"/>
  <c r="Y6" i="1"/>
  <c r="AC6" i="1"/>
  <c r="AD10" i="1"/>
  <c r="AB10" i="1"/>
  <c r="Y3" i="1"/>
  <c r="AC3" i="1"/>
  <c r="Y9" i="1"/>
  <c r="AC9" i="1"/>
  <c r="AB8" i="1"/>
  <c r="Y13" i="1"/>
  <c r="AC13" i="1"/>
  <c r="AD2" i="1"/>
  <c r="Y11" i="1"/>
  <c r="AC11" i="1"/>
  <c r="AD3" i="1"/>
  <c r="AB3" i="1"/>
  <c r="AA6" i="1"/>
  <c r="AC8" i="1" l="1"/>
  <c r="Y5" i="1"/>
  <c r="AB4" i="1"/>
  <c r="AB12" i="1"/>
  <c r="AB11" i="1"/>
  <c r="AA14" i="1"/>
  <c r="X14" i="1"/>
  <c r="AC2" i="1"/>
  <c r="Y4" i="1"/>
  <c r="AC4" i="1"/>
  <c r="AD6" i="1"/>
  <c r="AB6" i="1"/>
  <c r="Y14" i="1" l="1"/>
  <c r="AB14" i="1"/>
</calcChain>
</file>

<file path=xl/sharedStrings.xml><?xml version="1.0" encoding="utf-8"?>
<sst xmlns="http://schemas.openxmlformats.org/spreadsheetml/2006/main" count="221" uniqueCount="141">
  <si>
    <t>Bowl</t>
  </si>
  <si>
    <t>Date</t>
  </si>
  <si>
    <t>Rating</t>
  </si>
  <si>
    <t>Conference</t>
  </si>
  <si>
    <t>Team 1</t>
  </si>
  <si>
    <t>Team 2</t>
  </si>
  <si>
    <t>Team 1 win %</t>
  </si>
  <si>
    <t>Conference 1 wins</t>
  </si>
  <si>
    <t>Conference 2 wins</t>
  </si>
  <si>
    <t>New Orleans Bowl</t>
  </si>
  <si>
    <t>Troy</t>
  </si>
  <si>
    <t>North Texas</t>
  </si>
  <si>
    <t>Cure Bowl</t>
  </si>
  <si>
    <t>Western Kentucky</t>
  </si>
  <si>
    <t>Georgia State</t>
  </si>
  <si>
    <t>LV Bowl</t>
  </si>
  <si>
    <t>Boise State</t>
  </si>
  <si>
    <t>Oregon</t>
  </si>
  <si>
    <t>New Mexico Bowl</t>
  </si>
  <si>
    <t>Marshall</t>
  </si>
  <si>
    <t>Colorado State</t>
  </si>
  <si>
    <t>Camellia Bowl</t>
  </si>
  <si>
    <t>Middle Tennessee</t>
  </si>
  <si>
    <t>Arkansas State</t>
  </si>
  <si>
    <t>Boca Raton Bowl</t>
  </si>
  <si>
    <t>Akron</t>
  </si>
  <si>
    <t>FAU</t>
  </si>
  <si>
    <t>Frisco Bowl</t>
  </si>
  <si>
    <t>La Tech</t>
  </si>
  <si>
    <t>SMU</t>
  </si>
  <si>
    <t>Gasparila Bowl</t>
  </si>
  <si>
    <t>Temple</t>
  </si>
  <si>
    <t>FIU</t>
  </si>
  <si>
    <t>Bahamas Bowl</t>
  </si>
  <si>
    <t>UAB</t>
  </si>
  <si>
    <t>Ohio</t>
  </si>
  <si>
    <t>Potato Bowl</t>
  </si>
  <si>
    <t>CMU</t>
  </si>
  <si>
    <t>Wyoming</t>
  </si>
  <si>
    <t>Birmingham Bowl</t>
  </si>
  <si>
    <t>Texas Tech</t>
  </si>
  <si>
    <t>USF</t>
  </si>
  <si>
    <t>Armed Forces Bowl</t>
  </si>
  <si>
    <t>SDSU</t>
  </si>
  <si>
    <t>Army</t>
  </si>
  <si>
    <t>Dollar General Bowl</t>
  </si>
  <si>
    <t>Appalachian State</t>
  </si>
  <si>
    <t>Toledo</t>
  </si>
  <si>
    <t>Hawai'I Bowl</t>
  </si>
  <si>
    <t>Fresno State</t>
  </si>
  <si>
    <t>Houston</t>
  </si>
  <si>
    <t>Heart of Dallas Bowl</t>
  </si>
  <si>
    <t>Utah</t>
  </si>
  <si>
    <t>WVU</t>
  </si>
  <si>
    <t>Quick Lane Bowl</t>
  </si>
  <si>
    <t>Duke</t>
  </si>
  <si>
    <t>NIU</t>
  </si>
  <si>
    <t>Cactus Bowl</t>
  </si>
  <si>
    <t>Kansas State</t>
  </si>
  <si>
    <t>UCLA</t>
  </si>
  <si>
    <t>Independence Bowl</t>
  </si>
  <si>
    <t>Southern Miss</t>
  </si>
  <si>
    <t>FSU</t>
  </si>
  <si>
    <t>Pinstripe Bowl</t>
  </si>
  <si>
    <t>Iowa</t>
  </si>
  <si>
    <t>BC</t>
  </si>
  <si>
    <t>Foster Farms Bowl</t>
  </si>
  <si>
    <t>Arizona</t>
  </si>
  <si>
    <t>Purdue</t>
  </si>
  <si>
    <t>Texas Bowl</t>
  </si>
  <si>
    <t>Missouri</t>
  </si>
  <si>
    <t>Military Bowl</t>
  </si>
  <si>
    <t>Virginia</t>
  </si>
  <si>
    <t>Navy</t>
  </si>
  <si>
    <t>Camping World Bowl</t>
  </si>
  <si>
    <t>Virginia Tech</t>
  </si>
  <si>
    <t>Oklahoma State</t>
  </si>
  <si>
    <t>Alamo Bowl</t>
  </si>
  <si>
    <t>Stanford</t>
  </si>
  <si>
    <t>TCU</t>
  </si>
  <si>
    <t>Holiday Bowl</t>
  </si>
  <si>
    <t>WSU</t>
  </si>
  <si>
    <t>MSU</t>
  </si>
  <si>
    <t>Belk Bowl</t>
  </si>
  <si>
    <t>Wake Forest</t>
  </si>
  <si>
    <t>TAMU</t>
  </si>
  <si>
    <t>Sun Bowl</t>
  </si>
  <si>
    <t>NC State</t>
  </si>
  <si>
    <t>ASU</t>
  </si>
  <si>
    <t>Music City Bowl</t>
  </si>
  <si>
    <t>Kentucky</t>
  </si>
  <si>
    <t>Northwestern</t>
  </si>
  <si>
    <t>Arizona Bowl</t>
  </si>
  <si>
    <t>Utah State</t>
  </si>
  <si>
    <t>NMSU</t>
  </si>
  <si>
    <t>Cotton Bowl</t>
  </si>
  <si>
    <t>USC</t>
  </si>
  <si>
    <t>Ohio State</t>
  </si>
  <si>
    <t>TaxSlayer Bowl</t>
  </si>
  <si>
    <t>Louisville</t>
  </si>
  <si>
    <t>Mississippi State</t>
  </si>
  <si>
    <t>Liberty Bowl</t>
  </si>
  <si>
    <t>Iowa State</t>
  </si>
  <si>
    <t>Memphis</t>
  </si>
  <si>
    <t>Fiesta Bowl</t>
  </si>
  <si>
    <t>Washington</t>
  </si>
  <si>
    <t>Penn State</t>
  </si>
  <si>
    <t>Orange Bowl</t>
  </si>
  <si>
    <t>Miami</t>
  </si>
  <si>
    <t>Wisconsin</t>
  </si>
  <si>
    <t>Outback Bowl</t>
  </si>
  <si>
    <t>Michigan</t>
  </si>
  <si>
    <t>Peach Bowl</t>
  </si>
  <si>
    <t>UCF</t>
  </si>
  <si>
    <t>Auburn</t>
  </si>
  <si>
    <t>Citrus Bowl</t>
  </si>
  <si>
    <t>Notre Dame</t>
  </si>
  <si>
    <t>LSU</t>
  </si>
  <si>
    <t>Rose Bowl</t>
  </si>
  <si>
    <t>Georgia</t>
  </si>
  <si>
    <t>Oklahoma</t>
  </si>
  <si>
    <t>Sugar Bowl</t>
  </si>
  <si>
    <t>Alabama</t>
  </si>
  <si>
    <t>Clemson</t>
  </si>
  <si>
    <t>National Championship</t>
  </si>
  <si>
    <t>Sun Belt</t>
  </si>
  <si>
    <t>CUSA</t>
  </si>
  <si>
    <t>MW</t>
  </si>
  <si>
    <t>MAC</t>
  </si>
  <si>
    <t>AAC</t>
  </si>
  <si>
    <t>Big XII</t>
  </si>
  <si>
    <t>Ind</t>
  </si>
  <si>
    <t>South Carolina</t>
  </si>
  <si>
    <t>SEC</t>
  </si>
  <si>
    <t>B1G</t>
  </si>
  <si>
    <t>ACC</t>
  </si>
  <si>
    <t>Pac-12</t>
  </si>
  <si>
    <t>Texas</t>
  </si>
  <si>
    <t>Winner</t>
  </si>
  <si>
    <t>Winner Win %</t>
  </si>
  <si>
    <t>Interest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</si>
</sst>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workbookViewId="0">
      <pane ySplit="1" topLeftCell="A2" activePane="bottomLeft" state="frozen"/>
      <selection pane="bottomLeft" activeCell="N38" sqref="N38"/>
    </sheetView>
  </sheetViews>
  <sheetFormatPr defaultRowHeight="15" x14ac:dyDescent="0.25"/>
  <cols>
    <col min="1" max="1" width="21.5703125" customWidth="1"/>
    <col min="3" max="3" width="17.28515625" customWidth="1"/>
    <col min="5" max="5" width="11.7109375" customWidth="1"/>
    <col min="6" max="6" width="15.5703125" customWidth="1"/>
    <col min="8" max="8" width="11.5703125" customWidth="1"/>
    <col min="9" max="9" width="14.7109375" customWidth="1"/>
    <col min="10" max="10" width="17.28515625" customWidth="1"/>
    <col min="11" max="11" width="17.7109375" customWidth="1"/>
    <col min="12" max="12" width="14.140625" customWidth="1"/>
    <col min="13" max="13" width="16.7109375" customWidth="1"/>
    <col min="14" max="14" width="14.5703125" customWidth="1"/>
  </cols>
  <sheetData>
    <row r="1" spans="1:32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2</v>
      </c>
      <c r="H1" t="s">
        <v>3</v>
      </c>
      <c r="I1" t="s">
        <v>6</v>
      </c>
      <c r="J1" t="s">
        <v>7</v>
      </c>
      <c r="K1" t="s">
        <v>8</v>
      </c>
      <c r="L1" t="s">
        <v>139</v>
      </c>
      <c r="M1" t="s">
        <v>138</v>
      </c>
      <c r="N1" t="s">
        <v>140</v>
      </c>
    </row>
    <row r="2" spans="1:32" ht="15.75" x14ac:dyDescent="0.25">
      <c r="A2" t="s">
        <v>9</v>
      </c>
      <c r="B2" s="1">
        <v>43085</v>
      </c>
      <c r="C2" t="s">
        <v>10</v>
      </c>
      <c r="D2" s="2">
        <v>0.63048476024548405</v>
      </c>
      <c r="E2" t="s">
        <v>125</v>
      </c>
      <c r="F2" t="s">
        <v>11</v>
      </c>
      <c r="G2" s="2">
        <v>0.53640298629322103</v>
      </c>
      <c r="H2" t="s">
        <v>126</v>
      </c>
      <c r="I2">
        <f t="shared" ref="I2:I41" si="0">D2/(G2+D2)</f>
        <v>0.54031312104841889</v>
      </c>
      <c r="J2">
        <f t="shared" ref="J2:J41" si="1">I2</f>
        <v>0.54031312104841889</v>
      </c>
      <c r="K2">
        <f t="shared" ref="K2:K41" si="2">1-J2</f>
        <v>0.45968687895158111</v>
      </c>
      <c r="L2">
        <f t="shared" ref="L2:L41" si="3">IF(I2&gt;0.5,I2,1-I2)</f>
        <v>0.54031312104841889</v>
      </c>
      <c r="M2" t="str">
        <f>IF(G2&gt;D2,F2,C2)</f>
        <v>Troy</v>
      </c>
      <c r="N2">
        <f>1-L2+D2+G2</f>
        <v>1.6265746254902864</v>
      </c>
      <c r="W2" t="s">
        <v>133</v>
      </c>
      <c r="X2">
        <f>SUMIF(E2:E41,W2,J2:J41)+SUMIF(H2:H41,W2,K2:K41)</f>
        <v>5.4444316685598881</v>
      </c>
      <c r="Y2">
        <f>Z2-X2</f>
        <v>5.5555683314401119</v>
      </c>
      <c r="Z2">
        <f>COUNTIF(E2:E41,"SEC")+COUNTIF(H2:H41,"SEC")</f>
        <v>11</v>
      </c>
      <c r="AA2">
        <f>COUNTIFS(E2:E41,W2,J2:J41,"&gt;0.5")+COUNTIFS(H2:H41,W2,K2:K41,"&gt;0.50")</f>
        <v>5</v>
      </c>
      <c r="AB2">
        <f>Z2-AA2</f>
        <v>6</v>
      </c>
      <c r="AC2">
        <f>X2/Z2</f>
        <v>0.49494833350544437</v>
      </c>
      <c r="AD2">
        <f>AA2/Z2</f>
        <v>0.45454545454545453</v>
      </c>
      <c r="AF2">
        <f>MAX(L2:L41)</f>
        <v>0.62011517138158001</v>
      </c>
    </row>
    <row r="3" spans="1:32" ht="15.75" x14ac:dyDescent="0.25">
      <c r="A3" t="s">
        <v>12</v>
      </c>
      <c r="B3" s="1">
        <v>43085</v>
      </c>
      <c r="C3" t="s">
        <v>13</v>
      </c>
      <c r="D3" s="2">
        <v>0.38165939459389098</v>
      </c>
      <c r="E3" t="s">
        <v>126</v>
      </c>
      <c r="F3" t="s">
        <v>14</v>
      </c>
      <c r="G3" s="2">
        <v>0.38708138829059102</v>
      </c>
      <c r="H3" t="s">
        <v>125</v>
      </c>
      <c r="I3">
        <f t="shared" si="0"/>
        <v>0.49647345775232871</v>
      </c>
      <c r="J3">
        <f t="shared" si="1"/>
        <v>0.49647345775232871</v>
      </c>
      <c r="K3">
        <f t="shared" si="2"/>
        <v>0.50352654224767135</v>
      </c>
      <c r="L3">
        <f t="shared" si="3"/>
        <v>0.50352654224767135</v>
      </c>
      <c r="M3" t="str">
        <f t="shared" ref="M3:M41" si="4">IF(G3&gt;D3,F3,C3)</f>
        <v>Georgia State</v>
      </c>
      <c r="N3">
        <f t="shared" ref="N3:N41" si="5">1-L3+D3+G3</f>
        <v>1.2652142406368108</v>
      </c>
      <c r="W3" t="s">
        <v>135</v>
      </c>
      <c r="X3">
        <f>SUMIF(E2:E41,W3,J2:J41)+SUMIF(H2:H41,W3,K2:K41)</f>
        <v>4.9739684932564119</v>
      </c>
      <c r="Y3">
        <f>Z3-X3</f>
        <v>5.0260315067435881</v>
      </c>
      <c r="Z3">
        <f>COUNTIF(E2:E41,"ACC")+COUNTIF(H2:H41,"ACC")</f>
        <v>10</v>
      </c>
      <c r="AA3">
        <f>COUNTIFS(E2:E41,W3,J2:J41,"&gt;0.5")+COUNTIFS(H2:H41,W3,K2:K41,"&gt;0.50")</f>
        <v>4</v>
      </c>
      <c r="AB3">
        <f>Z3-AA3</f>
        <v>6</v>
      </c>
      <c r="AC3">
        <f>X3/Z3</f>
        <v>0.49739684932564121</v>
      </c>
      <c r="AD3">
        <f>AA3/Z3</f>
        <v>0.4</v>
      </c>
      <c r="AF3">
        <f>MIN(L2:L41)</f>
        <v>0.50105793401461118</v>
      </c>
    </row>
    <row r="4" spans="1:32" ht="15.75" x14ac:dyDescent="0.25">
      <c r="A4" t="s">
        <v>15</v>
      </c>
      <c r="B4" s="1">
        <v>43085</v>
      </c>
      <c r="C4" t="s">
        <v>16</v>
      </c>
      <c r="D4" s="2">
        <v>0.71169159118292502</v>
      </c>
      <c r="E4" t="s">
        <v>127</v>
      </c>
      <c r="F4" t="s">
        <v>17</v>
      </c>
      <c r="G4" s="2">
        <v>0.60057228664766704</v>
      </c>
      <c r="H4" t="s">
        <v>136</v>
      </c>
      <c r="I4">
        <f t="shared" si="0"/>
        <v>0.54233878048939299</v>
      </c>
      <c r="J4">
        <f t="shared" si="1"/>
        <v>0.54233878048939299</v>
      </c>
      <c r="K4">
        <f t="shared" si="2"/>
        <v>0.45766121951060701</v>
      </c>
      <c r="L4">
        <f t="shared" si="3"/>
        <v>0.54233878048939299</v>
      </c>
      <c r="M4" t="str">
        <f t="shared" si="4"/>
        <v>Boise State</v>
      </c>
      <c r="N4">
        <f t="shared" si="5"/>
        <v>1.7699250973411991</v>
      </c>
      <c r="W4" t="s">
        <v>130</v>
      </c>
      <c r="X4">
        <f>SUMIF(E2:E41,W4,J2:J41)+SUMIF(H2:H41,W4,K2:K41)</f>
        <v>3.8094409921171302</v>
      </c>
      <c r="Y4">
        <f>Z4-X4</f>
        <v>4.1905590078828698</v>
      </c>
      <c r="Z4">
        <f>COUNTIF(E2:E41,"Big XII")+COUNTIF(H2:H41,"Big XII")</f>
        <v>8</v>
      </c>
      <c r="AA4">
        <f>COUNTIFS(E2:E41,W4,J2:J41,"&gt;0.5")+COUNTIFS(H2:H41,W4,K2:K41,"&gt;0.50")</f>
        <v>2</v>
      </c>
      <c r="AB4">
        <f>Z4-AA4</f>
        <v>6</v>
      </c>
      <c r="AC4">
        <f>X4/Z4</f>
        <v>0.47618012401464127</v>
      </c>
      <c r="AD4">
        <f>AA4/Z4</f>
        <v>0.25</v>
      </c>
      <c r="AF4">
        <f>MAX(N2:N41)</f>
        <v>2.4404207938713451</v>
      </c>
    </row>
    <row r="5" spans="1:32" ht="15.75" x14ac:dyDescent="0.25">
      <c r="A5" t="s">
        <v>18</v>
      </c>
      <c r="B5" s="1">
        <v>43085</v>
      </c>
      <c r="C5" t="s">
        <v>19</v>
      </c>
      <c r="D5" s="2">
        <v>0.55807575336305204</v>
      </c>
      <c r="E5" t="s">
        <v>126</v>
      </c>
      <c r="F5" t="s">
        <v>20</v>
      </c>
      <c r="G5" s="2">
        <v>0.46115138248910598</v>
      </c>
      <c r="H5" t="s">
        <v>127</v>
      </c>
      <c r="I5">
        <f t="shared" si="0"/>
        <v>0.5475479740798449</v>
      </c>
      <c r="J5">
        <f t="shared" si="1"/>
        <v>0.5475479740798449</v>
      </c>
      <c r="K5">
        <f t="shared" si="2"/>
        <v>0.4524520259201551</v>
      </c>
      <c r="L5">
        <f t="shared" si="3"/>
        <v>0.5475479740798449</v>
      </c>
      <c r="M5" t="str">
        <f t="shared" si="4"/>
        <v>Marshall</v>
      </c>
      <c r="N5">
        <f t="shared" si="5"/>
        <v>1.4716791617723131</v>
      </c>
      <c r="W5" t="s">
        <v>134</v>
      </c>
      <c r="X5">
        <f>SUMIF(E2:E41,W5,J2:J41)+SUMIF(H2:H41,W5,K2:K41)</f>
        <v>4.3364278052670997</v>
      </c>
      <c r="Y5">
        <f>Z5-X5</f>
        <v>3.6635721947329003</v>
      </c>
      <c r="Z5">
        <f>COUNTIF(E2:E41,"B1G")+COUNTIF(H2:H41,"B1G")</f>
        <v>8</v>
      </c>
      <c r="AA5">
        <f>COUNTIFS(E2:E41,W5,J2:J41,"&gt;0.5")+COUNTIFS(H2:H41,W5,K2:K41,"&gt;0.50")</f>
        <v>8</v>
      </c>
      <c r="AB5">
        <f>Z5-AA5</f>
        <v>0</v>
      </c>
      <c r="AC5">
        <f>X5/Z5</f>
        <v>0.54205347565838746</v>
      </c>
      <c r="AD5">
        <f>AA5/Z5</f>
        <v>1</v>
      </c>
      <c r="AF5">
        <f>MIN(N2:N41)</f>
        <v>1.2652142406368108</v>
      </c>
    </row>
    <row r="6" spans="1:32" ht="15.75" x14ac:dyDescent="0.25">
      <c r="A6" t="s">
        <v>21</v>
      </c>
      <c r="B6" s="1">
        <v>43085</v>
      </c>
      <c r="C6" t="s">
        <v>22</v>
      </c>
      <c r="D6" s="2">
        <v>0.44702977173961</v>
      </c>
      <c r="E6" t="s">
        <v>126</v>
      </c>
      <c r="F6" t="s">
        <v>23</v>
      </c>
      <c r="G6" s="2">
        <v>0.52978101331201</v>
      </c>
      <c r="H6" t="s">
        <v>125</v>
      </c>
      <c r="I6">
        <f t="shared" si="0"/>
        <v>0.45764213354379224</v>
      </c>
      <c r="J6">
        <f t="shared" si="1"/>
        <v>0.45764213354379224</v>
      </c>
      <c r="K6">
        <f t="shared" si="2"/>
        <v>0.54235786645620776</v>
      </c>
      <c r="L6">
        <f t="shared" si="3"/>
        <v>0.54235786645620776</v>
      </c>
      <c r="M6" t="str">
        <f t="shared" si="4"/>
        <v>Arkansas State</v>
      </c>
      <c r="N6">
        <f t="shared" si="5"/>
        <v>1.4344529185954122</v>
      </c>
      <c r="W6" t="s">
        <v>136</v>
      </c>
      <c r="X6">
        <f>SUMIF(E2:E41,W6,J2:J41)+SUMIF(H2:H41,W6,K2:K41)</f>
        <v>4.2245018196522874</v>
      </c>
      <c r="Y6">
        <f>Z6-X6</f>
        <v>4.7754981803477126</v>
      </c>
      <c r="Z6">
        <f>COUNTIF(E2:E41,"Pac-12")+COUNTIF(H2:H41,"Pac-12")</f>
        <v>9</v>
      </c>
      <c r="AA6">
        <f>COUNTIFS(E2:E41,W6,J2:J41,"&gt;0.5")+COUNTIFS(H2:H41,W6,K2:K41,"&gt;0.50")</f>
        <v>1</v>
      </c>
      <c r="AB6">
        <f>Z6-AA6</f>
        <v>8</v>
      </c>
      <c r="AC6">
        <f>X6/Z6</f>
        <v>0.46938909107247639</v>
      </c>
      <c r="AD6">
        <f>AA6/Z6</f>
        <v>0.1111111111111111</v>
      </c>
    </row>
    <row r="7" spans="1:32" ht="15.75" x14ac:dyDescent="0.25">
      <c r="A7" t="s">
        <v>24</v>
      </c>
      <c r="B7" s="1">
        <v>43088</v>
      </c>
      <c r="C7" t="s">
        <v>25</v>
      </c>
      <c r="D7" s="2">
        <v>0.43981336788428099</v>
      </c>
      <c r="E7" t="s">
        <v>128</v>
      </c>
      <c r="F7" t="s">
        <v>26</v>
      </c>
      <c r="G7" s="2">
        <v>0.71794112703411705</v>
      </c>
      <c r="H7" t="s">
        <v>126</v>
      </c>
      <c r="I7">
        <f t="shared" si="0"/>
        <v>0.37988482861841999</v>
      </c>
      <c r="J7">
        <f t="shared" si="1"/>
        <v>0.37988482861841999</v>
      </c>
      <c r="K7">
        <f t="shared" si="2"/>
        <v>0.62011517138158001</v>
      </c>
      <c r="L7">
        <f t="shared" si="3"/>
        <v>0.62011517138158001</v>
      </c>
      <c r="M7" t="str">
        <f t="shared" si="4"/>
        <v>FAU</v>
      </c>
      <c r="N7">
        <f t="shared" si="5"/>
        <v>1.5376393235368182</v>
      </c>
    </row>
    <row r="8" spans="1:32" ht="15.75" x14ac:dyDescent="0.25">
      <c r="A8" t="s">
        <v>27</v>
      </c>
      <c r="B8" s="1">
        <v>43089</v>
      </c>
      <c r="C8" t="s">
        <v>28</v>
      </c>
      <c r="D8" s="2">
        <v>0.513239000749527</v>
      </c>
      <c r="E8" t="s">
        <v>126</v>
      </c>
      <c r="F8" t="s">
        <v>29</v>
      </c>
      <c r="G8" s="2">
        <v>0.56479507950457797</v>
      </c>
      <c r="H8" t="s">
        <v>129</v>
      </c>
      <c r="I8">
        <f t="shared" si="0"/>
        <v>0.47608791795204725</v>
      </c>
      <c r="J8">
        <f t="shared" si="1"/>
        <v>0.47608791795204725</v>
      </c>
      <c r="K8">
        <f t="shared" si="2"/>
        <v>0.52391208204795281</v>
      </c>
      <c r="L8">
        <f t="shared" si="3"/>
        <v>0.52391208204795281</v>
      </c>
      <c r="M8" t="str">
        <f t="shared" si="4"/>
        <v>SMU</v>
      </c>
      <c r="N8">
        <f t="shared" si="5"/>
        <v>1.5541219982061523</v>
      </c>
      <c r="W8" t="s">
        <v>129</v>
      </c>
      <c r="X8">
        <f>SUMIF(E2:E41,W8,J2:J41)+SUMIF(H2:H41,W8,K2:K41)</f>
        <v>3.6551520057044948</v>
      </c>
      <c r="Y8">
        <f t="shared" ref="Y8:Y13" si="6">Z8-X8</f>
        <v>3.3448479942955052</v>
      </c>
      <c r="Z8">
        <f>COUNTIF(E2:E41,"AAC")+COUNTIF(H2:H41,"AAC")</f>
        <v>7</v>
      </c>
      <c r="AA8">
        <f>COUNTIFS(E2:E41,W8,J2:J41,"&gt;0.5")+COUNTIFS(H2:H41,W8,K2:K41,"&gt;0.50")</f>
        <v>5</v>
      </c>
      <c r="AB8">
        <f t="shared" ref="AB8:AB13" si="7">Z8-AA8</f>
        <v>2</v>
      </c>
      <c r="AC8">
        <f t="shared" ref="AC8:AC13" si="8">X8/Z8</f>
        <v>0.52216457224349921</v>
      </c>
      <c r="AD8">
        <f t="shared" ref="AD8:AD13" si="9">AA8/Z8</f>
        <v>0.7142857142857143</v>
      </c>
    </row>
    <row r="9" spans="1:32" ht="15.75" x14ac:dyDescent="0.25">
      <c r="A9" t="s">
        <v>30</v>
      </c>
      <c r="B9" s="1">
        <v>43090</v>
      </c>
      <c r="C9" t="s">
        <v>31</v>
      </c>
      <c r="D9" s="2">
        <v>0.477742264253044</v>
      </c>
      <c r="E9" t="s">
        <v>129</v>
      </c>
      <c r="F9" t="s">
        <v>32</v>
      </c>
      <c r="G9" s="2">
        <v>0.48368161069209398</v>
      </c>
      <c r="H9" t="s">
        <v>126</v>
      </c>
      <c r="I9">
        <f t="shared" si="0"/>
        <v>0.49691117175585592</v>
      </c>
      <c r="J9">
        <f t="shared" si="1"/>
        <v>0.49691117175585592</v>
      </c>
      <c r="K9">
        <f t="shared" si="2"/>
        <v>0.50308882824414414</v>
      </c>
      <c r="L9">
        <f t="shared" si="3"/>
        <v>0.50308882824414414</v>
      </c>
      <c r="M9" t="str">
        <f t="shared" si="4"/>
        <v>FIU</v>
      </c>
      <c r="N9">
        <f t="shared" si="5"/>
        <v>1.4583350467009939</v>
      </c>
      <c r="W9" t="s">
        <v>127</v>
      </c>
      <c r="X9">
        <f>SUMIF(E2:E41,W9,J2:J41)+SUMIF(H2:H41,W9,K2:K41)</f>
        <v>3.1110625759142896</v>
      </c>
      <c r="Y9">
        <f t="shared" si="6"/>
        <v>2.8889374240857104</v>
      </c>
      <c r="Z9">
        <f>COUNTIF(E2:E41,"MW")+COUNTIF(H2:H41,"MW")</f>
        <v>6</v>
      </c>
      <c r="AA9">
        <f>COUNTIFS(E2:E41,W9,J2:J41,"&gt;0.5")+COUNTIFS(H2:H41,W9,K2:K41,"&gt;0.50")</f>
        <v>4</v>
      </c>
      <c r="AB9">
        <f t="shared" si="7"/>
        <v>2</v>
      </c>
      <c r="AC9">
        <f t="shared" si="8"/>
        <v>0.51851042931904823</v>
      </c>
      <c r="AD9">
        <f t="shared" si="9"/>
        <v>0.66666666666666663</v>
      </c>
    </row>
    <row r="10" spans="1:32" ht="15.75" x14ac:dyDescent="0.25">
      <c r="A10" t="s">
        <v>33</v>
      </c>
      <c r="B10" s="1">
        <v>43091</v>
      </c>
      <c r="C10" t="s">
        <v>34</v>
      </c>
      <c r="D10" s="2">
        <v>0.43020655580878903</v>
      </c>
      <c r="E10" t="s">
        <v>126</v>
      </c>
      <c r="F10" t="s">
        <v>35</v>
      </c>
      <c r="G10" s="2">
        <v>0.59969264461352201</v>
      </c>
      <c r="H10" t="s">
        <v>128</v>
      </c>
      <c r="I10">
        <f t="shared" si="0"/>
        <v>0.4177171471075834</v>
      </c>
      <c r="J10">
        <f t="shared" si="1"/>
        <v>0.4177171471075834</v>
      </c>
      <c r="K10">
        <f t="shared" si="2"/>
        <v>0.58228285289241666</v>
      </c>
      <c r="L10">
        <f t="shared" si="3"/>
        <v>0.58228285289241666</v>
      </c>
      <c r="M10" t="str">
        <f t="shared" si="4"/>
        <v>Ohio</v>
      </c>
      <c r="N10">
        <f t="shared" si="5"/>
        <v>1.4476163475298944</v>
      </c>
      <c r="W10" t="s">
        <v>126</v>
      </c>
      <c r="X10">
        <f>SUMIF(E2:E41,W10,J2:J41)+SUMIF(H2:H41,W10,K2:K41)</f>
        <v>4.4232345848397676</v>
      </c>
      <c r="Y10">
        <f t="shared" si="6"/>
        <v>4.5767654151602324</v>
      </c>
      <c r="Z10">
        <f>COUNTIF(E2:E41,"CUSA")+COUNTIF(H2:H41,"CUSA")</f>
        <v>9</v>
      </c>
      <c r="AA10">
        <f>COUNTIFS(E2:E41,W10,J2:J41,"&gt;0.5")+COUNTIFS(H2:H41,W10,K2:K41,"&gt;0.50")</f>
        <v>3</v>
      </c>
      <c r="AB10">
        <f t="shared" si="7"/>
        <v>6</v>
      </c>
      <c r="AC10">
        <f t="shared" si="8"/>
        <v>0.49147050942664083</v>
      </c>
      <c r="AD10">
        <f t="shared" si="9"/>
        <v>0.33333333333333331</v>
      </c>
    </row>
    <row r="11" spans="1:32" ht="15.75" x14ac:dyDescent="0.25">
      <c r="A11" t="s">
        <v>36</v>
      </c>
      <c r="B11" s="1">
        <v>43091</v>
      </c>
      <c r="C11" t="s">
        <v>37</v>
      </c>
      <c r="D11" s="2">
        <v>0.49647211712940997</v>
      </c>
      <c r="E11" t="s">
        <v>128</v>
      </c>
      <c r="F11" t="s">
        <v>38</v>
      </c>
      <c r="G11" s="2">
        <v>0.49106619254927802</v>
      </c>
      <c r="H11" t="s">
        <v>127</v>
      </c>
      <c r="I11">
        <f t="shared" si="0"/>
        <v>0.50273707081899988</v>
      </c>
      <c r="J11">
        <f t="shared" si="1"/>
        <v>0.50273707081899988</v>
      </c>
      <c r="K11">
        <f t="shared" si="2"/>
        <v>0.49726292918100012</v>
      </c>
      <c r="L11">
        <f t="shared" si="3"/>
        <v>0.50273707081899988</v>
      </c>
      <c r="M11" t="str">
        <f t="shared" si="4"/>
        <v>CMU</v>
      </c>
      <c r="N11">
        <f t="shared" si="5"/>
        <v>1.4848012388596881</v>
      </c>
      <c r="W11" t="s">
        <v>128</v>
      </c>
      <c r="X11">
        <f>SUMIF(E2:E41,W11,J2:J41)+SUMIF(H2:H41,W11,K2:K41)</f>
        <v>2.5219544046048861</v>
      </c>
      <c r="Y11">
        <f t="shared" si="6"/>
        <v>2.4780455953951139</v>
      </c>
      <c r="Z11">
        <f>COUNTIF(E2:E41,"MAC")+COUNTIF(H2:H41,"MAC")</f>
        <v>5</v>
      </c>
      <c r="AA11">
        <f>COUNTIFS(E2:E41,W11,J2:J41,"&gt;0.5")+COUNTIFS(H2:H41,W11,K2:K41,"&gt;0.50")</f>
        <v>4</v>
      </c>
      <c r="AB11">
        <f t="shared" si="7"/>
        <v>1</v>
      </c>
      <c r="AC11">
        <f t="shared" si="8"/>
        <v>0.50439088092097717</v>
      </c>
      <c r="AD11">
        <f t="shared" si="9"/>
        <v>0.8</v>
      </c>
    </row>
    <row r="12" spans="1:32" ht="15.75" x14ac:dyDescent="0.25">
      <c r="A12" t="s">
        <v>39</v>
      </c>
      <c r="B12" s="1">
        <v>43092</v>
      </c>
      <c r="C12" t="s">
        <v>40</v>
      </c>
      <c r="D12" s="2">
        <v>0.45705124332774999</v>
      </c>
      <c r="E12" t="s">
        <v>130</v>
      </c>
      <c r="F12" t="s">
        <v>41</v>
      </c>
      <c r="G12" s="2">
        <v>0.67020720066709305</v>
      </c>
      <c r="H12" t="s">
        <v>129</v>
      </c>
      <c r="I12">
        <f t="shared" si="0"/>
        <v>0.40545382096054711</v>
      </c>
      <c r="J12">
        <f t="shared" si="1"/>
        <v>0.40545382096054711</v>
      </c>
      <c r="K12">
        <f t="shared" si="2"/>
        <v>0.59454617903945284</v>
      </c>
      <c r="L12">
        <f t="shared" si="3"/>
        <v>0.59454617903945284</v>
      </c>
      <c r="M12" t="str">
        <f t="shared" si="4"/>
        <v>USF</v>
      </c>
      <c r="N12">
        <f t="shared" si="5"/>
        <v>1.5327122649553901</v>
      </c>
      <c r="W12" t="s">
        <v>125</v>
      </c>
      <c r="X12">
        <f>SUMIF(E2:E41,W12,J2:J41)+SUMIF(H2:H41,W12,K2:K41)</f>
        <v>2.4886400925100487</v>
      </c>
      <c r="Y12">
        <f t="shared" si="6"/>
        <v>2.5113599074899513</v>
      </c>
      <c r="Z12">
        <f>COUNTIF(E2:E41,"Sun Belt")+COUNTIF(H2:H41,"Sun Belt")</f>
        <v>5</v>
      </c>
      <c r="AA12">
        <f>COUNTIFS(E2:E41,W12,J2:J41,"&gt;0.5")+COUNTIFS(H2:H41,W12,K2:K41,"&gt;0.50")</f>
        <v>3</v>
      </c>
      <c r="AB12">
        <f t="shared" si="7"/>
        <v>2</v>
      </c>
      <c r="AC12">
        <f t="shared" si="8"/>
        <v>0.49772801850200976</v>
      </c>
      <c r="AD12">
        <f t="shared" si="9"/>
        <v>0.6</v>
      </c>
    </row>
    <row r="13" spans="1:32" ht="15.75" x14ac:dyDescent="0.25">
      <c r="A13" t="s">
        <v>42</v>
      </c>
      <c r="B13" s="1">
        <v>43092</v>
      </c>
      <c r="C13" t="s">
        <v>43</v>
      </c>
      <c r="D13" s="2">
        <v>0.65137044362065999</v>
      </c>
      <c r="E13" t="s">
        <v>127</v>
      </c>
      <c r="F13" t="s">
        <v>44</v>
      </c>
      <c r="G13" s="2">
        <v>0.56231483159620099</v>
      </c>
      <c r="H13" t="s">
        <v>131</v>
      </c>
      <c r="I13">
        <f t="shared" si="0"/>
        <v>0.53668809939568007</v>
      </c>
      <c r="J13">
        <f t="shared" si="1"/>
        <v>0.53668809939568007</v>
      </c>
      <c r="K13">
        <f t="shared" si="2"/>
        <v>0.46331190060431993</v>
      </c>
      <c r="L13">
        <f t="shared" si="3"/>
        <v>0.53668809939568007</v>
      </c>
      <c r="M13" t="str">
        <f t="shared" si="4"/>
        <v>SDSU</v>
      </c>
      <c r="N13">
        <f t="shared" si="5"/>
        <v>1.6769971758211808</v>
      </c>
      <c r="W13" t="s">
        <v>131</v>
      </c>
      <c r="X13">
        <f>SUMIF(E2:E41,W13,J2:J41)+SUMIF(H2:H41,W13,K2:K41)</f>
        <v>1.0111855575736963</v>
      </c>
      <c r="Y13">
        <f t="shared" si="6"/>
        <v>0.98881444242630367</v>
      </c>
      <c r="Z13">
        <f>COUNTIF(E2:E41,"Ind")+COUNTIF(H2:H41,"Ind")</f>
        <v>2</v>
      </c>
      <c r="AA13">
        <f>COUNTIFS(E2:E41,W13,J2:J41,"&gt;0.5")+COUNTIFS(H2:H41,W13,K2:K41,"&gt;0.50")</f>
        <v>1</v>
      </c>
      <c r="AB13">
        <f t="shared" si="7"/>
        <v>1</v>
      </c>
      <c r="AC13">
        <f t="shared" si="8"/>
        <v>0.50559277878684816</v>
      </c>
      <c r="AD13">
        <f t="shared" si="9"/>
        <v>0.5</v>
      </c>
    </row>
    <row r="14" spans="1:32" ht="15.75" x14ac:dyDescent="0.25">
      <c r="A14" t="s">
        <v>45</v>
      </c>
      <c r="B14" s="1">
        <v>43092</v>
      </c>
      <c r="C14" t="s">
        <v>46</v>
      </c>
      <c r="D14" s="2">
        <v>0.56577809895653997</v>
      </c>
      <c r="E14" t="s">
        <v>125</v>
      </c>
      <c r="F14" t="s">
        <v>47</v>
      </c>
      <c r="G14" s="2">
        <v>0.68885124990489799</v>
      </c>
      <c r="H14" t="s">
        <v>128</v>
      </c>
      <c r="I14">
        <f t="shared" si="0"/>
        <v>0.45095238643187907</v>
      </c>
      <c r="J14">
        <f t="shared" si="1"/>
        <v>0.45095238643187907</v>
      </c>
      <c r="K14">
        <f t="shared" si="2"/>
        <v>0.54904761356812093</v>
      </c>
      <c r="L14">
        <f t="shared" si="3"/>
        <v>0.54904761356812093</v>
      </c>
      <c r="M14" t="str">
        <f t="shared" si="4"/>
        <v>Toledo</v>
      </c>
      <c r="N14">
        <f t="shared" si="5"/>
        <v>1.7055817352933171</v>
      </c>
      <c r="X14">
        <f>SUM(X2:X13)</f>
        <v>40</v>
      </c>
      <c r="Y14">
        <f>SUM(Y2:Y13)</f>
        <v>40</v>
      </c>
      <c r="Z14">
        <f>SUM(Z2:Z13)</f>
        <v>80</v>
      </c>
      <c r="AA14">
        <f>SUM(AA2:AA13)</f>
        <v>40</v>
      </c>
      <c r="AB14">
        <f>SUM(AB2:AB13)</f>
        <v>40</v>
      </c>
    </row>
    <row r="15" spans="1:32" ht="15.75" x14ac:dyDescent="0.25">
      <c r="A15" t="s">
        <v>48</v>
      </c>
      <c r="B15" s="1">
        <v>43093</v>
      </c>
      <c r="C15" t="s">
        <v>49</v>
      </c>
      <c r="D15" s="2">
        <v>0.63088045465843801</v>
      </c>
      <c r="E15" t="s">
        <v>127</v>
      </c>
      <c r="F15" t="s">
        <v>50</v>
      </c>
      <c r="G15" s="2">
        <v>0.55096209345552105</v>
      </c>
      <c r="H15" t="s">
        <v>129</v>
      </c>
      <c r="I15">
        <f t="shared" si="0"/>
        <v>0.53381091725393304</v>
      </c>
      <c r="J15">
        <f t="shared" si="1"/>
        <v>0.53381091725393304</v>
      </c>
      <c r="K15">
        <f t="shared" si="2"/>
        <v>0.46618908274606696</v>
      </c>
      <c r="L15">
        <f t="shared" si="3"/>
        <v>0.53381091725393304</v>
      </c>
      <c r="M15" t="str">
        <f t="shared" si="4"/>
        <v>Fresno State</v>
      </c>
      <c r="N15">
        <f t="shared" si="5"/>
        <v>1.648031630860026</v>
      </c>
    </row>
    <row r="16" spans="1:32" ht="15.75" x14ac:dyDescent="0.25">
      <c r="A16" t="s">
        <v>51</v>
      </c>
      <c r="B16" s="1">
        <v>43095</v>
      </c>
      <c r="C16" t="s">
        <v>52</v>
      </c>
      <c r="D16" s="2">
        <v>0.54170351161951802</v>
      </c>
      <c r="E16" t="s">
        <v>136</v>
      </c>
      <c r="F16" t="s">
        <v>53</v>
      </c>
      <c r="G16" s="2">
        <v>0.53941600539769297</v>
      </c>
      <c r="H16" t="s">
        <v>130</v>
      </c>
      <c r="I16">
        <f t="shared" si="0"/>
        <v>0.50105793401461118</v>
      </c>
      <c r="J16">
        <f t="shared" si="1"/>
        <v>0.50105793401461118</v>
      </c>
      <c r="K16">
        <f t="shared" si="2"/>
        <v>0.49894206598538882</v>
      </c>
      <c r="L16">
        <f t="shared" si="3"/>
        <v>0.50105793401461118</v>
      </c>
      <c r="M16" t="str">
        <f t="shared" si="4"/>
        <v>Utah</v>
      </c>
      <c r="N16">
        <f t="shared" si="5"/>
        <v>1.5800615830025997</v>
      </c>
    </row>
    <row r="17" spans="1:14" ht="15.75" x14ac:dyDescent="0.25">
      <c r="A17" t="s">
        <v>54</v>
      </c>
      <c r="B17" s="1">
        <v>43095</v>
      </c>
      <c r="C17" t="s">
        <v>55</v>
      </c>
      <c r="D17" s="2">
        <v>0.547600178274814</v>
      </c>
      <c r="E17" t="s">
        <v>135</v>
      </c>
      <c r="F17" t="s">
        <v>56</v>
      </c>
      <c r="G17" s="2">
        <v>0.56541292616084005</v>
      </c>
      <c r="H17" t="s">
        <v>128</v>
      </c>
      <c r="I17">
        <f t="shared" si="0"/>
        <v>0.49199796129307133</v>
      </c>
      <c r="J17">
        <f t="shared" si="1"/>
        <v>0.49199796129307133</v>
      </c>
      <c r="K17">
        <f t="shared" si="2"/>
        <v>0.50800203870692862</v>
      </c>
      <c r="L17">
        <f t="shared" si="3"/>
        <v>0.50800203870692862</v>
      </c>
      <c r="M17" t="str">
        <f t="shared" si="4"/>
        <v>NIU</v>
      </c>
      <c r="N17">
        <f t="shared" si="5"/>
        <v>1.6050110657287255</v>
      </c>
    </row>
    <row r="18" spans="1:14" ht="15.75" x14ac:dyDescent="0.25">
      <c r="A18" t="s">
        <v>57</v>
      </c>
      <c r="B18" s="1">
        <v>43095</v>
      </c>
      <c r="C18" t="s">
        <v>58</v>
      </c>
      <c r="D18" s="2">
        <v>0.49392749713696399</v>
      </c>
      <c r="E18" t="s">
        <v>130</v>
      </c>
      <c r="F18" t="s">
        <v>59</v>
      </c>
      <c r="G18" s="2">
        <v>0.46927814379863803</v>
      </c>
      <c r="H18" t="s">
        <v>136</v>
      </c>
      <c r="I18">
        <f t="shared" si="0"/>
        <v>0.51279547808419346</v>
      </c>
      <c r="J18">
        <f t="shared" si="1"/>
        <v>0.51279547808419346</v>
      </c>
      <c r="K18">
        <f t="shared" si="2"/>
        <v>0.48720452191580654</v>
      </c>
      <c r="L18">
        <f t="shared" si="3"/>
        <v>0.51279547808419346</v>
      </c>
      <c r="M18" t="str">
        <f t="shared" si="4"/>
        <v>Kansas State</v>
      </c>
      <c r="N18">
        <f t="shared" si="5"/>
        <v>1.4504101628514086</v>
      </c>
    </row>
    <row r="19" spans="1:14" ht="15.75" x14ac:dyDescent="0.25">
      <c r="A19" t="s">
        <v>60</v>
      </c>
      <c r="B19" s="1">
        <v>43096</v>
      </c>
      <c r="C19" t="s">
        <v>61</v>
      </c>
      <c r="D19" s="2">
        <v>0.47582811520266299</v>
      </c>
      <c r="E19" t="s">
        <v>126</v>
      </c>
      <c r="F19" t="s">
        <v>62</v>
      </c>
      <c r="G19" s="2">
        <v>0.593748808877128</v>
      </c>
      <c r="H19" t="s">
        <v>135</v>
      </c>
      <c r="I19">
        <f t="shared" si="0"/>
        <v>0.44487507582686586</v>
      </c>
      <c r="J19">
        <f t="shared" si="1"/>
        <v>0.44487507582686586</v>
      </c>
      <c r="K19">
        <f t="shared" si="2"/>
        <v>0.55512492417313419</v>
      </c>
      <c r="L19">
        <f t="shared" si="3"/>
        <v>0.55512492417313419</v>
      </c>
      <c r="M19" t="str">
        <f t="shared" si="4"/>
        <v>FSU</v>
      </c>
      <c r="N19">
        <f t="shared" si="5"/>
        <v>1.5144519999066568</v>
      </c>
    </row>
    <row r="20" spans="1:14" ht="15.75" x14ac:dyDescent="0.25">
      <c r="A20" t="s">
        <v>63</v>
      </c>
      <c r="B20" s="1">
        <v>43096</v>
      </c>
      <c r="C20" t="s">
        <v>64</v>
      </c>
      <c r="D20" s="2">
        <v>0.71513922419697296</v>
      </c>
      <c r="E20" t="s">
        <v>134</v>
      </c>
      <c r="F20" t="s">
        <v>65</v>
      </c>
      <c r="G20" s="2">
        <v>0.66996311785819096</v>
      </c>
      <c r="H20" t="s">
        <v>135</v>
      </c>
      <c r="I20">
        <f t="shared" si="0"/>
        <v>0.51630785862066741</v>
      </c>
      <c r="J20">
        <f t="shared" si="1"/>
        <v>0.51630785862066741</v>
      </c>
      <c r="K20">
        <f t="shared" si="2"/>
        <v>0.48369214137933259</v>
      </c>
      <c r="L20">
        <f t="shared" si="3"/>
        <v>0.51630785862066741</v>
      </c>
      <c r="M20" t="str">
        <f t="shared" si="4"/>
        <v>Iowa</v>
      </c>
      <c r="N20">
        <f t="shared" si="5"/>
        <v>1.8687944834344963</v>
      </c>
    </row>
    <row r="21" spans="1:14" ht="15.75" x14ac:dyDescent="0.25">
      <c r="A21" t="s">
        <v>66</v>
      </c>
      <c r="B21" s="1">
        <v>43096</v>
      </c>
      <c r="C21" t="s">
        <v>67</v>
      </c>
      <c r="D21" s="2">
        <v>0.52387482684087705</v>
      </c>
      <c r="E21" s="2" t="s">
        <v>136</v>
      </c>
      <c r="F21" t="s">
        <v>68</v>
      </c>
      <c r="G21" s="2">
        <v>0.65618048350331704</v>
      </c>
      <c r="H21" t="s">
        <v>134</v>
      </c>
      <c r="I21">
        <f t="shared" si="0"/>
        <v>0.44394090874272257</v>
      </c>
      <c r="J21">
        <f t="shared" si="1"/>
        <v>0.44394090874272257</v>
      </c>
      <c r="K21">
        <f t="shared" si="2"/>
        <v>0.55605909125727737</v>
      </c>
      <c r="L21">
        <f t="shared" si="3"/>
        <v>0.55605909125727737</v>
      </c>
      <c r="M21" t="str">
        <f t="shared" si="4"/>
        <v>Purdue</v>
      </c>
      <c r="N21">
        <f t="shared" si="5"/>
        <v>1.6239962190869166</v>
      </c>
    </row>
    <row r="22" spans="1:14" ht="15.75" x14ac:dyDescent="0.25">
      <c r="A22" t="s">
        <v>69</v>
      </c>
      <c r="B22" s="1">
        <v>43096</v>
      </c>
      <c r="C22" t="s">
        <v>137</v>
      </c>
      <c r="D22" s="2">
        <v>0.52712057717554195</v>
      </c>
      <c r="E22" t="s">
        <v>130</v>
      </c>
      <c r="F22" t="s">
        <v>70</v>
      </c>
      <c r="G22" s="2">
        <v>0.62081549996059704</v>
      </c>
      <c r="H22" t="s">
        <v>133</v>
      </c>
      <c r="I22">
        <f t="shared" si="0"/>
        <v>0.4591898344118584</v>
      </c>
      <c r="J22">
        <f t="shared" si="1"/>
        <v>0.4591898344118584</v>
      </c>
      <c r="K22">
        <f t="shared" si="2"/>
        <v>0.54081016558814166</v>
      </c>
      <c r="L22">
        <f t="shared" si="3"/>
        <v>0.54081016558814166</v>
      </c>
      <c r="M22" t="str">
        <f t="shared" si="4"/>
        <v>Missouri</v>
      </c>
      <c r="N22">
        <f t="shared" si="5"/>
        <v>1.6071259115479974</v>
      </c>
    </row>
    <row r="23" spans="1:14" ht="15.75" x14ac:dyDescent="0.25">
      <c r="A23" t="s">
        <v>71</v>
      </c>
      <c r="B23" s="1">
        <v>43097</v>
      </c>
      <c r="C23" t="s">
        <v>72</v>
      </c>
      <c r="D23" s="2">
        <v>0.49087684347841698</v>
      </c>
      <c r="E23" t="s">
        <v>135</v>
      </c>
      <c r="F23" t="s">
        <v>73</v>
      </c>
      <c r="G23" s="2">
        <v>0.557324620231887</v>
      </c>
      <c r="H23" t="s">
        <v>129</v>
      </c>
      <c r="I23">
        <f t="shared" si="0"/>
        <v>0.46830390957561446</v>
      </c>
      <c r="J23">
        <f t="shared" si="1"/>
        <v>0.46830390957561446</v>
      </c>
      <c r="K23">
        <f t="shared" si="2"/>
        <v>0.53169609042438548</v>
      </c>
      <c r="L23">
        <f t="shared" si="3"/>
        <v>0.53169609042438548</v>
      </c>
      <c r="M23" t="str">
        <f t="shared" si="4"/>
        <v>Navy</v>
      </c>
      <c r="N23">
        <f t="shared" si="5"/>
        <v>1.5165053732859186</v>
      </c>
    </row>
    <row r="24" spans="1:14" ht="15.75" x14ac:dyDescent="0.25">
      <c r="A24" t="s">
        <v>74</v>
      </c>
      <c r="B24" s="1">
        <v>43097</v>
      </c>
      <c r="C24" t="s">
        <v>75</v>
      </c>
      <c r="D24" s="2">
        <v>0.72494359474789005</v>
      </c>
      <c r="E24" t="s">
        <v>135</v>
      </c>
      <c r="F24" t="s">
        <v>76</v>
      </c>
      <c r="G24" s="2">
        <v>0.71336519540085097</v>
      </c>
      <c r="H24" t="s">
        <v>130</v>
      </c>
      <c r="I24">
        <f t="shared" si="0"/>
        <v>0.50402500472302669</v>
      </c>
      <c r="J24">
        <f t="shared" si="1"/>
        <v>0.50402500472302669</v>
      </c>
      <c r="K24">
        <f t="shared" si="2"/>
        <v>0.49597499527697331</v>
      </c>
      <c r="L24">
        <f t="shared" si="3"/>
        <v>0.50402500472302669</v>
      </c>
      <c r="M24" t="str">
        <f t="shared" si="4"/>
        <v>Virginia Tech</v>
      </c>
      <c r="N24">
        <f t="shared" si="5"/>
        <v>1.9342837854257144</v>
      </c>
    </row>
    <row r="25" spans="1:14" ht="15.75" x14ac:dyDescent="0.25">
      <c r="A25" t="s">
        <v>77</v>
      </c>
      <c r="B25" s="1">
        <v>43097</v>
      </c>
      <c r="C25" t="s">
        <v>78</v>
      </c>
      <c r="D25" s="2">
        <v>0.68876758194721999</v>
      </c>
      <c r="E25" t="s">
        <v>136</v>
      </c>
      <c r="F25" t="s">
        <v>79</v>
      </c>
      <c r="G25" s="2">
        <v>0.73120823798900603</v>
      </c>
      <c r="H25" t="s">
        <v>130</v>
      </c>
      <c r="I25">
        <f t="shared" si="0"/>
        <v>0.48505585255540051</v>
      </c>
      <c r="J25">
        <f t="shared" si="1"/>
        <v>0.48505585255540051</v>
      </c>
      <c r="K25">
        <f t="shared" si="2"/>
        <v>0.51494414744459949</v>
      </c>
      <c r="L25">
        <f t="shared" si="3"/>
        <v>0.51494414744459949</v>
      </c>
      <c r="M25" t="str">
        <f t="shared" si="4"/>
        <v>TCU</v>
      </c>
      <c r="N25">
        <f t="shared" si="5"/>
        <v>1.9050316724916265</v>
      </c>
    </row>
    <row r="26" spans="1:14" ht="15.75" x14ac:dyDescent="0.25">
      <c r="A26" t="s">
        <v>80</v>
      </c>
      <c r="B26" s="1">
        <v>43097</v>
      </c>
      <c r="C26" t="s">
        <v>81</v>
      </c>
      <c r="D26" s="2">
        <v>0.65881448100676099</v>
      </c>
      <c r="E26" t="s">
        <v>136</v>
      </c>
      <c r="F26" t="s">
        <v>82</v>
      </c>
      <c r="G26" s="2">
        <v>0.701774950310598</v>
      </c>
      <c r="H26" t="s">
        <v>134</v>
      </c>
      <c r="I26">
        <f t="shared" si="0"/>
        <v>0.48421255217959414</v>
      </c>
      <c r="J26">
        <f t="shared" si="1"/>
        <v>0.48421255217959414</v>
      </c>
      <c r="K26">
        <f t="shared" si="2"/>
        <v>0.51578744782040586</v>
      </c>
      <c r="L26">
        <f t="shared" si="3"/>
        <v>0.51578744782040586</v>
      </c>
      <c r="M26" t="str">
        <f t="shared" si="4"/>
        <v>MSU</v>
      </c>
      <c r="N26">
        <f t="shared" si="5"/>
        <v>1.8448019834969531</v>
      </c>
    </row>
    <row r="27" spans="1:14" ht="15.75" x14ac:dyDescent="0.25">
      <c r="A27" t="s">
        <v>83</v>
      </c>
      <c r="B27" s="1">
        <v>43098</v>
      </c>
      <c r="C27" t="s">
        <v>84</v>
      </c>
      <c r="D27" s="2">
        <v>0.62994978504530696</v>
      </c>
      <c r="E27" t="s">
        <v>135</v>
      </c>
      <c r="F27" t="s">
        <v>85</v>
      </c>
      <c r="G27" s="2">
        <v>0.60637015541903905</v>
      </c>
      <c r="H27" t="s">
        <v>133</v>
      </c>
      <c r="I27">
        <f t="shared" si="0"/>
        <v>0.50953621665982829</v>
      </c>
      <c r="J27">
        <f t="shared" si="1"/>
        <v>0.50953621665982829</v>
      </c>
      <c r="K27">
        <f t="shared" si="2"/>
        <v>0.49046378334017171</v>
      </c>
      <c r="L27">
        <f t="shared" si="3"/>
        <v>0.50953621665982829</v>
      </c>
      <c r="M27" t="str">
        <f t="shared" si="4"/>
        <v>Wake Forest</v>
      </c>
      <c r="N27">
        <f t="shared" si="5"/>
        <v>1.7267837238045178</v>
      </c>
    </row>
    <row r="28" spans="1:14" ht="15.75" x14ac:dyDescent="0.25">
      <c r="A28" t="s">
        <v>86</v>
      </c>
      <c r="B28" s="1">
        <v>43098</v>
      </c>
      <c r="C28" t="s">
        <v>87</v>
      </c>
      <c r="D28" s="2">
        <v>0.66092137659285199</v>
      </c>
      <c r="E28" t="s">
        <v>135</v>
      </c>
      <c r="F28" t="s">
        <v>88</v>
      </c>
      <c r="G28" s="2">
        <v>0.55610903857426497</v>
      </c>
      <c r="H28" t="s">
        <v>136</v>
      </c>
      <c r="I28">
        <f t="shared" si="0"/>
        <v>0.54306068965589271</v>
      </c>
      <c r="J28">
        <f t="shared" si="1"/>
        <v>0.54306068965589271</v>
      </c>
      <c r="K28">
        <f t="shared" si="2"/>
        <v>0.45693931034410729</v>
      </c>
      <c r="L28">
        <f t="shared" si="3"/>
        <v>0.54306068965589271</v>
      </c>
      <c r="M28" t="str">
        <f t="shared" si="4"/>
        <v>NC State</v>
      </c>
      <c r="N28">
        <f t="shared" si="5"/>
        <v>1.673969725511224</v>
      </c>
    </row>
    <row r="29" spans="1:14" ht="15.75" x14ac:dyDescent="0.25">
      <c r="A29" t="s">
        <v>89</v>
      </c>
      <c r="B29" s="1">
        <v>43098</v>
      </c>
      <c r="C29" t="s">
        <v>90</v>
      </c>
      <c r="D29" s="2">
        <v>0.57750955163338202</v>
      </c>
      <c r="E29" t="s">
        <v>133</v>
      </c>
      <c r="F29" t="s">
        <v>91</v>
      </c>
      <c r="G29" s="2">
        <v>0.72285885027559404</v>
      </c>
      <c r="H29" t="s">
        <v>134</v>
      </c>
      <c r="I29">
        <f t="shared" si="0"/>
        <v>0.44411226140652321</v>
      </c>
      <c r="J29">
        <f t="shared" si="1"/>
        <v>0.44411226140652321</v>
      </c>
      <c r="K29">
        <f t="shared" si="2"/>
        <v>0.55588773859347684</v>
      </c>
      <c r="L29">
        <f t="shared" si="3"/>
        <v>0.55588773859347684</v>
      </c>
      <c r="M29" t="str">
        <f t="shared" si="4"/>
        <v>Northwestern</v>
      </c>
      <c r="N29">
        <f t="shared" si="5"/>
        <v>1.7444806633154992</v>
      </c>
    </row>
    <row r="30" spans="1:14" ht="15.75" x14ac:dyDescent="0.25">
      <c r="A30" t="s">
        <v>92</v>
      </c>
      <c r="B30" s="1">
        <v>43098</v>
      </c>
      <c r="C30" t="s">
        <v>93</v>
      </c>
      <c r="D30" s="2">
        <v>0.45931127927878601</v>
      </c>
      <c r="E30" t="s">
        <v>127</v>
      </c>
      <c r="F30" t="s">
        <v>94</v>
      </c>
      <c r="G30" s="2">
        <v>0.37806894520314499</v>
      </c>
      <c r="H30" t="s">
        <v>125</v>
      </c>
      <c r="I30">
        <f t="shared" si="0"/>
        <v>0.54850982367412837</v>
      </c>
      <c r="J30">
        <f t="shared" si="1"/>
        <v>0.54850982367412837</v>
      </c>
      <c r="K30">
        <f t="shared" si="2"/>
        <v>0.45149017632587163</v>
      </c>
      <c r="L30">
        <f t="shared" si="3"/>
        <v>0.54850982367412837</v>
      </c>
      <c r="M30" t="str">
        <f t="shared" si="4"/>
        <v>Utah State</v>
      </c>
      <c r="N30">
        <f t="shared" si="5"/>
        <v>1.2888704008078027</v>
      </c>
    </row>
    <row r="31" spans="1:14" ht="15.75" x14ac:dyDescent="0.25">
      <c r="A31" t="s">
        <v>95</v>
      </c>
      <c r="B31" s="1">
        <v>43098</v>
      </c>
      <c r="C31" t="s">
        <v>96</v>
      </c>
      <c r="D31" s="2">
        <v>0.72559356510994599</v>
      </c>
      <c r="E31" t="s">
        <v>136</v>
      </c>
      <c r="F31" t="s">
        <v>97</v>
      </c>
      <c r="G31" s="2">
        <v>0.89031291009833202</v>
      </c>
      <c r="H31" t="s">
        <v>134</v>
      </c>
      <c r="I31">
        <f t="shared" si="0"/>
        <v>0.44903190638952206</v>
      </c>
      <c r="J31">
        <f t="shared" si="1"/>
        <v>0.44903190638952206</v>
      </c>
      <c r="K31">
        <f t="shared" si="2"/>
        <v>0.55096809361047794</v>
      </c>
      <c r="L31">
        <f t="shared" si="3"/>
        <v>0.55096809361047794</v>
      </c>
      <c r="M31" t="str">
        <f t="shared" si="4"/>
        <v>Ohio State</v>
      </c>
      <c r="N31">
        <f t="shared" si="5"/>
        <v>2.0649383815978002</v>
      </c>
    </row>
    <row r="32" spans="1:14" ht="15.75" x14ac:dyDescent="0.25">
      <c r="A32" t="s">
        <v>98</v>
      </c>
      <c r="B32" s="1">
        <v>43099</v>
      </c>
      <c r="C32" t="s">
        <v>99</v>
      </c>
      <c r="D32" s="2">
        <v>0.66886782296894998</v>
      </c>
      <c r="E32" t="s">
        <v>135</v>
      </c>
      <c r="F32" t="s">
        <v>100</v>
      </c>
      <c r="G32" s="2">
        <v>0.76595548807077596</v>
      </c>
      <c r="H32" t="s">
        <v>133</v>
      </c>
      <c r="I32">
        <f t="shared" si="0"/>
        <v>0.46616737951118431</v>
      </c>
      <c r="J32">
        <f t="shared" si="1"/>
        <v>0.46616737951118431</v>
      </c>
      <c r="K32">
        <f t="shared" si="2"/>
        <v>0.53383262048881575</v>
      </c>
      <c r="L32">
        <f t="shared" si="3"/>
        <v>0.53383262048881575</v>
      </c>
      <c r="M32" t="str">
        <f t="shared" si="4"/>
        <v>Mississippi State</v>
      </c>
      <c r="N32">
        <f t="shared" si="5"/>
        <v>1.9009906905509102</v>
      </c>
    </row>
    <row r="33" spans="1:14" ht="15.75" x14ac:dyDescent="0.25">
      <c r="A33" t="s">
        <v>101</v>
      </c>
      <c r="B33" s="1">
        <v>43099</v>
      </c>
      <c r="C33" t="s">
        <v>102</v>
      </c>
      <c r="D33" s="2">
        <v>0.62781989669480998</v>
      </c>
      <c r="E33" t="s">
        <v>130</v>
      </c>
      <c r="F33" t="s">
        <v>103</v>
      </c>
      <c r="G33" s="2">
        <v>0.738486162708758</v>
      </c>
      <c r="H33" t="s">
        <v>129</v>
      </c>
      <c r="I33">
        <f t="shared" si="0"/>
        <v>0.45950165585071873</v>
      </c>
      <c r="J33">
        <f t="shared" si="1"/>
        <v>0.45950165585071873</v>
      </c>
      <c r="K33">
        <f t="shared" si="2"/>
        <v>0.54049834414928122</v>
      </c>
      <c r="L33">
        <f t="shared" si="3"/>
        <v>0.54049834414928122</v>
      </c>
      <c r="M33" t="str">
        <f t="shared" si="4"/>
        <v>Memphis</v>
      </c>
      <c r="N33">
        <f t="shared" si="5"/>
        <v>1.8258077152542866</v>
      </c>
    </row>
    <row r="34" spans="1:14" ht="15.75" x14ac:dyDescent="0.25">
      <c r="A34" t="s">
        <v>104</v>
      </c>
      <c r="B34" s="1">
        <v>43099</v>
      </c>
      <c r="C34" t="s">
        <v>105</v>
      </c>
      <c r="D34" s="2">
        <v>0.83266023296013603</v>
      </c>
      <c r="E34" t="s">
        <v>136</v>
      </c>
      <c r="F34" t="s">
        <v>106</v>
      </c>
      <c r="G34" s="2">
        <v>0.97984424591660602</v>
      </c>
      <c r="H34" t="s">
        <v>134</v>
      </c>
      <c r="I34">
        <f t="shared" si="0"/>
        <v>0.4593976139999158</v>
      </c>
      <c r="J34">
        <f t="shared" si="1"/>
        <v>0.4593976139999158</v>
      </c>
      <c r="K34">
        <f t="shared" si="2"/>
        <v>0.54060238600008415</v>
      </c>
      <c r="L34">
        <f t="shared" si="3"/>
        <v>0.54060238600008415</v>
      </c>
      <c r="M34" t="str">
        <f t="shared" si="4"/>
        <v>Penn State</v>
      </c>
      <c r="N34">
        <f t="shared" si="5"/>
        <v>2.2719020928766578</v>
      </c>
    </row>
    <row r="35" spans="1:14" ht="15.75" x14ac:dyDescent="0.25">
      <c r="A35" t="s">
        <v>107</v>
      </c>
      <c r="B35" s="1">
        <v>43099</v>
      </c>
      <c r="C35" t="s">
        <v>108</v>
      </c>
      <c r="D35" s="2">
        <v>0.76989478757841801</v>
      </c>
      <c r="E35" t="s">
        <v>135</v>
      </c>
      <c r="F35" t="s">
        <v>109</v>
      </c>
      <c r="G35" s="2">
        <v>0.92413162575594998</v>
      </c>
      <c r="H35" t="s">
        <v>134</v>
      </c>
      <c r="I35">
        <f t="shared" si="0"/>
        <v>0.45447625935361119</v>
      </c>
      <c r="J35">
        <f t="shared" si="1"/>
        <v>0.45447625935361119</v>
      </c>
      <c r="K35">
        <f t="shared" si="2"/>
        <v>0.54552374064638887</v>
      </c>
      <c r="L35">
        <f t="shared" si="3"/>
        <v>0.54552374064638887</v>
      </c>
      <c r="M35" t="str">
        <f t="shared" si="4"/>
        <v>Wisconsin</v>
      </c>
      <c r="N35">
        <f t="shared" si="5"/>
        <v>2.1485026726879788</v>
      </c>
    </row>
    <row r="36" spans="1:14" ht="15.75" x14ac:dyDescent="0.25">
      <c r="A36" t="s">
        <v>110</v>
      </c>
      <c r="B36" s="1">
        <v>42736</v>
      </c>
      <c r="C36" t="s">
        <v>111</v>
      </c>
      <c r="D36" s="2">
        <v>0.74500762199301296</v>
      </c>
      <c r="E36" t="s">
        <v>134</v>
      </c>
      <c r="F36" t="s">
        <v>132</v>
      </c>
      <c r="G36" s="2">
        <v>0.59664390841066905</v>
      </c>
      <c r="H36" t="s">
        <v>133</v>
      </c>
      <c r="I36">
        <f t="shared" si="0"/>
        <v>0.55529144871832092</v>
      </c>
      <c r="J36">
        <f t="shared" si="1"/>
        <v>0.55529144871832092</v>
      </c>
      <c r="K36">
        <f t="shared" si="2"/>
        <v>0.44470855128167908</v>
      </c>
      <c r="L36">
        <f t="shared" si="3"/>
        <v>0.55529144871832092</v>
      </c>
      <c r="M36" t="str">
        <f t="shared" si="4"/>
        <v>Michigan</v>
      </c>
      <c r="N36">
        <f t="shared" si="5"/>
        <v>1.7863600816853613</v>
      </c>
    </row>
    <row r="37" spans="1:14" ht="15.75" x14ac:dyDescent="0.25">
      <c r="A37" t="s">
        <v>112</v>
      </c>
      <c r="B37" s="1">
        <v>42736</v>
      </c>
      <c r="C37" t="s">
        <v>113</v>
      </c>
      <c r="D37" s="2">
        <v>0.90415632052358796</v>
      </c>
      <c r="E37" t="s">
        <v>129</v>
      </c>
      <c r="F37" t="s">
        <v>114</v>
      </c>
      <c r="G37" s="2">
        <v>0.89911057942523698</v>
      </c>
      <c r="H37" t="s">
        <v>133</v>
      </c>
      <c r="I37">
        <f t="shared" si="0"/>
        <v>0.50139905554149922</v>
      </c>
      <c r="J37">
        <f t="shared" si="1"/>
        <v>0.50139905554149922</v>
      </c>
      <c r="K37">
        <f t="shared" si="2"/>
        <v>0.49860094445850078</v>
      </c>
      <c r="L37">
        <f t="shared" si="3"/>
        <v>0.50139905554149922</v>
      </c>
      <c r="M37" t="str">
        <f t="shared" si="4"/>
        <v>UCF</v>
      </c>
      <c r="N37">
        <f t="shared" si="5"/>
        <v>2.3018678444073259</v>
      </c>
    </row>
    <row r="38" spans="1:14" ht="15.75" x14ac:dyDescent="0.25">
      <c r="A38" t="s">
        <v>115</v>
      </c>
      <c r="B38" s="1">
        <v>42736</v>
      </c>
      <c r="C38" t="s">
        <v>116</v>
      </c>
      <c r="D38" s="2">
        <v>0.87026187827404</v>
      </c>
      <c r="E38" t="s">
        <v>131</v>
      </c>
      <c r="F38" t="s">
        <v>117</v>
      </c>
      <c r="G38" s="2">
        <v>0.71817346115802805</v>
      </c>
      <c r="H38" t="s">
        <v>133</v>
      </c>
      <c r="I38">
        <f t="shared" si="0"/>
        <v>0.54787365696937651</v>
      </c>
      <c r="J38">
        <f t="shared" si="1"/>
        <v>0.54787365696937651</v>
      </c>
      <c r="K38">
        <f t="shared" si="2"/>
        <v>0.45212634303062349</v>
      </c>
      <c r="L38">
        <f t="shared" si="3"/>
        <v>0.54787365696937651</v>
      </c>
      <c r="M38" t="str">
        <f t="shared" si="4"/>
        <v>Notre Dame</v>
      </c>
      <c r="N38">
        <f t="shared" si="5"/>
        <v>2.0405616824626915</v>
      </c>
    </row>
    <row r="39" spans="1:14" ht="15.75" x14ac:dyDescent="0.25">
      <c r="A39" t="s">
        <v>118</v>
      </c>
      <c r="B39" s="1">
        <v>42736</v>
      </c>
      <c r="C39" t="s">
        <v>119</v>
      </c>
      <c r="D39">
        <v>1</v>
      </c>
      <c r="E39" t="s">
        <v>133</v>
      </c>
      <c r="F39" t="s">
        <v>120</v>
      </c>
      <c r="G39" s="2">
        <v>0.860946345242253</v>
      </c>
      <c r="H39" t="s">
        <v>130</v>
      </c>
      <c r="I39">
        <f t="shared" si="0"/>
        <v>0.53736100589714886</v>
      </c>
      <c r="J39">
        <f t="shared" si="1"/>
        <v>0.53736100589714886</v>
      </c>
      <c r="K39">
        <f t="shared" si="2"/>
        <v>0.46263899410285114</v>
      </c>
      <c r="L39">
        <f t="shared" si="3"/>
        <v>0.53736100589714886</v>
      </c>
      <c r="M39" t="str">
        <f t="shared" si="4"/>
        <v>Georgia</v>
      </c>
      <c r="N39">
        <f t="shared" si="5"/>
        <v>2.3235853393451045</v>
      </c>
    </row>
    <row r="40" spans="1:14" ht="15.75" x14ac:dyDescent="0.25">
      <c r="A40" t="s">
        <v>121</v>
      </c>
      <c r="B40" s="1">
        <v>42736</v>
      </c>
      <c r="C40" t="s">
        <v>122</v>
      </c>
      <c r="D40" s="2">
        <v>0.95256708874784402</v>
      </c>
      <c r="E40" t="s">
        <v>133</v>
      </c>
      <c r="F40" t="s">
        <v>123</v>
      </c>
      <c r="G40" s="2">
        <v>0.94340577415897098</v>
      </c>
      <c r="H40" t="s">
        <v>135</v>
      </c>
      <c r="I40">
        <f t="shared" si="0"/>
        <v>0.50241599306828355</v>
      </c>
      <c r="J40">
        <f t="shared" si="1"/>
        <v>0.50241599306828355</v>
      </c>
      <c r="K40">
        <f t="shared" si="2"/>
        <v>0.49758400693171645</v>
      </c>
      <c r="L40">
        <f t="shared" si="3"/>
        <v>0.50241599306828355</v>
      </c>
      <c r="M40" t="str">
        <f t="shared" si="4"/>
        <v>Alabama</v>
      </c>
      <c r="N40">
        <f t="shared" si="5"/>
        <v>2.3935568698385312</v>
      </c>
    </row>
    <row r="41" spans="1:14" x14ac:dyDescent="0.25">
      <c r="A41" t="s">
        <v>124</v>
      </c>
      <c r="B41" s="1">
        <v>42743</v>
      </c>
      <c r="C41" t="str">
        <f>IF(D39&gt;G39,C39,F39)</f>
        <v>Georgia</v>
      </c>
      <c r="D41">
        <f>IF(D39&gt;G39,D39,G39)</f>
        <v>1</v>
      </c>
      <c r="E41" t="str">
        <f>IF(D39&gt;G39,E39,H39)</f>
        <v>SEC</v>
      </c>
      <c r="F41" t="str">
        <f>IF(D40&gt;G40,C40,F40)</f>
        <v>Alabama</v>
      </c>
      <c r="G41">
        <f>IF(D40&gt;G40,D40,G40)</f>
        <v>0.95256708874784402</v>
      </c>
      <c r="H41" t="str">
        <f>IF(D40&gt;G40,E40,H40)</f>
        <v>SEC</v>
      </c>
      <c r="I41">
        <f t="shared" si="0"/>
        <v>0.51214629487649876</v>
      </c>
      <c r="J41">
        <f t="shared" si="1"/>
        <v>0.51214629487649876</v>
      </c>
      <c r="K41">
        <f t="shared" si="2"/>
        <v>0.48785370512350124</v>
      </c>
      <c r="L41">
        <f t="shared" si="3"/>
        <v>0.51214629487649876</v>
      </c>
      <c r="M41" t="str">
        <f t="shared" si="4"/>
        <v>Georgia</v>
      </c>
      <c r="N41">
        <f t="shared" si="5"/>
        <v>2.4404207938713451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Nikolaus Yochum</dc:creator>
  <cp:lastModifiedBy>Nikolaus Yochum</cp:lastModifiedBy>
  <dcterms:created xsi:type="dcterms:W3CDTF">2017-12-04T17:32:51Z</dcterms:created>
  <dcterms:modified xsi:type="dcterms:W3CDTF">2017-12-12T05:42:09Z</dcterms:modified>
</cp:coreProperties>
</file>