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natha\Desktop\AMS\"/>
    </mc:Choice>
  </mc:AlternateContent>
  <xr:revisionPtr revIDLastSave="0" documentId="13_ncr:1_{E21082DC-15BB-4647-894C-F46B459F40E7}" xr6:coauthVersionLast="47" xr6:coauthVersionMax="47" xr10:uidLastSave="{00000000-0000-0000-0000-000000000000}"/>
  <bookViews>
    <workbookView xWindow="-120" yWindow="-120" windowWidth="29040" windowHeight="15720" firstSheet="25" xr2:uid="{3A231C64-5C59-4013-AE84-93E817A0DB1A}"/>
  </bookViews>
  <sheets>
    <sheet name="Answers part 1" sheetId="1" r:id="rId1"/>
    <sheet name="1-1" sheetId="4" r:id="rId2"/>
    <sheet name="1.3" sheetId="5" r:id="rId3"/>
    <sheet name="1.4" sheetId="6" r:id="rId4"/>
    <sheet name="2-1" sheetId="7" r:id="rId5"/>
    <sheet name="2-2" sheetId="8" r:id="rId6"/>
    <sheet name="2-3" sheetId="9" r:id="rId7"/>
    <sheet name="2.4" sheetId="10" r:id="rId8"/>
    <sheet name="2.7" sheetId="11" r:id="rId9"/>
    <sheet name="3-1" sheetId="12" r:id="rId10"/>
    <sheet name="3-3" sheetId="13" r:id="rId11"/>
    <sheet name="3-4" sheetId="14" r:id="rId12"/>
    <sheet name="3.3" sheetId="15" r:id="rId13"/>
    <sheet name="3.9" sheetId="16" r:id="rId14"/>
    <sheet name="3.16" sheetId="17" r:id="rId15"/>
    <sheet name="4-1" sheetId="18" r:id="rId16"/>
    <sheet name="Answers part 2" sheetId="27" r:id="rId17"/>
    <sheet name="5-1" sheetId="19" r:id="rId18"/>
    <sheet name="5-3" sheetId="23" r:id="rId19"/>
    <sheet name="5.4" sheetId="20" r:id="rId20"/>
    <sheet name="5.6" sheetId="24" r:id="rId21"/>
    <sheet name="5.17" sheetId="25" r:id="rId22"/>
    <sheet name="5.18" sheetId="26" r:id="rId23"/>
    <sheet name="6-4" sheetId="28" r:id="rId24"/>
    <sheet name="6-4 part 2" sheetId="29" r:id="rId25"/>
    <sheet name="6-1 part 1" sheetId="30" r:id="rId26"/>
    <sheet name="6-1 part 2" sheetId="31" r:id="rId27"/>
    <sheet name="6.4" sheetId="32" r:id="rId28"/>
    <sheet name="6.11" sheetId="33" r:id="rId29"/>
    <sheet name="7-4" sheetId="34" r:id="rId30"/>
    <sheet name="7-3" sheetId="35" r:id="rId31"/>
    <sheet name="7.3" sheetId="37" r:id="rId32"/>
    <sheet name="7.6" sheetId="38" r:id="rId33"/>
    <sheet name="8-2" sheetId="36" r:id="rId34"/>
    <sheet name="8.14" sheetId="39" r:id="rId35"/>
    <sheet name="9.1" sheetId="40" r:id="rId36"/>
    <sheet name="9.4" sheetId="41" r:id="rId37"/>
    <sheet name="9.5" sheetId="42" r:id="rId38"/>
    <sheet name="9.34" sheetId="43" r:id="rId39"/>
    <sheet name="Keeping Time" sheetId="2" r:id="rId40"/>
    <sheet name="Keeping Time (2)" sheetId="3" r:id="rId41"/>
  </sheets>
  <externalReferences>
    <externalReference r:id="rId42"/>
    <externalReference r:id="rId43"/>
  </externalReferences>
  <definedNames>
    <definedName name="AcresPlanted">'5-3'!$B$7:$D$7</definedName>
    <definedName name="AddedCapacity">'6-4 part 2'!$I$5:$I$16</definedName>
    <definedName name="AdvertisingUnits">'5-1'!$C$14:$D$14</definedName>
    <definedName name="BusingCost">'7-3'!$F$4:$H$9</definedName>
    <definedName name="CostForAdded">'6-4 part 2'!$L$5:$L$16</definedName>
    <definedName name="CostOfMaterial">'3-3'!$B$11:$B$17</definedName>
    <definedName name="CostOfSurvey">'3-4'!$C$3:$F$5</definedName>
    <definedName name="CostPerShift">'5.4'!$C$5:$G$5</definedName>
    <definedName name="FixedCost1" localSheetId="40">'Keeping Time (2)'!$B$5</definedName>
    <definedName name="FixedCost1">'Keeping Time'!$B$5</definedName>
    <definedName name="FixedCost2">'1.3'!$B$5</definedName>
    <definedName name="Flow" localSheetId="24">'6-4 part 2'!$D$5:$D$16</definedName>
    <definedName name="Flow">'6-4'!$D$5:$D$16</definedName>
    <definedName name="Flowst">'7-4'!$D$5:$D$16</definedName>
    <definedName name="From" localSheetId="24">'6-4 part 2'!$B$5:$B$16</definedName>
    <definedName name="From">'6-4'!$B$5:$B$16</definedName>
    <definedName name="From1">'6-1 part 1'!$A$2:$A$16</definedName>
    <definedName name="Fromst">'7-4'!$B$5:$B$16</definedName>
    <definedName name="HoursWorked">'5-3'!$B$36:$C$36</definedName>
    <definedName name="ItemsProduced">'3-3'!$C$22:$M$22</definedName>
    <definedName name="MarginalCost1" localSheetId="40">'Keeping Time (2)'!$B$6</definedName>
    <definedName name="MarginalCost1">'Keeping Time'!$B$6</definedName>
    <definedName name="MarginalCost2">'1.3'!$B$6</definedName>
    <definedName name="NetContrib">'3-3'!$C$7:$M$7</definedName>
    <definedName name="NewLivestock">'5-3'!$B$27:$C$27</definedName>
    <definedName name="NewRouter">'7-4'!$L$19:$L$20</definedName>
    <definedName name="NumberToSurvey">'3-4'!$C$10:$F$12</definedName>
    <definedName name="NumberWorking">'5.4'!$C$21:$G$21</definedName>
    <definedName name="OnRoute">'6-1 part 1'!$C$2:$C$16</definedName>
    <definedName name="Portfolio">'8-2'!$B$14:$G$14</definedName>
    <definedName name="Production">'2-1'!$B$11:$C$11</definedName>
    <definedName name="ProductionQuantity1" localSheetId="40">'Keeping Time (2)'!$B$9</definedName>
    <definedName name="ProductionQuantity1">'Keeping Time'!$B$9</definedName>
    <definedName name="ProductionQuantity2">'1.3'!$B$9</definedName>
    <definedName name="Quantity">'2-2'!$C$10:$D$10</definedName>
    <definedName name="RequiredSurveys">'3-4'!$J$16</definedName>
    <definedName name="SalesForecast1" localSheetId="40">'Keeping Time (2)'!$B$7</definedName>
    <definedName name="SalesForecast1">'Keeping Time'!$B$7</definedName>
    <definedName name="SalesForecast2">'1.3'!$B$7</definedName>
    <definedName name="solver_adj" localSheetId="21" hidden="1">'5.17'!$C$12:$D$12</definedName>
    <definedName name="solver_adj" localSheetId="22" hidden="1">'5.18'!$C$12:$D$12</definedName>
    <definedName name="solver_adj" localSheetId="19" hidden="1">'5.4'!$C$21:$G$21</definedName>
    <definedName name="solver_adj" localSheetId="28" hidden="1">'6.11'!$D$7:$D$23</definedName>
    <definedName name="solver_adj" localSheetId="27" hidden="1">'6.4'!$C$5:$C$14</definedName>
    <definedName name="solver_adj" localSheetId="23" hidden="1">'6-4'!$D$5:$D$16</definedName>
    <definedName name="solver_adj" localSheetId="24" hidden="1">'6-4 part 2'!$D$5:$D$16,'6-4 part 2'!$I$5:$I$16</definedName>
    <definedName name="solver_adj" localSheetId="31" hidden="1">'7.3'!$C$7:$F$8</definedName>
    <definedName name="solver_adj" localSheetId="32" hidden="1">'7.6'!$C$11:$C$17</definedName>
    <definedName name="solver_adj" localSheetId="30" hidden="1">'7-3'!$B$13:$D$18</definedName>
    <definedName name="solver_adj" localSheetId="29" hidden="1">'7-4'!$D$5:$D$16,'7-4'!$I$5:$I$16,'7-4'!$L$19:$L$20</definedName>
    <definedName name="solver_adj" localSheetId="34" hidden="1">'8.14'!$E$13:$E$19,'8.14'!$H$13:$H$19</definedName>
    <definedName name="solver_adj" localSheetId="33" hidden="1">'8-2'!$B$14:$G$14</definedName>
    <definedName name="solver_cvg" localSheetId="21" hidden="1">0.0001</definedName>
    <definedName name="solver_cvg" localSheetId="22" hidden="1">0.0001</definedName>
    <definedName name="solver_cvg" localSheetId="19" hidden="1">0.0001</definedName>
    <definedName name="solver_cvg" localSheetId="28" hidden="1">0.0001</definedName>
    <definedName name="solver_cvg" localSheetId="27" hidden="1">0.0001</definedName>
    <definedName name="solver_cvg" localSheetId="23" hidden="1">0.0001</definedName>
    <definedName name="solver_cvg" localSheetId="24" hidden="1">0.0001</definedName>
    <definedName name="solver_cvg" localSheetId="31" hidden="1">0.0001</definedName>
    <definedName name="solver_cvg" localSheetId="32" hidden="1">0.0001</definedName>
    <definedName name="solver_cvg" localSheetId="30" hidden="1">0.0001</definedName>
    <definedName name="solver_cvg" localSheetId="29" hidden="1">0.0001</definedName>
    <definedName name="solver_cvg" localSheetId="34" hidden="1">0.0001</definedName>
    <definedName name="solver_cvg" localSheetId="33" hidden="1">0.0001</definedName>
    <definedName name="solver_drv" localSheetId="21" hidden="1">1</definedName>
    <definedName name="solver_drv" localSheetId="22" hidden="1">1</definedName>
    <definedName name="solver_drv" localSheetId="19" hidden="1">1</definedName>
    <definedName name="solver_drv" localSheetId="28" hidden="1">1</definedName>
    <definedName name="solver_drv" localSheetId="27" hidden="1">2</definedName>
    <definedName name="solver_drv" localSheetId="23" hidden="1">1</definedName>
    <definedName name="solver_drv" localSheetId="24" hidden="1">1</definedName>
    <definedName name="solver_drv" localSheetId="31" hidden="1">1</definedName>
    <definedName name="solver_drv" localSheetId="32" hidden="1">1</definedName>
    <definedName name="solver_drv" localSheetId="30" hidden="1">1</definedName>
    <definedName name="solver_drv" localSheetId="29" hidden="1">1</definedName>
    <definedName name="solver_drv" localSheetId="34" hidden="1">1</definedName>
    <definedName name="solver_drv" localSheetId="33" hidden="1">1</definedName>
    <definedName name="solver_eng" localSheetId="21" hidden="1">2</definedName>
    <definedName name="solver_eng" localSheetId="22" hidden="1">2</definedName>
    <definedName name="solver_eng" localSheetId="19" hidden="1">2</definedName>
    <definedName name="solver_eng" localSheetId="28" hidden="1">2</definedName>
    <definedName name="solver_eng" localSheetId="27" hidden="1">2</definedName>
    <definedName name="solver_eng" localSheetId="23" hidden="1">2</definedName>
    <definedName name="solver_eng" localSheetId="24" hidden="1">2</definedName>
    <definedName name="solver_eng" localSheetId="31" hidden="1">2</definedName>
    <definedName name="solver_eng" localSheetId="32" hidden="1">1</definedName>
    <definedName name="solver_eng" localSheetId="30" hidden="1">2</definedName>
    <definedName name="solver_eng" localSheetId="29" hidden="1">2</definedName>
    <definedName name="solver_eng" localSheetId="34" hidden="1">1</definedName>
    <definedName name="solver_eng" localSheetId="33" hidden="1">1</definedName>
    <definedName name="solver_est" localSheetId="21" hidden="1">1</definedName>
    <definedName name="solver_est" localSheetId="22" hidden="1">1</definedName>
    <definedName name="solver_est" localSheetId="19" hidden="1">1</definedName>
    <definedName name="solver_est" localSheetId="28" hidden="1">1</definedName>
    <definedName name="solver_est" localSheetId="27" hidden="1">1</definedName>
    <definedName name="solver_est" localSheetId="23" hidden="1">1</definedName>
    <definedName name="solver_est" localSheetId="24" hidden="1">1</definedName>
    <definedName name="solver_est" localSheetId="31" hidden="1">1</definedName>
    <definedName name="solver_est" localSheetId="32" hidden="1">1</definedName>
    <definedName name="solver_est" localSheetId="30" hidden="1">1</definedName>
    <definedName name="solver_est" localSheetId="29" hidden="1">1</definedName>
    <definedName name="solver_est" localSheetId="34" hidden="1">1</definedName>
    <definedName name="solver_est" localSheetId="33" hidden="1">1</definedName>
    <definedName name="solver_itr" localSheetId="21" hidden="1">2147483647</definedName>
    <definedName name="solver_itr" localSheetId="22" hidden="1">2147483647</definedName>
    <definedName name="solver_itr" localSheetId="19" hidden="1">2147483647</definedName>
    <definedName name="solver_itr" localSheetId="28" hidden="1">2147483647</definedName>
    <definedName name="solver_itr" localSheetId="27" hidden="1">2147483647</definedName>
    <definedName name="solver_itr" localSheetId="23" hidden="1">2147483647</definedName>
    <definedName name="solver_itr" localSheetId="24" hidden="1">2147483647</definedName>
    <definedName name="solver_itr" localSheetId="31" hidden="1">2147483647</definedName>
    <definedName name="solver_itr" localSheetId="32" hidden="1">2147483647</definedName>
    <definedName name="solver_itr" localSheetId="30" hidden="1">2147483647</definedName>
    <definedName name="solver_itr" localSheetId="29" hidden="1">2147483647</definedName>
    <definedName name="solver_itr" localSheetId="34" hidden="1">2147483647</definedName>
    <definedName name="solver_itr" localSheetId="33" hidden="1">2147483647</definedName>
    <definedName name="solver_lhs1" localSheetId="21" hidden="1">'5.17'!$E$7:$E$9</definedName>
    <definedName name="solver_lhs1" localSheetId="22" hidden="1">'5.18'!$E$7:$E$9</definedName>
    <definedName name="solver_lhs1" localSheetId="19" hidden="1">'5.4'!$H$8:$H$17</definedName>
    <definedName name="solver_lhs1" localSheetId="28" hidden="1">'6.11'!$D$7:$D$23</definedName>
    <definedName name="solver_lhs1" localSheetId="27" hidden="1">'6.4'!$C$5:$C$14</definedName>
    <definedName name="solver_lhs1" localSheetId="23" hidden="1">'6-4'!$I$6:$I$10</definedName>
    <definedName name="solver_lhs1" localSheetId="24" hidden="1">'6-4 part 2'!$O$5</definedName>
    <definedName name="solver_lhs1" localSheetId="31" hidden="1">'7.3'!$C$7:$F$8</definedName>
    <definedName name="solver_lhs1" localSheetId="32" hidden="1">'7.6'!$C$11:$C$17</definedName>
    <definedName name="solver_lhs1" localSheetId="30" hidden="1">'7-3'!$B$13:$D$18</definedName>
    <definedName name="solver_lhs1" localSheetId="29" hidden="1">'7-4'!$E$19</definedName>
    <definedName name="solver_lhs1" localSheetId="34" hidden="1">'8.14'!$E$20</definedName>
    <definedName name="solver_lhs1" localSheetId="33" hidden="1">'8-2'!$B$21</definedName>
    <definedName name="solver_lhs2" localSheetId="28" hidden="1">'6.11'!$I$15</definedName>
    <definedName name="solver_lhs2" localSheetId="27" hidden="1">'6.4'!$L$4:$L$11</definedName>
    <definedName name="solver_lhs2" localSheetId="23" hidden="1">'6-4'!$D$5:$D$16</definedName>
    <definedName name="solver_lhs2" localSheetId="24" hidden="1">'6-4 part 2'!$O$6:$O$10</definedName>
    <definedName name="solver_lhs2" localSheetId="31" hidden="1">'7.3'!$C$9:$F$9</definedName>
    <definedName name="solver_lhs2" localSheetId="32" hidden="1">'7.6'!$C$12</definedName>
    <definedName name="solver_lhs2" localSheetId="30" hidden="1">'7-3'!$B$28:$D$28</definedName>
    <definedName name="solver_lhs2" localSheetId="29" hidden="1">'7-4'!$I$5:$I$16</definedName>
    <definedName name="solver_lhs2" localSheetId="34" hidden="1">'8.14'!$H$20</definedName>
    <definedName name="solver_lhs2" localSheetId="33" hidden="1">'8-2'!$H$14</definedName>
    <definedName name="solver_lhs3" localSheetId="28" hidden="1">'6.11'!$I$9:$I$14</definedName>
    <definedName name="solver_lhs3" localSheetId="24" hidden="1">'6-4 part 2'!$I$5:$I$16</definedName>
    <definedName name="solver_lhs3" localSheetId="31" hidden="1">'7.3'!$G$7:$G$8</definedName>
    <definedName name="solver_lhs3" localSheetId="32" hidden="1">'7.6'!$C$14:$C$17</definedName>
    <definedName name="solver_lhs3" localSheetId="30" hidden="1">'7-3'!$B$38:$B$40</definedName>
    <definedName name="solver_lhs3" localSheetId="29" hidden="1">'7-4'!$P$6:$P$10</definedName>
    <definedName name="solver_lhs3" localSheetId="34" hidden="1">'8.14'!$J$24:$J$25</definedName>
    <definedName name="solver_lhs3" localSheetId="33" hidden="1">'8-2'!$B$14:$G$14</definedName>
    <definedName name="solver_lhs4" localSheetId="24" hidden="1">'6-4 part 2'!$D$5:$D$16</definedName>
    <definedName name="solver_lhs4" localSheetId="32" hidden="1">'7.6'!$C$20</definedName>
    <definedName name="solver_lhs4" localSheetId="30" hidden="1">'7-3'!$B$38:$B$40</definedName>
    <definedName name="solver_lhs4" localSheetId="29" hidden="1">'7-4'!$D$5:$D$16</definedName>
    <definedName name="solver_lhs5" localSheetId="32" hidden="1">'7.6'!$D$11</definedName>
    <definedName name="solver_lhs5" localSheetId="30" hidden="1">'7-3'!$C$38:$C$40</definedName>
    <definedName name="solver_lhs5" localSheetId="29" hidden="1">'7-4'!$L$19:$L$20</definedName>
    <definedName name="solver_lhs6" localSheetId="32" hidden="1">'7.6'!$D$13</definedName>
    <definedName name="solver_lhs6" localSheetId="30" hidden="1">'7-3'!$C$38:$C$40</definedName>
    <definedName name="solver_lhs7" localSheetId="30" hidden="1">'7-3'!$D$38:$D$40</definedName>
    <definedName name="solver_lhs8" localSheetId="30" hidden="1">'7-3'!$D$38:$D$40</definedName>
    <definedName name="solver_lhs9" localSheetId="30" hidden="1">'7-3'!$E$13:$E$18</definedName>
    <definedName name="solver_mip" localSheetId="21" hidden="1">2147483647</definedName>
    <definedName name="solver_mip" localSheetId="22" hidden="1">2147483647</definedName>
    <definedName name="solver_mip" localSheetId="19" hidden="1">2147483647</definedName>
    <definedName name="solver_mip" localSheetId="28" hidden="1">2147483647</definedName>
    <definedName name="solver_mip" localSheetId="27" hidden="1">2147483647</definedName>
    <definedName name="solver_mip" localSheetId="23" hidden="1">2147483647</definedName>
    <definedName name="solver_mip" localSheetId="24" hidden="1">2147483647</definedName>
    <definedName name="solver_mip" localSheetId="31" hidden="1">2147483647</definedName>
    <definedName name="solver_mip" localSheetId="32" hidden="1">2147483647</definedName>
    <definedName name="solver_mip" localSheetId="30" hidden="1">2147483647</definedName>
    <definedName name="solver_mip" localSheetId="29" hidden="1">2147483647</definedName>
    <definedName name="solver_mip" localSheetId="34" hidden="1">2147483647</definedName>
    <definedName name="solver_mip" localSheetId="33" hidden="1">2147483647</definedName>
    <definedName name="solver_mni" localSheetId="21" hidden="1">30</definedName>
    <definedName name="solver_mni" localSheetId="22" hidden="1">30</definedName>
    <definedName name="solver_mni" localSheetId="19" hidden="1">30</definedName>
    <definedName name="solver_mni" localSheetId="28" hidden="1">30</definedName>
    <definedName name="solver_mni" localSheetId="27" hidden="1">30</definedName>
    <definedName name="solver_mni" localSheetId="23" hidden="1">30</definedName>
    <definedName name="solver_mni" localSheetId="24" hidden="1">30</definedName>
    <definedName name="solver_mni" localSheetId="31" hidden="1">30</definedName>
    <definedName name="solver_mni" localSheetId="32" hidden="1">30</definedName>
    <definedName name="solver_mni" localSheetId="30" hidden="1">30</definedName>
    <definedName name="solver_mni" localSheetId="29" hidden="1">30</definedName>
    <definedName name="solver_mni" localSheetId="34" hidden="1">30</definedName>
    <definedName name="solver_mni" localSheetId="33" hidden="1">30</definedName>
    <definedName name="solver_mrt" localSheetId="21" hidden="1">0.075</definedName>
    <definedName name="solver_mrt" localSheetId="22" hidden="1">0.075</definedName>
    <definedName name="solver_mrt" localSheetId="19" hidden="1">0.075</definedName>
    <definedName name="solver_mrt" localSheetId="28" hidden="1">0.075</definedName>
    <definedName name="solver_mrt" localSheetId="27" hidden="1">0.075</definedName>
    <definedName name="solver_mrt" localSheetId="23" hidden="1">0.075</definedName>
    <definedName name="solver_mrt" localSheetId="24" hidden="1">0.075</definedName>
    <definedName name="solver_mrt" localSheetId="31" hidden="1">0.075</definedName>
    <definedName name="solver_mrt" localSheetId="32" hidden="1">0.075</definedName>
    <definedName name="solver_mrt" localSheetId="30" hidden="1">0.075</definedName>
    <definedName name="solver_mrt" localSheetId="29" hidden="1">0.075</definedName>
    <definedName name="solver_mrt" localSheetId="34" hidden="1">0.075</definedName>
    <definedName name="solver_mrt" localSheetId="33" hidden="1">0.075</definedName>
    <definedName name="solver_msl" localSheetId="21" hidden="1">2</definedName>
    <definedName name="solver_msl" localSheetId="22" hidden="1">2</definedName>
    <definedName name="solver_msl" localSheetId="19" hidden="1">2</definedName>
    <definedName name="solver_msl" localSheetId="28" hidden="1">2</definedName>
    <definedName name="solver_msl" localSheetId="27" hidden="1">2</definedName>
    <definedName name="solver_msl" localSheetId="23" hidden="1">2</definedName>
    <definedName name="solver_msl" localSheetId="24" hidden="1">2</definedName>
    <definedName name="solver_msl" localSheetId="31" hidden="1">2</definedName>
    <definedName name="solver_msl" localSheetId="32" hidden="1">2</definedName>
    <definedName name="solver_msl" localSheetId="30" hidden="1">2</definedName>
    <definedName name="solver_msl" localSheetId="29" hidden="1">2</definedName>
    <definedName name="solver_msl" localSheetId="34" hidden="1">2</definedName>
    <definedName name="solver_msl" localSheetId="33" hidden="1">2</definedName>
    <definedName name="solver_neg" localSheetId="21" hidden="1">1</definedName>
    <definedName name="solver_neg" localSheetId="22" hidden="1">1</definedName>
    <definedName name="solver_neg" localSheetId="19" hidden="1">1</definedName>
    <definedName name="solver_neg" localSheetId="28" hidden="1">1</definedName>
    <definedName name="solver_neg" localSheetId="27" hidden="1">1</definedName>
    <definedName name="solver_neg" localSheetId="23" hidden="1">1</definedName>
    <definedName name="solver_neg" localSheetId="24" hidden="1">1</definedName>
    <definedName name="solver_neg" localSheetId="31" hidden="1">1</definedName>
    <definedName name="solver_neg" localSheetId="32" hidden="1">1</definedName>
    <definedName name="solver_neg" localSheetId="30" hidden="1">1</definedName>
    <definedName name="solver_neg" localSheetId="29" hidden="1">1</definedName>
    <definedName name="solver_neg" localSheetId="34" hidden="1">1</definedName>
    <definedName name="solver_neg" localSheetId="33" hidden="1">1</definedName>
    <definedName name="solver_nod" localSheetId="21" hidden="1">2147483647</definedName>
    <definedName name="solver_nod" localSheetId="22" hidden="1">2147483647</definedName>
    <definedName name="solver_nod" localSheetId="19" hidden="1">2147483647</definedName>
    <definedName name="solver_nod" localSheetId="28" hidden="1">2147483647</definedName>
    <definedName name="solver_nod" localSheetId="27" hidden="1">2147483647</definedName>
    <definedName name="solver_nod" localSheetId="23" hidden="1">2147483647</definedName>
    <definedName name="solver_nod" localSheetId="24" hidden="1">2147483647</definedName>
    <definedName name="solver_nod" localSheetId="31" hidden="1">2147483647</definedName>
    <definedName name="solver_nod" localSheetId="32" hidden="1">2147483647</definedName>
    <definedName name="solver_nod" localSheetId="30" hidden="1">2147483647</definedName>
    <definedName name="solver_nod" localSheetId="29" hidden="1">2147483647</definedName>
    <definedName name="solver_nod" localSheetId="34" hidden="1">2147483647</definedName>
    <definedName name="solver_nod" localSheetId="33" hidden="1">2147483647</definedName>
    <definedName name="solver_num" localSheetId="21" hidden="1">1</definedName>
    <definedName name="solver_num" localSheetId="22" hidden="1">1</definedName>
    <definedName name="solver_num" localSheetId="19" hidden="1">1</definedName>
    <definedName name="solver_num" localSheetId="28" hidden="1">3</definedName>
    <definedName name="solver_num" localSheetId="27" hidden="1">2</definedName>
    <definedName name="solver_num" localSheetId="23" hidden="1">2</definedName>
    <definedName name="solver_num" localSheetId="24" hidden="1">4</definedName>
    <definedName name="solver_num" localSheetId="31" hidden="1">3</definedName>
    <definedName name="solver_num" localSheetId="32" hidden="1">6</definedName>
    <definedName name="solver_num" localSheetId="30" hidden="1">9</definedName>
    <definedName name="solver_num" localSheetId="29" hidden="1">5</definedName>
    <definedName name="solver_num" localSheetId="34" hidden="1">3</definedName>
    <definedName name="solver_num" localSheetId="33" hidden="1">3</definedName>
    <definedName name="solver_nwt" localSheetId="21" hidden="1">1</definedName>
    <definedName name="solver_nwt" localSheetId="22" hidden="1">1</definedName>
    <definedName name="solver_nwt" localSheetId="19" hidden="1">1</definedName>
    <definedName name="solver_nwt" localSheetId="28" hidden="1">1</definedName>
    <definedName name="solver_nwt" localSheetId="27" hidden="1">1</definedName>
    <definedName name="solver_nwt" localSheetId="23" hidden="1">1</definedName>
    <definedName name="solver_nwt" localSheetId="24" hidden="1">1</definedName>
    <definedName name="solver_nwt" localSheetId="31" hidden="1">1</definedName>
    <definedName name="solver_nwt" localSheetId="32" hidden="1">1</definedName>
    <definedName name="solver_nwt" localSheetId="30" hidden="1">1</definedName>
    <definedName name="solver_nwt" localSheetId="29" hidden="1">1</definedName>
    <definedName name="solver_nwt" localSheetId="34" hidden="1">1</definedName>
    <definedName name="solver_nwt" localSheetId="33" hidden="1">1</definedName>
    <definedName name="solver_opt" localSheetId="21" hidden="1">'5.17'!$G$12</definedName>
    <definedName name="solver_opt" localSheetId="22" hidden="1">'5.18'!$G$12</definedName>
    <definedName name="solver_opt" localSheetId="19" hidden="1">'5.4'!$J$21</definedName>
    <definedName name="solver_opt" localSheetId="28" hidden="1">'6.11'!$C$25</definedName>
    <definedName name="solver_opt" localSheetId="27" hidden="1">'6.4'!$C$18</definedName>
    <definedName name="solver_opt" localSheetId="23" hidden="1">'6-4'!$D$18</definedName>
    <definedName name="solver_opt" localSheetId="24" hidden="1">'6-4 part 2'!$O$16</definedName>
    <definedName name="solver_opt" localSheetId="31" hidden="1">'7.3'!$C$12</definedName>
    <definedName name="solver_opt" localSheetId="32" hidden="1">'7.6'!$C$19</definedName>
    <definedName name="solver_opt" localSheetId="30" hidden="1">'7-3'!$G$25</definedName>
    <definedName name="solver_opt" localSheetId="29" hidden="1">'7-4'!$I$5</definedName>
    <definedName name="solver_opt" localSheetId="34" hidden="1">'8.14'!$E$26</definedName>
    <definedName name="solver_opt" localSheetId="33" hidden="1">'8-2'!$B$23</definedName>
    <definedName name="solver_pre" localSheetId="21" hidden="1">0.000001</definedName>
    <definedName name="solver_pre" localSheetId="22" hidden="1">0.000001</definedName>
    <definedName name="solver_pre" localSheetId="19" hidden="1">0.000001</definedName>
    <definedName name="solver_pre" localSheetId="28" hidden="1">0.000001</definedName>
    <definedName name="solver_pre" localSheetId="27" hidden="1">0.000001</definedName>
    <definedName name="solver_pre" localSheetId="23" hidden="1">0.000001</definedName>
    <definedName name="solver_pre" localSheetId="24" hidden="1">0.000001</definedName>
    <definedName name="solver_pre" localSheetId="31" hidden="1">0.000001</definedName>
    <definedName name="solver_pre" localSheetId="32" hidden="1">0.000001</definedName>
    <definedName name="solver_pre" localSheetId="30" hidden="1">0.000001</definedName>
    <definedName name="solver_pre" localSheetId="29" hidden="1">0.000001</definedName>
    <definedName name="solver_pre" localSheetId="34" hidden="1">0.000001</definedName>
    <definedName name="solver_pre" localSheetId="33" hidden="1">0.000001</definedName>
    <definedName name="solver_rbv" localSheetId="21" hidden="1">1</definedName>
    <definedName name="solver_rbv" localSheetId="22" hidden="1">1</definedName>
    <definedName name="solver_rbv" localSheetId="19" hidden="1">1</definedName>
    <definedName name="solver_rbv" localSheetId="28" hidden="1">1</definedName>
    <definedName name="solver_rbv" localSheetId="27" hidden="1">2</definedName>
    <definedName name="solver_rbv" localSheetId="23" hidden="1">1</definedName>
    <definedName name="solver_rbv" localSheetId="24" hidden="1">1</definedName>
    <definedName name="solver_rbv" localSheetId="31" hidden="1">1</definedName>
    <definedName name="solver_rbv" localSheetId="32" hidden="1">1</definedName>
    <definedName name="solver_rbv" localSheetId="30" hidden="1">1</definedName>
    <definedName name="solver_rbv" localSheetId="29" hidden="1">1</definedName>
    <definedName name="solver_rbv" localSheetId="34" hidden="1">1</definedName>
    <definedName name="solver_rbv" localSheetId="33" hidden="1">1</definedName>
    <definedName name="solver_rel1" localSheetId="21" hidden="1">1</definedName>
    <definedName name="solver_rel1" localSheetId="22" hidden="1">1</definedName>
    <definedName name="solver_rel1" localSheetId="19" hidden="1">3</definedName>
    <definedName name="solver_rel1" localSheetId="28" hidden="1">1</definedName>
    <definedName name="solver_rel1" localSheetId="27" hidden="1">1</definedName>
    <definedName name="solver_rel1" localSheetId="23" hidden="1">2</definedName>
    <definedName name="solver_rel1" localSheetId="24" hidden="1">3</definedName>
    <definedName name="solver_rel1" localSheetId="31" hidden="1">5</definedName>
    <definedName name="solver_rel1" localSheetId="32" hidden="1">5</definedName>
    <definedName name="solver_rel1" localSheetId="30" hidden="1">5</definedName>
    <definedName name="solver_rel1" localSheetId="29" hidden="1">3</definedName>
    <definedName name="solver_rel1" localSheetId="34" hidden="1">2</definedName>
    <definedName name="solver_rel1" localSheetId="33" hidden="1">3</definedName>
    <definedName name="solver_rel2" localSheetId="28" hidden="1">2</definedName>
    <definedName name="solver_rel2" localSheetId="27" hidden="1">2</definedName>
    <definedName name="solver_rel2" localSheetId="23" hidden="1">1</definedName>
    <definedName name="solver_rel2" localSheetId="24" hidden="1">2</definedName>
    <definedName name="solver_rel2" localSheetId="31" hidden="1">2</definedName>
    <definedName name="solver_rel2" localSheetId="32" hidden="1">1</definedName>
    <definedName name="solver_rel2" localSheetId="30" hidden="1">1</definedName>
    <definedName name="solver_rel2" localSheetId="29" hidden="1">1</definedName>
    <definedName name="solver_rel2" localSheetId="34" hidden="1">2</definedName>
    <definedName name="solver_rel2" localSheetId="33" hidden="1">2</definedName>
    <definedName name="solver_rel3" localSheetId="28" hidden="1">2</definedName>
    <definedName name="solver_rel3" localSheetId="24" hidden="1">1</definedName>
    <definedName name="solver_rel3" localSheetId="31" hidden="1">2</definedName>
    <definedName name="solver_rel3" localSheetId="32" hidden="1">1</definedName>
    <definedName name="solver_rel3" localSheetId="30" hidden="1">1</definedName>
    <definedName name="solver_rel3" localSheetId="29" hidden="1">2</definedName>
    <definedName name="solver_rel3" localSheetId="34" hidden="1">1</definedName>
    <definedName name="solver_rel3" localSheetId="33" hidden="1">1</definedName>
    <definedName name="solver_rel4" localSheetId="24" hidden="1">1</definedName>
    <definedName name="solver_rel4" localSheetId="32" hidden="1">1</definedName>
    <definedName name="solver_rel4" localSheetId="30" hidden="1">3</definedName>
    <definedName name="solver_rel4" localSheetId="29" hidden="1">1</definedName>
    <definedName name="solver_rel5" localSheetId="32" hidden="1">2</definedName>
    <definedName name="solver_rel5" localSheetId="30" hidden="1">1</definedName>
    <definedName name="solver_rel5" localSheetId="29" hidden="1">5</definedName>
    <definedName name="solver_rel6" localSheetId="32" hidden="1">2</definedName>
    <definedName name="solver_rel6" localSheetId="30" hidden="1">3</definedName>
    <definedName name="solver_rel7" localSheetId="30" hidden="1">1</definedName>
    <definedName name="solver_rel8" localSheetId="30" hidden="1">3</definedName>
    <definedName name="solver_rel9" localSheetId="30" hidden="1">2</definedName>
    <definedName name="solver_rhs1" localSheetId="21" hidden="1">'5.17'!$G$7:$G$9</definedName>
    <definedName name="solver_rhs1" localSheetId="22" hidden="1">'5.18'!$G$7:$G$9</definedName>
    <definedName name="solver_rhs1" localSheetId="19" hidden="1">'5.4'!$J$8:$J$17</definedName>
    <definedName name="solver_rhs1" localSheetId="28" hidden="1">'6.11'!$F$7:$F$23</definedName>
    <definedName name="solver_rhs1" localSheetId="27" hidden="1">'6.4'!$E$5:$E$14</definedName>
    <definedName name="solver_rhs1" localSheetId="23" hidden="1">'6-4'!$K$6:$K$10</definedName>
    <definedName name="solver_rhs1" localSheetId="24" hidden="1">'6-4 part 2'!$Q$5</definedName>
    <definedName name="solver_rhs1" localSheetId="31" hidden="1">"binary"</definedName>
    <definedName name="solver_rhs1" localSheetId="32" hidden="1">"binary"</definedName>
    <definedName name="solver_rhs1" localSheetId="30" hidden="1">"binary"</definedName>
    <definedName name="solver_rhs1" localSheetId="29" hidden="1">'7-4'!$G$19</definedName>
    <definedName name="solver_rhs1" localSheetId="34" hidden="1">'8.14'!$E$22</definedName>
    <definedName name="solver_rhs1" localSheetId="33" hidden="1">'8-2'!$D$21</definedName>
    <definedName name="solver_rhs2" localSheetId="28" hidden="1">'6.11'!$I$17</definedName>
    <definedName name="solver_rhs2" localSheetId="27" hidden="1">'6.4'!$N$4:$N$11</definedName>
    <definedName name="solver_rhs2" localSheetId="23" hidden="1">'6-4'!$F$5:$F$16</definedName>
    <definedName name="solver_rhs2" localSheetId="24" hidden="1">'6-4 part 2'!$Q$6:$Q$10</definedName>
    <definedName name="solver_rhs2" localSheetId="31" hidden="1">'7.3'!$C$11:$F$11</definedName>
    <definedName name="solver_rhs2" localSheetId="32" hidden="1">'7.6'!$E$12</definedName>
    <definedName name="solver_rhs2" localSheetId="30" hidden="1">'7-3'!$B$30:$D$30</definedName>
    <definedName name="solver_rhs2" localSheetId="29" hidden="1">'7-4'!$K$5:$K$16</definedName>
    <definedName name="solver_rhs2" localSheetId="34" hidden="1">'8.14'!$H$22</definedName>
    <definedName name="solver_rhs2" localSheetId="33" hidden="1">'8-2'!$J$14</definedName>
    <definedName name="solver_rhs3" localSheetId="28" hidden="1">'6.11'!$K$9:$K$14</definedName>
    <definedName name="solver_rhs3" localSheetId="24" hidden="1">'6-4 part 2'!$K$5:$K$16</definedName>
    <definedName name="solver_rhs3" localSheetId="31" hidden="1">'7.3'!$I$7:$I$8</definedName>
    <definedName name="solver_rhs3" localSheetId="32" hidden="1">'7.6'!$E$14:$E$17</definedName>
    <definedName name="solver_rhs3" localSheetId="30" hidden="1">'7-3'!$B$42</definedName>
    <definedName name="solver_rhs3" localSheetId="29" hidden="1">'7-4'!$R$6:$R$10</definedName>
    <definedName name="solver_rhs3" localSheetId="34" hidden="1">'8.14'!$L$24:$L$25</definedName>
    <definedName name="solver_rhs3" localSheetId="33" hidden="1">'8-2'!$B$16:$G$16</definedName>
    <definedName name="solver_rhs4" localSheetId="24" hidden="1">'6-4 part 2'!$F$5:$F$16</definedName>
    <definedName name="solver_rhs4" localSheetId="32" hidden="1">'7.6'!$E$20</definedName>
    <definedName name="solver_rhs4" localSheetId="30" hidden="1">'7-3'!$B$36</definedName>
    <definedName name="solver_rhs4" localSheetId="29" hidden="1">'7-4'!$F$5:$F$16</definedName>
    <definedName name="solver_rhs5" localSheetId="32" hidden="1">'7.6'!$F$11</definedName>
    <definedName name="solver_rhs5" localSheetId="30" hidden="1">'7-3'!$C$42</definedName>
    <definedName name="solver_rhs5" localSheetId="29" hidden="1">"binary"</definedName>
    <definedName name="solver_rhs6" localSheetId="32" hidden="1">'7.6'!$F$13</definedName>
    <definedName name="solver_rhs6" localSheetId="30" hidden="1">'7-3'!$C$36</definedName>
    <definedName name="solver_rhs7" localSheetId="30" hidden="1">'7-3'!$D$42</definedName>
    <definedName name="solver_rhs8" localSheetId="30" hidden="1">'7-3'!$D$36</definedName>
    <definedName name="solver_rhs9" localSheetId="30" hidden="1">'7-3'!$G$13:$G$18</definedName>
    <definedName name="solver_rlx" localSheetId="21" hidden="1">2</definedName>
    <definedName name="solver_rlx" localSheetId="22" hidden="1">2</definedName>
    <definedName name="solver_rlx" localSheetId="19" hidden="1">2</definedName>
    <definedName name="solver_rlx" localSheetId="28" hidden="1">2</definedName>
    <definedName name="solver_rlx" localSheetId="27" hidden="1">2</definedName>
    <definedName name="solver_rlx" localSheetId="23" hidden="1">2</definedName>
    <definedName name="solver_rlx" localSheetId="24" hidden="1">2</definedName>
    <definedName name="solver_rlx" localSheetId="31" hidden="1">2</definedName>
    <definedName name="solver_rlx" localSheetId="32" hidden="1">2</definedName>
    <definedName name="solver_rlx" localSheetId="30" hidden="1">2</definedName>
    <definedName name="solver_rlx" localSheetId="29" hidden="1">2</definedName>
    <definedName name="solver_rlx" localSheetId="34" hidden="1">2</definedName>
    <definedName name="solver_rlx" localSheetId="33" hidden="1">2</definedName>
    <definedName name="solver_rsd" localSheetId="21" hidden="1">0</definedName>
    <definedName name="solver_rsd" localSheetId="22" hidden="1">0</definedName>
    <definedName name="solver_rsd" localSheetId="19" hidden="1">0</definedName>
    <definedName name="solver_rsd" localSheetId="28" hidden="1">0</definedName>
    <definedName name="solver_rsd" localSheetId="27" hidden="1">0</definedName>
    <definedName name="solver_rsd" localSheetId="23" hidden="1">0</definedName>
    <definedName name="solver_rsd" localSheetId="24" hidden="1">0</definedName>
    <definedName name="solver_rsd" localSheetId="31" hidden="1">0</definedName>
    <definedName name="solver_rsd" localSheetId="32" hidden="1">0</definedName>
    <definedName name="solver_rsd" localSheetId="30" hidden="1">0</definedName>
    <definedName name="solver_rsd" localSheetId="29" hidden="1">0</definedName>
    <definedName name="solver_rsd" localSheetId="34" hidden="1">0</definedName>
    <definedName name="solver_rsd" localSheetId="33" hidden="1">0</definedName>
    <definedName name="solver_scl" localSheetId="21" hidden="1">1</definedName>
    <definedName name="solver_scl" localSheetId="22" hidden="1">1</definedName>
    <definedName name="solver_scl" localSheetId="19" hidden="1">1</definedName>
    <definedName name="solver_scl" localSheetId="28" hidden="1">1</definedName>
    <definedName name="solver_scl" localSheetId="27" hidden="1">2</definedName>
    <definedName name="solver_scl" localSheetId="23" hidden="1">1</definedName>
    <definedName name="solver_scl" localSheetId="24" hidden="1">1</definedName>
    <definedName name="solver_scl" localSheetId="31" hidden="1">1</definedName>
    <definedName name="solver_scl" localSheetId="32" hidden="1">1</definedName>
    <definedName name="solver_scl" localSheetId="30" hidden="1">1</definedName>
    <definedName name="solver_scl" localSheetId="29" hidden="1">1</definedName>
    <definedName name="solver_scl" localSheetId="34" hidden="1">1</definedName>
    <definedName name="solver_scl" localSheetId="33" hidden="1">1</definedName>
    <definedName name="solver_sho" localSheetId="21" hidden="1">2</definedName>
    <definedName name="solver_sho" localSheetId="22" hidden="1">2</definedName>
    <definedName name="solver_sho" localSheetId="19" hidden="1">2</definedName>
    <definedName name="solver_sho" localSheetId="28" hidden="1">2</definedName>
    <definedName name="solver_sho" localSheetId="27" hidden="1">2</definedName>
    <definedName name="solver_sho" localSheetId="23" hidden="1">2</definedName>
    <definedName name="solver_sho" localSheetId="24" hidden="1">2</definedName>
    <definedName name="solver_sho" localSheetId="31" hidden="1">2</definedName>
    <definedName name="solver_sho" localSheetId="32" hidden="1">2</definedName>
    <definedName name="solver_sho" localSheetId="30" hidden="1">2</definedName>
    <definedName name="solver_sho" localSheetId="29" hidden="1">2</definedName>
    <definedName name="solver_sho" localSheetId="34" hidden="1">2</definedName>
    <definedName name="solver_sho" localSheetId="33" hidden="1">2</definedName>
    <definedName name="solver_ssz" localSheetId="21" hidden="1">100</definedName>
    <definedName name="solver_ssz" localSheetId="22" hidden="1">100</definedName>
    <definedName name="solver_ssz" localSheetId="19" hidden="1">100</definedName>
    <definedName name="solver_ssz" localSheetId="28" hidden="1">100</definedName>
    <definedName name="solver_ssz" localSheetId="27" hidden="1">100</definedName>
    <definedName name="solver_ssz" localSheetId="23" hidden="1">100</definedName>
    <definedName name="solver_ssz" localSheetId="24" hidden="1">100</definedName>
    <definedName name="solver_ssz" localSheetId="31" hidden="1">100</definedName>
    <definedName name="solver_ssz" localSheetId="32" hidden="1">100</definedName>
    <definedName name="solver_ssz" localSheetId="30" hidden="1">100</definedName>
    <definedName name="solver_ssz" localSheetId="29" hidden="1">100</definedName>
    <definedName name="solver_ssz" localSheetId="34" hidden="1">100</definedName>
    <definedName name="solver_ssz" localSheetId="33" hidden="1">100</definedName>
    <definedName name="solver_tim" localSheetId="21" hidden="1">2147483647</definedName>
    <definedName name="solver_tim" localSheetId="22" hidden="1">2147483647</definedName>
    <definedName name="solver_tim" localSheetId="19" hidden="1">2147483647</definedName>
    <definedName name="solver_tim" localSheetId="28" hidden="1">2147483647</definedName>
    <definedName name="solver_tim" localSheetId="27" hidden="1">2147483647</definedName>
    <definedName name="solver_tim" localSheetId="23" hidden="1">2147483647</definedName>
    <definedName name="solver_tim" localSheetId="24" hidden="1">2147483647</definedName>
    <definedName name="solver_tim" localSheetId="31" hidden="1">2147483647</definedName>
    <definedName name="solver_tim" localSheetId="32" hidden="1">2147483647</definedName>
    <definedName name="solver_tim" localSheetId="30" hidden="1">2147483647</definedName>
    <definedName name="solver_tim" localSheetId="29" hidden="1">2147483647</definedName>
    <definedName name="solver_tim" localSheetId="34" hidden="1">2147483647</definedName>
    <definedName name="solver_tim" localSheetId="33" hidden="1">2147483647</definedName>
    <definedName name="solver_tol" localSheetId="21" hidden="1">0.01</definedName>
    <definedName name="solver_tol" localSheetId="22" hidden="1">0.01</definedName>
    <definedName name="solver_tol" localSheetId="19" hidden="1">0.01</definedName>
    <definedName name="solver_tol" localSheetId="28" hidden="1">0.01</definedName>
    <definedName name="solver_tol" localSheetId="27" hidden="1">0.01</definedName>
    <definedName name="solver_tol" localSheetId="23" hidden="1">0.01</definedName>
    <definedName name="solver_tol" localSheetId="24" hidden="1">0.01</definedName>
    <definedName name="solver_tol" localSheetId="31" hidden="1">0.01</definedName>
    <definedName name="solver_tol" localSheetId="32" hidden="1">0.01</definedName>
    <definedName name="solver_tol" localSheetId="30" hidden="1">0.01</definedName>
    <definedName name="solver_tol" localSheetId="29" hidden="1">0.01</definedName>
    <definedName name="solver_tol" localSheetId="34" hidden="1">0.01</definedName>
    <definedName name="solver_tol" localSheetId="33" hidden="1">0.01</definedName>
    <definedName name="solver_typ" localSheetId="21" hidden="1">1</definedName>
    <definedName name="solver_typ" localSheetId="22" hidden="1">1</definedName>
    <definedName name="solver_typ" localSheetId="19" hidden="1">2</definedName>
    <definedName name="solver_typ" localSheetId="28" hidden="1">1</definedName>
    <definedName name="solver_typ" localSheetId="27" hidden="1">2</definedName>
    <definedName name="solver_typ" localSheetId="23" hidden="1">1</definedName>
    <definedName name="solver_typ" localSheetId="24" hidden="1">2</definedName>
    <definedName name="solver_typ" localSheetId="31" hidden="1">2</definedName>
    <definedName name="solver_typ" localSheetId="32" hidden="1">1</definedName>
    <definedName name="solver_typ" localSheetId="30" hidden="1">2</definedName>
    <definedName name="solver_typ" localSheetId="29" hidden="1">1</definedName>
    <definedName name="solver_typ" localSheetId="34" hidden="1">1</definedName>
    <definedName name="solver_typ" localSheetId="33" hidden="1">2</definedName>
    <definedName name="solver_val" localSheetId="21" hidden="1">0</definedName>
    <definedName name="solver_val" localSheetId="22" hidden="1">0</definedName>
    <definedName name="solver_val" localSheetId="19" hidden="1">0</definedName>
    <definedName name="solver_val" localSheetId="28" hidden="1">0</definedName>
    <definedName name="solver_val" localSheetId="27" hidden="1">0</definedName>
    <definedName name="solver_val" localSheetId="23" hidden="1">0</definedName>
    <definedName name="solver_val" localSheetId="24" hidden="1">0</definedName>
    <definedName name="solver_val" localSheetId="31" hidden="1">0</definedName>
    <definedName name="solver_val" localSheetId="32" hidden="1">0</definedName>
    <definedName name="solver_val" localSheetId="30" hidden="1">0</definedName>
    <definedName name="solver_val" localSheetId="29" hidden="1">0</definedName>
    <definedName name="solver_val" localSheetId="34" hidden="1">0</definedName>
    <definedName name="solver_val" localSheetId="33" hidden="1">0</definedName>
    <definedName name="solver_ver" localSheetId="21" hidden="1">3</definedName>
    <definedName name="solver_ver" localSheetId="22" hidden="1">3</definedName>
    <definedName name="solver_ver" localSheetId="19" hidden="1">3</definedName>
    <definedName name="solver_ver" localSheetId="28" hidden="1">3</definedName>
    <definedName name="solver_ver" localSheetId="27" hidden="1">3</definedName>
    <definedName name="solver_ver" localSheetId="23" hidden="1">3</definedName>
    <definedName name="solver_ver" localSheetId="24" hidden="1">3</definedName>
    <definedName name="solver_ver" localSheetId="31" hidden="1">3</definedName>
    <definedName name="solver_ver" localSheetId="32" hidden="1">3</definedName>
    <definedName name="solver_ver" localSheetId="30" hidden="1">3</definedName>
    <definedName name="solver_ver" localSheetId="29" hidden="1">3</definedName>
    <definedName name="solver_ver" localSheetId="34" hidden="1">3</definedName>
    <definedName name="solver_ver" localSheetId="33" hidden="1">3</definedName>
    <definedName name="StockExpectedReturn">'8-2'!$B$2:$G$2</definedName>
    <definedName name="StudentAssignments">'7-3'!$B$22:$D$27</definedName>
    <definedName name="Time">'6-1 part 1'!$E$2:$E$16</definedName>
    <definedName name="To" localSheetId="24">'6-4 part 2'!$C$5:$C$16</definedName>
    <definedName name="To">'6-4'!$C$5:$C$16</definedName>
    <definedName name="ToBeShipped">'6-1 part 1'!$B$2:$B$16</definedName>
    <definedName name="Tost">'7-4'!$C$5:$C$16</definedName>
    <definedName name="TotalFixedCost1" localSheetId="40">'Keeping Time (2)'!$E$5</definedName>
    <definedName name="TotalFixedCost1">'Keeping Time'!$E$5</definedName>
    <definedName name="TotalFixedCost2">'1.3'!$E$5</definedName>
    <definedName name="TotalLivestock">'5-3'!$B$28:$C$28</definedName>
    <definedName name="TotalVariableCost1" localSheetId="40">'Keeping Time (2)'!$E$6</definedName>
    <definedName name="TotalVariableCost1">'Keeping Time'!$E$6</definedName>
    <definedName name="TotalVariableCost2">'1.3'!$E$6</definedName>
    <definedName name="UnitCost">'5-1'!$C$4:$D$4</definedName>
    <definedName name="unitCost3">'2-2'!$C$2:$D$2</definedName>
    <definedName name="UniteRevenue" localSheetId="40">'Keeping Time (2)'!$B$4</definedName>
    <definedName name="UniteRevenue">'Keeping Time'!$B$4</definedName>
    <definedName name="UniteRevenue1" localSheetId="40">'Keeping Time (2)'!$B$4</definedName>
    <definedName name="UniteRevenue1">'Keeping Time'!$B$4</definedName>
    <definedName name="UnitProfit">'2-1'!$B$3:$C$3</definedName>
    <definedName name="UnitProfit4">'2.4'!$C$4:$D$4</definedName>
    <definedName name="UnitProfit5">'5.17'!$C$4:$D$4</definedName>
    <definedName name="UnitRevenue" localSheetId="40">'Keeping Time (2)'!$B$4</definedName>
    <definedName name="UnitRevenue">'Keeping Time'!$B$4</definedName>
    <definedName name="UnitRevenue2">'1.3'!$B$4</definedName>
    <definedName name="UnitsProduced" localSheetId="7">'2.4'!$C$12:$D$12</definedName>
    <definedName name="UnitsProduced" localSheetId="21">'5.17'!$C$12:$D$12</definedName>
    <definedName name="UnitsProduced" localSheetId="22">'5.18'!$C$12:$D$12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43" l="1"/>
  <c r="F3" i="43" s="1"/>
  <c r="E2" i="43"/>
  <c r="F2" i="43" s="1"/>
  <c r="F4" i="42"/>
  <c r="F3" i="42"/>
  <c r="F2" i="42"/>
  <c r="F3" i="41"/>
  <c r="F4" i="41"/>
  <c r="F2" i="41"/>
  <c r="H25" i="39"/>
  <c r="H24" i="39"/>
  <c r="H20" i="39"/>
  <c r="I18" i="39"/>
  <c r="I19" i="39"/>
  <c r="I13" i="39"/>
  <c r="F13" i="39"/>
  <c r="E20" i="39"/>
  <c r="I5" i="39"/>
  <c r="I14" i="39" s="1"/>
  <c r="I6" i="39"/>
  <c r="I15" i="39" s="1"/>
  <c r="I7" i="39"/>
  <c r="I16" i="39" s="1"/>
  <c r="I8" i="39"/>
  <c r="I17" i="39" s="1"/>
  <c r="I9" i="39"/>
  <c r="I10" i="39"/>
  <c r="I4" i="39"/>
  <c r="F5" i="39"/>
  <c r="F14" i="39" s="1"/>
  <c r="F6" i="39"/>
  <c r="F15" i="39" s="1"/>
  <c r="F7" i="39"/>
  <c r="F16" i="39" s="1"/>
  <c r="F8" i="39"/>
  <c r="F17" i="39" s="1"/>
  <c r="F9" i="39"/>
  <c r="F18" i="39" s="1"/>
  <c r="F10" i="39"/>
  <c r="F19" i="39" s="1"/>
  <c r="F4" i="39"/>
  <c r="F13" i="38"/>
  <c r="D13" i="38"/>
  <c r="D11" i="38"/>
  <c r="C20" i="38"/>
  <c r="C19" i="38"/>
  <c r="D9" i="37"/>
  <c r="E9" i="37"/>
  <c r="F9" i="37"/>
  <c r="C9" i="37"/>
  <c r="G8" i="37"/>
  <c r="G7" i="37"/>
  <c r="C12" i="37"/>
  <c r="E23" i="36"/>
  <c r="G18" i="36"/>
  <c r="F18" i="36"/>
  <c r="E18" i="36"/>
  <c r="D18" i="36"/>
  <c r="C18" i="36"/>
  <c r="B18" i="36"/>
  <c r="B21" i="36"/>
  <c r="H14" i="36"/>
  <c r="D23" i="35"/>
  <c r="D24" i="35"/>
  <c r="D25" i="35"/>
  <c r="D26" i="35"/>
  <c r="D27" i="35"/>
  <c r="C23" i="35"/>
  <c r="C24" i="35"/>
  <c r="C25" i="35"/>
  <c r="C26" i="35"/>
  <c r="C27" i="35"/>
  <c r="C22" i="35"/>
  <c r="D22" i="35"/>
  <c r="B23" i="35"/>
  <c r="B24" i="35"/>
  <c r="B25" i="35"/>
  <c r="B26" i="35"/>
  <c r="B27" i="35"/>
  <c r="B22" i="35"/>
  <c r="E14" i="35"/>
  <c r="E15" i="35"/>
  <c r="E16" i="35"/>
  <c r="E17" i="35"/>
  <c r="E18" i="35"/>
  <c r="E13" i="35"/>
  <c r="K10" i="34"/>
  <c r="K14" i="34"/>
  <c r="K11" i="34"/>
  <c r="K16" i="34"/>
  <c r="K6" i="34"/>
  <c r="K7" i="34"/>
  <c r="K8" i="34"/>
  <c r="K9" i="34"/>
  <c r="K12" i="34"/>
  <c r="K13" i="34"/>
  <c r="K15" i="34"/>
  <c r="K5" i="34"/>
  <c r="P18" i="34"/>
  <c r="P20" i="34" s="1"/>
  <c r="P16" i="34"/>
  <c r="F16" i="34"/>
  <c r="F15" i="34"/>
  <c r="F14" i="34"/>
  <c r="F13" i="34"/>
  <c r="F12" i="34"/>
  <c r="P11" i="34"/>
  <c r="F11" i="34"/>
  <c r="P10" i="34"/>
  <c r="F10" i="34"/>
  <c r="P9" i="34"/>
  <c r="F9" i="34"/>
  <c r="P8" i="34"/>
  <c r="F8" i="34"/>
  <c r="P7" i="34"/>
  <c r="F7" i="34"/>
  <c r="P6" i="34"/>
  <c r="F6" i="34"/>
  <c r="P5" i="34"/>
  <c r="E19" i="34" s="1"/>
  <c r="F5" i="34"/>
  <c r="I7" i="33"/>
  <c r="I8" i="33"/>
  <c r="I9" i="33"/>
  <c r="I10" i="33"/>
  <c r="I11" i="33"/>
  <c r="I12" i="33"/>
  <c r="I13" i="33"/>
  <c r="I14" i="33"/>
  <c r="I15" i="33"/>
  <c r="I6" i="33"/>
  <c r="L5" i="32"/>
  <c r="L6" i="32"/>
  <c r="L7" i="32"/>
  <c r="L8" i="32"/>
  <c r="L9" i="32"/>
  <c r="L10" i="32"/>
  <c r="L11" i="32"/>
  <c r="L4" i="32"/>
  <c r="C18" i="32"/>
  <c r="I33" i="31"/>
  <c r="J33" i="31" s="1"/>
  <c r="I32" i="31"/>
  <c r="J32" i="31" s="1"/>
  <c r="I31" i="31"/>
  <c r="J31" i="31" s="1"/>
  <c r="I30" i="31"/>
  <c r="J30" i="31" s="1"/>
  <c r="I29" i="31"/>
  <c r="E29" i="31" s="1"/>
  <c r="I28" i="31"/>
  <c r="J28" i="31" s="1"/>
  <c r="E28" i="31"/>
  <c r="I27" i="31"/>
  <c r="J27" i="31" s="1"/>
  <c r="I26" i="31"/>
  <c r="J26" i="31" s="1"/>
  <c r="E26" i="31"/>
  <c r="I25" i="31"/>
  <c r="J25" i="31" s="1"/>
  <c r="I24" i="31"/>
  <c r="J24" i="31" s="1"/>
  <c r="I23" i="31"/>
  <c r="J23" i="31" s="1"/>
  <c r="E23" i="31"/>
  <c r="J22" i="31"/>
  <c r="I22" i="31"/>
  <c r="E22" i="31"/>
  <c r="I21" i="31"/>
  <c r="J21" i="31" s="1"/>
  <c r="J20" i="31"/>
  <c r="I20" i="31"/>
  <c r="E20" i="31" s="1"/>
  <c r="J19" i="31"/>
  <c r="I19" i="31"/>
  <c r="E19" i="31"/>
  <c r="I18" i="31"/>
  <c r="E18" i="31" s="1"/>
  <c r="I17" i="31"/>
  <c r="J17" i="31" s="1"/>
  <c r="J16" i="31"/>
  <c r="I16" i="31"/>
  <c r="E16" i="31"/>
  <c r="I15" i="31"/>
  <c r="J15" i="31" s="1"/>
  <c r="M14" i="31"/>
  <c r="J14" i="31"/>
  <c r="I14" i="31"/>
  <c r="E14" i="31"/>
  <c r="M13" i="31"/>
  <c r="I13" i="31"/>
  <c r="J13" i="31" s="1"/>
  <c r="M12" i="31"/>
  <c r="M16" i="31" s="1"/>
  <c r="I12" i="31"/>
  <c r="J12" i="31" s="1"/>
  <c r="M11" i="31"/>
  <c r="I11" i="31"/>
  <c r="J11" i="31" s="1"/>
  <c r="M10" i="31"/>
  <c r="J10" i="31"/>
  <c r="I10" i="31"/>
  <c r="E10" i="31"/>
  <c r="M9" i="31"/>
  <c r="I9" i="31"/>
  <c r="J9" i="31" s="1"/>
  <c r="M8" i="31"/>
  <c r="I8" i="31"/>
  <c r="J8" i="31" s="1"/>
  <c r="M7" i="31"/>
  <c r="I7" i="31"/>
  <c r="J7" i="31" s="1"/>
  <c r="M6" i="31"/>
  <c r="J6" i="31"/>
  <c r="I6" i="31"/>
  <c r="E6" i="31"/>
  <c r="M5" i="31"/>
  <c r="I5" i="31"/>
  <c r="J5" i="31" s="1"/>
  <c r="M4" i="31"/>
  <c r="C36" i="31" s="1"/>
  <c r="I4" i="31"/>
  <c r="J4" i="31" s="1"/>
  <c r="I16" i="30"/>
  <c r="E16" i="30" s="1"/>
  <c r="I9" i="30"/>
  <c r="I8" i="30"/>
  <c r="I7" i="30"/>
  <c r="E7" i="30"/>
  <c r="I6" i="30"/>
  <c r="E6" i="30"/>
  <c r="I5" i="30"/>
  <c r="I4" i="30"/>
  <c r="I3" i="30"/>
  <c r="I2" i="30"/>
  <c r="J24" i="39" l="1"/>
  <c r="J25" i="39"/>
  <c r="E26" i="39"/>
  <c r="B23" i="36"/>
  <c r="B25" i="36" s="1"/>
  <c r="D28" i="35"/>
  <c r="D42" i="35" s="1"/>
  <c r="C40" i="35"/>
  <c r="B38" i="35"/>
  <c r="B28" i="35"/>
  <c r="B42" i="35" s="1"/>
  <c r="C28" i="35"/>
  <c r="C36" i="35" s="1"/>
  <c r="G25" i="35"/>
  <c r="B39" i="35"/>
  <c r="D39" i="35"/>
  <c r="C39" i="35"/>
  <c r="B40" i="35"/>
  <c r="D38" i="35"/>
  <c r="C38" i="35"/>
  <c r="D40" i="35"/>
  <c r="C25" i="33"/>
  <c r="I17" i="33"/>
  <c r="C35" i="31"/>
  <c r="J18" i="31"/>
  <c r="E24" i="31"/>
  <c r="J29" i="31"/>
  <c r="E30" i="31"/>
  <c r="E7" i="31"/>
  <c r="E11" i="31"/>
  <c r="E15" i="31"/>
  <c r="E25" i="31"/>
  <c r="E31" i="31"/>
  <c r="E4" i="31"/>
  <c r="E8" i="31"/>
  <c r="E12" i="31"/>
  <c r="E21" i="31"/>
  <c r="E32" i="31"/>
  <c r="E27" i="31"/>
  <c r="O16" i="31"/>
  <c r="E5" i="31"/>
  <c r="E9" i="31"/>
  <c r="E13" i="31"/>
  <c r="E17" i="31"/>
  <c r="E33" i="31"/>
  <c r="E8" i="30"/>
  <c r="E9" i="30"/>
  <c r="E2" i="30"/>
  <c r="C18" i="30" s="1"/>
  <c r="E10" i="30"/>
  <c r="E11" i="30"/>
  <c r="E3" i="30"/>
  <c r="E12" i="30"/>
  <c r="E13" i="30"/>
  <c r="E4" i="30"/>
  <c r="E14" i="30"/>
  <c r="E15" i="30"/>
  <c r="E5" i="30"/>
  <c r="D36" i="35" l="1"/>
  <c r="B36" i="35"/>
  <c r="C42" i="35"/>
  <c r="F6" i="29"/>
  <c r="F7" i="29"/>
  <c r="F8" i="29"/>
  <c r="F9" i="29"/>
  <c r="F10" i="29"/>
  <c r="F11" i="29"/>
  <c r="F12" i="29"/>
  <c r="F13" i="29"/>
  <c r="F14" i="29"/>
  <c r="F15" i="29"/>
  <c r="F16" i="29"/>
  <c r="F5" i="29"/>
  <c r="O16" i="29"/>
  <c r="O11" i="29"/>
  <c r="O10" i="29"/>
  <c r="O9" i="29"/>
  <c r="O8" i="29"/>
  <c r="O7" i="29"/>
  <c r="O6" i="29"/>
  <c r="O5" i="29"/>
  <c r="I6" i="28"/>
  <c r="I7" i="28"/>
  <c r="I8" i="28"/>
  <c r="I9" i="28"/>
  <c r="I10" i="28"/>
  <c r="I11" i="28"/>
  <c r="I5" i="28"/>
  <c r="D18" i="28" s="1"/>
  <c r="G12" i="26"/>
  <c r="E9" i="26"/>
  <c r="E8" i="26"/>
  <c r="E7" i="26"/>
  <c r="G12" i="25"/>
  <c r="E9" i="25"/>
  <c r="E8" i="25"/>
  <c r="E7" i="25"/>
  <c r="D40" i="23"/>
  <c r="D39" i="23"/>
  <c r="D36" i="23"/>
  <c r="D34" i="23"/>
  <c r="D43" i="23" s="1"/>
  <c r="C28" i="23"/>
  <c r="D9" i="23" s="1"/>
  <c r="B28" i="23"/>
  <c r="D16" i="23" s="1"/>
  <c r="C41" i="23" s="1"/>
  <c r="D24" i="23"/>
  <c r="C24" i="23"/>
  <c r="B24" i="23"/>
  <c r="D23" i="23"/>
  <c r="C45" i="23" s="1"/>
  <c r="E45" i="23" s="1"/>
  <c r="C21" i="23"/>
  <c r="D21" i="23" s="1"/>
  <c r="C44" i="23" s="1"/>
  <c r="E44" i="23" s="1"/>
  <c r="B21" i="23"/>
  <c r="E7" i="23"/>
  <c r="B41" i="23" s="1"/>
  <c r="E41" i="23" s="1"/>
  <c r="E5" i="23"/>
  <c r="B43" i="23" s="1"/>
  <c r="E4" i="23"/>
  <c r="B40" i="23" s="1"/>
  <c r="E3" i="23"/>
  <c r="B39" i="23" s="1"/>
  <c r="C5" i="20"/>
  <c r="D5" i="20"/>
  <c r="E5" i="20"/>
  <c r="F5" i="20"/>
  <c r="G5" i="20"/>
  <c r="H17" i="20"/>
  <c r="H16" i="20"/>
  <c r="H15" i="20"/>
  <c r="H14" i="20"/>
  <c r="H13" i="20"/>
  <c r="H12" i="20"/>
  <c r="H11" i="20"/>
  <c r="H10" i="20"/>
  <c r="H9" i="20"/>
  <c r="H8" i="20"/>
  <c r="G13" i="17"/>
  <c r="E10" i="17"/>
  <c r="D10" i="17"/>
  <c r="C10" i="17"/>
  <c r="F9" i="17"/>
  <c r="F8" i="17"/>
  <c r="F15" i="16"/>
  <c r="D12" i="16"/>
  <c r="C12" i="16"/>
  <c r="E12" i="16" s="1"/>
  <c r="H12" i="16" s="1"/>
  <c r="E11" i="16"/>
  <c r="H11" i="16" s="1"/>
  <c r="D11" i="16"/>
  <c r="C11" i="16"/>
  <c r="D10" i="16"/>
  <c r="C10" i="16"/>
  <c r="E10" i="16" s="1"/>
  <c r="H10" i="16" s="1"/>
  <c r="P9" i="16"/>
  <c r="O9" i="16"/>
  <c r="N9" i="16"/>
  <c r="M9" i="16"/>
  <c r="P8" i="16"/>
  <c r="O8" i="16"/>
  <c r="N8" i="16"/>
  <c r="M8" i="16"/>
  <c r="P7" i="16"/>
  <c r="O7" i="16"/>
  <c r="N7" i="16"/>
  <c r="M7" i="16"/>
  <c r="P6" i="16"/>
  <c r="O6" i="16"/>
  <c r="N6" i="16"/>
  <c r="M6" i="16"/>
  <c r="P5" i="16"/>
  <c r="O5" i="16"/>
  <c r="N5" i="16"/>
  <c r="M5" i="16"/>
  <c r="P4" i="16"/>
  <c r="O4" i="16"/>
  <c r="N4" i="16"/>
  <c r="M4" i="16"/>
  <c r="P14" i="15"/>
  <c r="O14" i="15"/>
  <c r="N14" i="15"/>
  <c r="M14" i="15"/>
  <c r="E14" i="15"/>
  <c r="P13" i="15"/>
  <c r="O13" i="15"/>
  <c r="N13" i="15"/>
  <c r="M13" i="15"/>
  <c r="P12" i="15"/>
  <c r="O12" i="15"/>
  <c r="N12" i="15"/>
  <c r="M12" i="15"/>
  <c r="P11" i="15"/>
  <c r="O11" i="15"/>
  <c r="N11" i="15"/>
  <c r="M11" i="15"/>
  <c r="C11" i="15"/>
  <c r="B11" i="15"/>
  <c r="D11" i="15" s="1"/>
  <c r="P10" i="15"/>
  <c r="O10" i="15"/>
  <c r="N10" i="15"/>
  <c r="M10" i="15"/>
  <c r="C10" i="15"/>
  <c r="B10" i="15"/>
  <c r="D10" i="15" s="1"/>
  <c r="P9" i="15"/>
  <c r="O9" i="15"/>
  <c r="N9" i="15"/>
  <c r="M9" i="15"/>
  <c r="C9" i="15"/>
  <c r="B9" i="15"/>
  <c r="D9" i="15" s="1"/>
  <c r="P8" i="15"/>
  <c r="O8" i="15"/>
  <c r="N8" i="15"/>
  <c r="M8" i="15"/>
  <c r="C9" i="23" l="1"/>
  <c r="D15" i="23"/>
  <c r="D17" i="23"/>
  <c r="C43" i="23" s="1"/>
  <c r="E43" i="23" s="1"/>
  <c r="E47" i="23" s="1"/>
  <c r="J21" i="20"/>
  <c r="J18" i="14"/>
  <c r="J21" i="14" s="1"/>
  <c r="F15" i="14"/>
  <c r="E15" i="14"/>
  <c r="D15" i="14"/>
  <c r="C15" i="14"/>
  <c r="J14" i="14"/>
  <c r="F13" i="14"/>
  <c r="E13" i="14"/>
  <c r="D13" i="14"/>
  <c r="C13" i="14"/>
  <c r="I12" i="14"/>
  <c r="G12" i="14"/>
  <c r="I11" i="14"/>
  <c r="G11" i="14"/>
  <c r="I10" i="14"/>
  <c r="G10" i="14"/>
  <c r="C26" i="13"/>
  <c r="P24" i="13"/>
  <c r="L24" i="13"/>
  <c r="I24" i="13"/>
  <c r="H24" i="13"/>
  <c r="F24" i="13"/>
  <c r="E24" i="13"/>
  <c r="D24" i="13"/>
  <c r="C24" i="13"/>
  <c r="N17" i="13"/>
  <c r="Q17" i="13" s="1"/>
  <c r="R17" i="13" s="1"/>
  <c r="N16" i="13"/>
  <c r="Q16" i="13" s="1"/>
  <c r="R16" i="13" s="1"/>
  <c r="N15" i="13"/>
  <c r="Q15" i="13" s="1"/>
  <c r="R15" i="13" s="1"/>
  <c r="N14" i="13"/>
  <c r="Q14" i="13" s="1"/>
  <c r="R14" i="13" s="1"/>
  <c r="N13" i="13"/>
  <c r="Q13" i="13" s="1"/>
  <c r="R13" i="13" s="1"/>
  <c r="P12" i="13"/>
  <c r="N12" i="13"/>
  <c r="N11" i="13"/>
  <c r="Q11" i="13" s="1"/>
  <c r="R11" i="13" s="1"/>
  <c r="M6" i="13"/>
  <c r="M7" i="13" s="1"/>
  <c r="L6" i="13"/>
  <c r="L7" i="13" s="1"/>
  <c r="K6" i="13"/>
  <c r="K7" i="13" s="1"/>
  <c r="J6" i="13"/>
  <c r="J7" i="13" s="1"/>
  <c r="I6" i="13"/>
  <c r="H6" i="13"/>
  <c r="G6" i="13"/>
  <c r="F6" i="13"/>
  <c r="E6" i="13"/>
  <c r="D6" i="13"/>
  <c r="C6" i="13"/>
  <c r="H5" i="13"/>
  <c r="M4" i="13"/>
  <c r="L4" i="13"/>
  <c r="K4" i="13"/>
  <c r="J4" i="13"/>
  <c r="I4" i="13"/>
  <c r="H4" i="13"/>
  <c r="G4" i="13"/>
  <c r="F4" i="13"/>
  <c r="E4" i="13"/>
  <c r="D4" i="13"/>
  <c r="C4" i="13"/>
  <c r="C7" i="13" l="1"/>
  <c r="E7" i="13"/>
  <c r="G7" i="13"/>
  <c r="H7" i="13"/>
  <c r="D7" i="13"/>
  <c r="F7" i="13"/>
  <c r="I7" i="13"/>
  <c r="Q12" i="13"/>
  <c r="R12" i="13" s="1"/>
  <c r="C40" i="23"/>
  <c r="E40" i="23" s="1"/>
  <c r="C39" i="23"/>
  <c r="E39" i="23" s="1"/>
  <c r="P22" i="13"/>
  <c r="P25" i="13" s="1"/>
  <c r="R18" i="13"/>
  <c r="E36" i="12"/>
  <c r="D36" i="12"/>
  <c r="C36" i="12"/>
  <c r="B36" i="12"/>
  <c r="F35" i="12"/>
  <c r="D35" i="12"/>
  <c r="C35" i="12"/>
  <c r="F34" i="12"/>
  <c r="E34" i="12"/>
  <c r="C34" i="12"/>
  <c r="F28" i="12"/>
  <c r="E28" i="12"/>
  <c r="D28" i="12"/>
  <c r="C28" i="12"/>
  <c r="B28" i="12"/>
  <c r="G27" i="12"/>
  <c r="G26" i="12"/>
  <c r="G25" i="12"/>
  <c r="F21" i="12"/>
  <c r="F36" i="12" s="1"/>
  <c r="D21" i="12"/>
  <c r="C21" i="12"/>
  <c r="B21" i="12"/>
  <c r="F20" i="12"/>
  <c r="D20" i="12"/>
  <c r="B20" i="12"/>
  <c r="B35" i="12" s="1"/>
  <c r="E19" i="12"/>
  <c r="D19" i="12"/>
  <c r="D34" i="12" s="1"/>
  <c r="C19" i="12"/>
  <c r="F17" i="12"/>
  <c r="E17" i="12"/>
  <c r="E21" i="12" s="1"/>
  <c r="D17" i="12"/>
  <c r="C17" i="12"/>
  <c r="B17" i="12"/>
  <c r="F16" i="12"/>
  <c r="E16" i="12"/>
  <c r="E20" i="12" s="1"/>
  <c r="E35" i="12" s="1"/>
  <c r="D16" i="12"/>
  <c r="C16" i="12"/>
  <c r="C20" i="12" s="1"/>
  <c r="B16" i="12"/>
  <c r="F15" i="12"/>
  <c r="F19" i="12" s="1"/>
  <c r="E15" i="12"/>
  <c r="D15" i="12"/>
  <c r="C15" i="12"/>
  <c r="B15" i="12"/>
  <c r="B19" i="12" s="1"/>
  <c r="D15" i="11"/>
  <c r="C15" i="11"/>
  <c r="F12" i="11"/>
  <c r="G12" i="10"/>
  <c r="E9" i="10"/>
  <c r="E8" i="10"/>
  <c r="E7" i="10"/>
  <c r="G78" i="9"/>
  <c r="G77" i="9"/>
  <c r="G76" i="9"/>
  <c r="G75" i="9"/>
  <c r="G74" i="9"/>
  <c r="G73" i="9"/>
  <c r="G72" i="9"/>
  <c r="F69" i="9"/>
  <c r="E69" i="9"/>
  <c r="D69" i="9"/>
  <c r="C69" i="9"/>
  <c r="B69" i="9"/>
  <c r="I84" i="9" s="1"/>
  <c r="I48" i="9"/>
  <c r="I47" i="9"/>
  <c r="I46" i="9"/>
  <c r="I45" i="9"/>
  <c r="I44" i="9"/>
  <c r="I43" i="9"/>
  <c r="I42" i="9"/>
  <c r="F39" i="9"/>
  <c r="E39" i="9"/>
  <c r="D39" i="9"/>
  <c r="C39" i="9"/>
  <c r="F37" i="9"/>
  <c r="E37" i="9"/>
  <c r="D37" i="9"/>
  <c r="C37" i="9"/>
  <c r="B37" i="9"/>
  <c r="H34" i="9"/>
  <c r="H39" i="9" s="1"/>
  <c r="G34" i="9"/>
  <c r="G39" i="9" s="1"/>
  <c r="F34" i="9"/>
  <c r="E34" i="9"/>
  <c r="D34" i="9"/>
  <c r="C34" i="9"/>
  <c r="B34" i="9"/>
  <c r="B39" i="9" s="1"/>
  <c r="E11" i="9"/>
  <c r="C11" i="9"/>
  <c r="D11" i="9" s="1"/>
  <c r="F11" i="9" s="1"/>
  <c r="C10" i="9"/>
  <c r="E10" i="9" s="1"/>
  <c r="E9" i="9"/>
  <c r="G9" i="9" s="1"/>
  <c r="D9" i="9"/>
  <c r="F9" i="9" s="1"/>
  <c r="C9" i="9"/>
  <c r="C8" i="9"/>
  <c r="E8" i="9" s="1"/>
  <c r="C7" i="9"/>
  <c r="D7" i="9" s="1"/>
  <c r="F7" i="9" s="1"/>
  <c r="C6" i="9"/>
  <c r="D6" i="9" s="1"/>
  <c r="F6" i="9" s="1"/>
  <c r="C5" i="9"/>
  <c r="E5" i="9" s="1"/>
  <c r="B34" i="12" l="1"/>
  <c r="I30" i="12"/>
  <c r="K54" i="9"/>
  <c r="G10" i="9"/>
  <c r="G5" i="9"/>
  <c r="G11" i="9"/>
  <c r="E6" i="9"/>
  <c r="G6" i="9" s="1"/>
  <c r="E7" i="9"/>
  <c r="G7" i="9" s="1"/>
  <c r="D8" i="9"/>
  <c r="F8" i="9" s="1"/>
  <c r="G8" i="9" s="1"/>
  <c r="D5" i="9"/>
  <c r="F5" i="9" s="1"/>
  <c r="D10" i="9"/>
  <c r="F10" i="9" s="1"/>
  <c r="E15" i="8"/>
  <c r="C15" i="8"/>
  <c r="G10" i="8"/>
  <c r="E10" i="8"/>
  <c r="E7" i="8"/>
  <c r="E6" i="8"/>
  <c r="E5" i="8"/>
  <c r="C13" i="7"/>
  <c r="N11" i="7"/>
  <c r="F11" i="7"/>
  <c r="L7" i="7"/>
  <c r="D7" i="7"/>
  <c r="L6" i="7"/>
  <c r="F6" i="7"/>
  <c r="D6" i="7"/>
  <c r="K11" i="6"/>
  <c r="K10" i="6"/>
  <c r="M9" i="6"/>
  <c r="L9" i="6"/>
  <c r="K9" i="6"/>
  <c r="K8" i="6"/>
  <c r="L7" i="6"/>
  <c r="K7" i="6"/>
  <c r="M7" i="6" s="1"/>
  <c r="K6" i="6"/>
  <c r="E6" i="6"/>
  <c r="K5" i="6"/>
  <c r="E5" i="6"/>
  <c r="L6" i="6" s="1"/>
  <c r="M6" i="6" s="1"/>
  <c r="E4" i="6"/>
  <c r="E7" i="6" s="1"/>
  <c r="E6" i="5"/>
  <c r="E5" i="5"/>
  <c r="E4" i="5"/>
  <c r="E7" i="5" s="1"/>
  <c r="L8" i="6" l="1"/>
  <c r="M8" i="6" s="1"/>
  <c r="L10" i="6"/>
  <c r="M10" i="6" s="1"/>
  <c r="L11" i="6"/>
  <c r="M11" i="6" s="1"/>
  <c r="L5" i="6"/>
  <c r="M5" i="6" s="1"/>
  <c r="G14" i="19"/>
  <c r="E10" i="19"/>
  <c r="E9" i="19"/>
  <c r="E8" i="19"/>
  <c r="B5" i="3" l="1"/>
  <c r="B6" i="3"/>
  <c r="E6" i="3"/>
  <c r="E5" i="3"/>
  <c r="E4" i="3"/>
  <c r="L14" i="2"/>
  <c r="K14" i="2"/>
  <c r="M14" i="2" s="1"/>
  <c r="L13" i="2"/>
  <c r="K13" i="2"/>
  <c r="M13" i="2" s="1"/>
  <c r="L12" i="2"/>
  <c r="K12" i="2"/>
  <c r="M12" i="2" s="1"/>
  <c r="L11" i="2"/>
  <c r="K11" i="2"/>
  <c r="M11" i="2" s="1"/>
  <c r="L10" i="2"/>
  <c r="K10" i="2"/>
  <c r="M10" i="2" s="1"/>
  <c r="L9" i="2"/>
  <c r="K9" i="2"/>
  <c r="L8" i="2"/>
  <c r="K8" i="2"/>
  <c r="L7" i="2"/>
  <c r="K7" i="2"/>
  <c r="M7" i="2" s="1"/>
  <c r="L6" i="2"/>
  <c r="K6" i="2"/>
  <c r="M6" i="2" s="1"/>
  <c r="E6" i="2"/>
  <c r="L5" i="2"/>
  <c r="K5" i="2"/>
  <c r="M5" i="2" s="1"/>
  <c r="E5" i="2"/>
  <c r="L4" i="2"/>
  <c r="K4" i="2"/>
  <c r="M4" i="2" s="1"/>
  <c r="E4" i="2"/>
  <c r="E7" i="3" l="1"/>
  <c r="M8" i="2"/>
  <c r="M9" i="2"/>
  <c r="E7" i="2"/>
</calcChain>
</file>

<file path=xl/sharedStrings.xml><?xml version="1.0" encoding="utf-8"?>
<sst xmlns="http://schemas.openxmlformats.org/spreadsheetml/2006/main" count="1981" uniqueCount="742">
  <si>
    <t>Keeping time Break Even Analysis</t>
  </si>
  <si>
    <t>Data</t>
  </si>
  <si>
    <t>Results</t>
  </si>
  <si>
    <t>Quantity</t>
  </si>
  <si>
    <t>TR</t>
  </si>
  <si>
    <t>TC</t>
  </si>
  <si>
    <t>Profit</t>
  </si>
  <si>
    <t>Unit Revenue</t>
  </si>
  <si>
    <t>Total Revenue</t>
  </si>
  <si>
    <t>Fixed Cost</t>
  </si>
  <si>
    <t>Total Fixed Cost</t>
  </si>
  <si>
    <t>Marignal Cost</t>
  </si>
  <si>
    <t>Total Variable Cost</t>
  </si>
  <si>
    <t>Sales Forecast</t>
  </si>
  <si>
    <t>Production Quantity</t>
  </si>
  <si>
    <t>Break Even Point</t>
  </si>
  <si>
    <t>Baseline</t>
  </si>
  <si>
    <t>F: 750,000</t>
  </si>
  <si>
    <t>G: 3667</t>
  </si>
  <si>
    <t>H: Yes</t>
  </si>
  <si>
    <t>I: 2833</t>
  </si>
  <si>
    <t>J: Still profitable</t>
  </si>
  <si>
    <t>B: Quanitity sold of 100 for break even</t>
  </si>
  <si>
    <t>Case 1-1</t>
  </si>
  <si>
    <t>Textbook 1.3</t>
  </si>
  <si>
    <t>a. 30,000,000</t>
  </si>
  <si>
    <t>b. 1667</t>
  </si>
  <si>
    <t>c. 1333</t>
  </si>
  <si>
    <t>Textbook 1.4</t>
  </si>
  <si>
    <t>a</t>
  </si>
  <si>
    <t>c. Max P = 500q - 10,000,000 S.t. Sales forecast.</t>
  </si>
  <si>
    <t>d: 25,000 q is break even. 2 million profit at 30,000 q.</t>
  </si>
  <si>
    <t>: 20,000 q would results in a 2 million loss, they should not produce the watch unless they think they can sell 25,000</t>
  </si>
  <si>
    <t>b. 0 = 1700q - 1300q -10,000,000.      0 = 400q - 10,000,000. Breakeven equals 25,000.</t>
  </si>
  <si>
    <t>Case 2-1</t>
  </si>
  <si>
    <t>A. 3,800 Family thrillseekers and 2,400 classy cruisers should be produced to produce maximum profit of $26,640,000</t>
  </si>
  <si>
    <t>B. The campaign should not be undertaken, we were contrained by the demand for classy cruisers to achieve maximum profit.</t>
  </si>
  <si>
    <t>C.  With the addition of overtime labor, 3250 FT and 3,500 CC should be assembled for a profit of $30,600,000</t>
  </si>
  <si>
    <t>D. The additional overtime hours resulted in maximal extra profit of $3,960,000, so the max amount of money to pay for the overtime should be less than or equal to that number.</t>
  </si>
  <si>
    <t>E. To maximize profit with advertizing and overtime hours, 3000 FT and 4000 CC should be assembled to achieve profit of $32,400,000.</t>
  </si>
  <si>
    <t>F. In part a we achieved profit of 26 million, and in part e we achieved profit of 32 million, since overtime and advertising costs 2.1 million, the solution in part e is a wise decisions because it will increase profit.</t>
  </si>
  <si>
    <t>G. Given the new lower profit for the FT, 1875 should be produced and 3500 CC should be produced for a overall profit of $24,150,000.</t>
  </si>
  <si>
    <t>H. Given the increase in labor hours for the FT, 1500 should be produced and 3500 CC should be produced for $24,300,000 total profit.</t>
  </si>
  <si>
    <t>I. If we produced the max CC cars to try to take market share in the luxury part of the market, we should assemble 1875 FT and we will get 25,650,000 profit overall. This is 990,000 less than the solution in part A so within the 2 million boundary set by the board.</t>
  </si>
  <si>
    <t>J. Given the new contrainst on the family thrillseeker, the demand for the classy cruiser becomes a binding constraint and to maximize profit both advetizing and overtime hours should be utilized to product 2120 FT and 4200 CC for total profit of $26,516,000.</t>
  </si>
  <si>
    <t>Case 2-2</t>
  </si>
  <si>
    <t>a. She should purchase 13.57 lbs of potatoes, 11.31lbs of green beans to achieve total cost of $16.73</t>
  </si>
  <si>
    <t>b. She should purchase 10.27 lbs of potatoes, 12.13lbs of green beans to achieve a total cost of $16.24 when taste is less of a factor.</t>
  </si>
  <si>
    <t>c. With a lower iron requirement she should purchase 15.78 lbs of potatoes, 8lbs of green beans for a total cost of $14.31.</t>
  </si>
  <si>
    <t>d. With the lower requirement and a lower cost of green beans, she should buy 12.53lbs of potatoes and 10.44lbs of green beans for a total cost of $10.23.</t>
  </si>
  <si>
    <t>e. With lima beans, she should buy 19.29lbs of potatoes and 3.559lbs of lima beans for a total cost of $9.85.</t>
  </si>
  <si>
    <t>f. Edson will not be happy with the solution in part e because lima beans taste significantly different than green beans, there are also way to many potatoes compared to the usual ratio.</t>
  </si>
  <si>
    <t>g. With the updaste nutrion requirements she should buy 12.545lbs of potatoes and 9.455lbs of green beans for a total cost of $10.69.</t>
  </si>
  <si>
    <t>Hw 2.4</t>
  </si>
  <si>
    <t>a. With one additional hour available for plant 2, 1.67 doors and 6.5 windows should be produced for $3750 total profit. But we can't have fractional doors and windows, so 2 and 6 for $3600 total profit is still optimal.</t>
  </si>
  <si>
    <t>b. With two additional hours available for plant two, the optimal amount becomes 1 door and 7 windows for profit of $3,800.</t>
  </si>
  <si>
    <t>c. Three additional hours does not change the optimal amount from part b, 1 door and 7 windows is still best.</t>
  </si>
  <si>
    <t>d. Each additional 2 hours provides an additional $200 profit according to the numbers that we have plugged in so far.</t>
  </si>
  <si>
    <t>Hw 2.7</t>
  </si>
  <si>
    <t>A. Objective function: Maximize Z = X1 + 2*X2. Functional Constraints: x1+x2 &lt;= 5, x1 + 3x2 &lt;= 9. Both X values cannot be negative</t>
  </si>
  <si>
    <t>C. Yes 3,1 is a feasible solution, all constraints satisfied.</t>
  </si>
  <si>
    <t>D. No 1,3 is not a feasible solution, constraints violated.</t>
  </si>
  <si>
    <t>E. 3,2 is the optimal solution with 7 being the value of Z.</t>
  </si>
  <si>
    <t>Case 2-3</t>
  </si>
  <si>
    <t>A. For english speakers it is 6, 12, 5, 1, 2, 4, 0 for a total cost of: $1842. And for spanish speakers it is: 2, 3, 2, 2, 1 for a total cost of $618.</t>
  </si>
  <si>
    <t>D. With the additional constraint of only 1 worker for one of the shifts the new numbers are: 6, 13, 6, 0, 1, 4, 1 with a cost of: $1,902.00</t>
  </si>
  <si>
    <t>E. If all the operators were bilingual here are the optimal numbers for each shift: 7, 15, 7, 1, 2,	5, 0 for a total labor cost of: $2,268.00</t>
  </si>
  <si>
    <t>F. Same answer as part E.</t>
  </si>
  <si>
    <t>H. Lenny should explore potentially breaking up the shifts differently, or finding part time workers that can speak spanish to try and lower costs further.</t>
  </si>
  <si>
    <t>G. Their wages can be increased by 8.5% before operating costs increase.</t>
  </si>
  <si>
    <t>Case 3-1</t>
  </si>
  <si>
    <t>Option 1: All by rail, total cost is $2816 thousand.</t>
  </si>
  <si>
    <t>Option 2: All by sea when able: $2771 thousand.</t>
  </si>
  <si>
    <t>Option 3: Blend of both, $2729 thousand.</t>
  </si>
  <si>
    <t>The margins in this problem are slim, if the cost of shippping by rail increases then everything should be shipped by ship, and if shipping costs increase slightly then rail would be a more viable substitute.</t>
  </si>
  <si>
    <t>B. 2,2 is feasible, 3,3 is feasible, 2,4 is feasible and optimal, 4,2 is feasible, but 3,4 is not feasible.</t>
  </si>
  <si>
    <t>C. 2,4 is optimal for profit of$160.</t>
  </si>
  <si>
    <t>D. Profit = $20 * Activity1 + $30 Activity 2      S.t Resource 1 &lt;= 10, Resource 2 &lt;= 20, Resource 3 &lt;= 20.</t>
  </si>
  <si>
    <t>E.</t>
  </si>
  <si>
    <t>Hw 3-3</t>
  </si>
  <si>
    <t>B. 7,7 is not feasible, 7,8 and 8,7 is also not feasible. 8,8 and both combinations of 9,8 are feasible with 8,8 being the most optimal at $880 cost.</t>
  </si>
  <si>
    <t>C.6,10 is the optimal solution for a cost of $860.</t>
  </si>
  <si>
    <t>D. Cost = QA1 * 60 + QA2 * $50      S.t B1 &gt;= 60, B2 &gt;= 30, B3 &gt;= 126.</t>
  </si>
  <si>
    <t>HW 3-9</t>
  </si>
  <si>
    <t>HW 3-16</t>
  </si>
  <si>
    <t>A. This problem fits into the category of transportation problem.</t>
  </si>
  <si>
    <t>B. Factory 1 should ship 200 to customer 2 and 200 to customer 3. Factory 2 should ship 300 to customer 1 and 200 to customer 3. This is the optimal solution for a cost of $540,000.</t>
  </si>
  <si>
    <t>C. Cost = 600 * QtyF1C1 + 800 * QtyF1C2 + 700 * QtyF1C3 + 400 * QtyF2C1 + 900 * QtyF2C2 + 600 * QtyF2C3     S.t F1 total output &lt;= 400, F2 total output &lt;= 500.</t>
  </si>
  <si>
    <t>Order size of Customers 1-3 respectively are 300,200,400.</t>
  </si>
  <si>
    <t>Case 3-3</t>
  </si>
  <si>
    <t>E. With the sewing difficulties with the wool blazer, TrendLines should produce 4200 Wool slacks, 4000 Cashmere Sweaters, 7,000 Silk Blouses, 15,000 Silk Camisoles, 10,066 tailored skirts, 3000 wool blazers, 0 velvet pants, 0 cotton sweaters, 60000 cotton miniskirts, 6000 velvet shirts and 6578 button down blouses.</t>
  </si>
  <si>
    <t>F. With the increase in acetate, TrendLines should produce 4200 Wool slacks, 4000 Cashmere Sweaters, 7,000 Silk Blouses, 15,000 Silk Camisoles, 14,733 tailored skirts, 5000 wool blazers, 0 velvet pants, 0 cotton sweaters, 60000 cotton miniskirts, 6000 velvet shirts and 355 button down blouses.</t>
  </si>
  <si>
    <t>G. With the unlimited demand at 60% of the price, trendlines should produce 4200 wool slacks, 36000 silk camisoles, 2800 Tailored Skirts, 10266 wool blazers, 60000 cotton miniskirts, 13333 velvet shirts and 16266 blouses. This will get them a total profit of 5.1 million dollars.</t>
  </si>
  <si>
    <t>Case 3-4</t>
  </si>
  <si>
    <t>b. $12880 will be the bid it submits</t>
  </si>
  <si>
    <t>c. New bid is: $13,095</t>
  </si>
  <si>
    <t>d. New bid is: $13,311.25</t>
  </si>
  <si>
    <t>e. With the update cost for 18 to 25 the new bid is $13828</t>
  </si>
  <si>
    <t>f. With Rob cracking down, the new cost is 12,475 and the new bid will be $14,346.25.</t>
  </si>
  <si>
    <t>Case 5-1</t>
  </si>
  <si>
    <t>d. The sensitivity report gives an answer for part A by explaining how much cost will increase using shadow price if the constraint is raised within a certain range. For each 0.01 increase for stain remover cost will increase by 1.33 million, and 0.33 million for liquid detergent.</t>
  </si>
  <si>
    <t>The allowable range for the constraint on stain remover is ~2%-9%. The allowable range for the constaint on liquid detergent is is 6-30%. The allowable range for powder detergent is -infinity-8%.</t>
  </si>
  <si>
    <t>e. If we increase each constraint by 1%, we can increase them all by 2% before the shadow price is not longer valid using the 100% test.</t>
  </si>
  <si>
    <t>Profit &amp; Gambit Co. Advertising-Mix Problem</t>
  </si>
  <si>
    <t>Television</t>
  </si>
  <si>
    <t>Print Media</t>
  </si>
  <si>
    <t>Range Name</t>
  </si>
  <si>
    <t>Cells</t>
  </si>
  <si>
    <t>Unit Cost ($millions)</t>
  </si>
  <si>
    <t>AdvertisingUnits</t>
  </si>
  <si>
    <t>C14:D14</t>
  </si>
  <si>
    <t>IncreasedSales</t>
  </si>
  <si>
    <t>E8:E10</t>
  </si>
  <si>
    <t>Increased</t>
  </si>
  <si>
    <t>Minimum</t>
  </si>
  <si>
    <t>IncreasedSalesPerUnitAdvertising</t>
  </si>
  <si>
    <t>C8:D10</t>
  </si>
  <si>
    <t>Increase in Sales per Unit of Advertising</t>
  </si>
  <si>
    <t>Sales</t>
  </si>
  <si>
    <t>Increase</t>
  </si>
  <si>
    <t>MinimumIncrease</t>
  </si>
  <si>
    <t>G8:G10</t>
  </si>
  <si>
    <t>Stain Remover</t>
  </si>
  <si>
    <t>&gt;=</t>
  </si>
  <si>
    <t>TotalCost</t>
  </si>
  <si>
    <t>G14</t>
  </si>
  <si>
    <t>Liquid Detergent</t>
  </si>
  <si>
    <t>UnitCost</t>
  </si>
  <si>
    <t>C4:D4</t>
  </si>
  <si>
    <t>Powder Detergent</t>
  </si>
  <si>
    <t>Total Cost</t>
  </si>
  <si>
    <t>($millions)</t>
  </si>
  <si>
    <t>Advertising Units</t>
  </si>
  <si>
    <t>Q</t>
  </si>
  <si>
    <t>Case 2-1 Auto Assembly</t>
  </si>
  <si>
    <t>Family</t>
  </si>
  <si>
    <t>Classy</t>
  </si>
  <si>
    <t>Thrillseekers</t>
  </si>
  <si>
    <t>Cruisers</t>
  </si>
  <si>
    <t>Resources</t>
  </si>
  <si>
    <t>Resource Requirements</t>
  </si>
  <si>
    <t>Used</t>
  </si>
  <si>
    <t>Available</t>
  </si>
  <si>
    <t>Labor Hours</t>
  </si>
  <si>
    <t>&lt;=</t>
  </si>
  <si>
    <t>Doors</t>
  </si>
  <si>
    <t>FT</t>
  </si>
  <si>
    <t>CC</t>
  </si>
  <si>
    <t>Total Profit</t>
  </si>
  <si>
    <t>Production</t>
  </si>
  <si>
    <t>Demand</t>
  </si>
  <si>
    <t>Family Thrillseeker: $3600 profit per car sold, requiring 6 labor hours and 4 doors</t>
  </si>
  <si>
    <t>Classy Cruiser: $5,400 profit per car sold, requiring 10.5 labor hours and 2 doors</t>
  </si>
  <si>
    <t>20,000 limit on doors, 3,500 demand limit for cruiser, max of 48,000 labor hours for the plant</t>
  </si>
  <si>
    <t>Math Model:</t>
  </si>
  <si>
    <t>profit = 3600q(ft) + 5400q (cc)</t>
  </si>
  <si>
    <t xml:space="preserve">s.t: </t>
  </si>
  <si>
    <t>6q(ft)+10.5q(cc) &lt;= 48,000</t>
  </si>
  <si>
    <t>4q(ft)+2q(cc) &lt;= 20,000</t>
  </si>
  <si>
    <t>q(cc) &lt;= 3,500</t>
  </si>
  <si>
    <t>Answers</t>
  </si>
  <si>
    <t>J calculations: Without ad or overtime: 23.1 mil, with ad 24.1 mil (minus 500k for ad spend), 28.6 mil for ad + overtime (minus 2.1 mil for cost)</t>
  </si>
  <si>
    <t>Potatoes (lb)</t>
  </si>
  <si>
    <t>Green Beans (lb)</t>
  </si>
  <si>
    <t>Unit Cost</t>
  </si>
  <si>
    <t>Nutritional Data</t>
  </si>
  <si>
    <t>Total Nutrition</t>
  </si>
  <si>
    <t>Nutrional Requirements</t>
  </si>
  <si>
    <t>Protein (g)</t>
  </si>
  <si>
    <t>Iron (mg)</t>
  </si>
  <si>
    <t>Vitamin C (mg)</t>
  </si>
  <si>
    <t>Potatoes</t>
  </si>
  <si>
    <t>Green Beans</t>
  </si>
  <si>
    <t>Weight</t>
  </si>
  <si>
    <t>Min weight</t>
  </si>
  <si>
    <t>Taste Constraint</t>
  </si>
  <si>
    <t>Times potatoes</t>
  </si>
  <si>
    <t>Times green beans</t>
  </si>
  <si>
    <t>Conversions</t>
  </si>
  <si>
    <t>454 g in 1 lb, 1000mg in 1g, 28.35g in 1 oz</t>
  </si>
  <si>
    <t>Math Model: min Cost = $0.4Qp + $1Qgb</t>
  </si>
  <si>
    <t>S.t. Protein &gt;= 180g, Iron &gt; =80mg, Vitamin C &gt; =1050mg. 5Qp &gt;= 6Qgb. Qp + Qgb &gt;= 10kg</t>
  </si>
  <si>
    <t>Case 2-3 staffing call center</t>
  </si>
  <si>
    <t>Average</t>
  </si>
  <si>
    <t>English</t>
  </si>
  <si>
    <t>Spanish</t>
  </si>
  <si>
    <t>Number</t>
  </si>
  <si>
    <t>Avg Num</t>
  </si>
  <si>
    <t>Agents</t>
  </si>
  <si>
    <t>Phone Shift</t>
  </si>
  <si>
    <t>of Calls</t>
  </si>
  <si>
    <t>Needed</t>
  </si>
  <si>
    <t>total</t>
  </si>
  <si>
    <t>7-9am</t>
  </si>
  <si>
    <t>9-11am</t>
  </si>
  <si>
    <t>Shift</t>
  </si>
  <si>
    <t>Avg # of calls (per hour)</t>
  </si>
  <si>
    <t>11am-1pm</t>
  </si>
  <si>
    <t>1pm-3pm</t>
  </si>
  <si>
    <t>3pm-5pm</t>
  </si>
  <si>
    <t>5pm-7pm</t>
  </si>
  <si>
    <t>7pm-9pm</t>
  </si>
  <si>
    <t>% English</t>
  </si>
  <si>
    <t>Calls handled/hr</t>
  </si>
  <si>
    <t>20% of call are from spanish speakers</t>
  </si>
  <si>
    <t>FT  start at 7,9,11,1</t>
  </si>
  <si>
    <t>PT start at 3,5</t>
  </si>
  <si>
    <t>Both spend 4hrs on phone, 6 calls/hr. Only FT can speak spanish</t>
  </si>
  <si>
    <t>15/hr before 5pm, 18 per hour after 5pm</t>
  </si>
  <si>
    <t>B.</t>
  </si>
  <si>
    <t>C.</t>
  </si>
  <si>
    <t>English Speaking</t>
  </si>
  <si>
    <t>Full-time</t>
  </si>
  <si>
    <t>Part-Time</t>
  </si>
  <si>
    <t>on Phone</t>
  </si>
  <si>
    <t>On Phone</t>
  </si>
  <si>
    <t>shift 1</t>
  </si>
  <si>
    <t>7am-9am</t>
  </si>
  <si>
    <t>9am-11am</t>
  </si>
  <si>
    <t>3pm-7pm</t>
  </si>
  <si>
    <t>5pm-9pm</t>
  </si>
  <si>
    <t>hours</t>
  </si>
  <si>
    <t>pay rate</t>
  </si>
  <si>
    <t>shift 2</t>
  </si>
  <si>
    <t>Per Person Cost</t>
  </si>
  <si>
    <t>Total</t>
  </si>
  <si>
    <t>Working</t>
  </si>
  <si>
    <t>Number Working</t>
  </si>
  <si>
    <t>Wage Multiplier</t>
  </si>
  <si>
    <t>Wyndor Glass Co. Product-Mix Problem</t>
  </si>
  <si>
    <t>Windows</t>
  </si>
  <si>
    <t>Unit Profit</t>
  </si>
  <si>
    <t>HoursAvailable</t>
  </si>
  <si>
    <t>G7:G9</t>
  </si>
  <si>
    <t>Hours</t>
  </si>
  <si>
    <t>HoursUsed</t>
  </si>
  <si>
    <t>E7:E9</t>
  </si>
  <si>
    <t>Hours Used Per Unit Produced</t>
  </si>
  <si>
    <t>HoursUsedPerUnitProduced</t>
  </si>
  <si>
    <t>C7:D9</t>
  </si>
  <si>
    <t>Plant 1</t>
  </si>
  <si>
    <t>TotalProfit</t>
  </si>
  <si>
    <t>G12</t>
  </si>
  <si>
    <t>Plant 2</t>
  </si>
  <si>
    <t>UnitProfit</t>
  </si>
  <si>
    <t>Plant 3</t>
  </si>
  <si>
    <t>UnitsProduced</t>
  </si>
  <si>
    <t>C12:D12</t>
  </si>
  <si>
    <t>Units Produced</t>
  </si>
  <si>
    <t>Maximize Z = X1 + 2*X2</t>
  </si>
  <si>
    <t>S.t.</t>
  </si>
  <si>
    <t>x1+x2 &lt;= 5</t>
  </si>
  <si>
    <t>x1 + 3x2 &lt;= 9</t>
  </si>
  <si>
    <t>and can't be negative</t>
  </si>
  <si>
    <t>b</t>
  </si>
  <si>
    <t>X1</t>
  </si>
  <si>
    <t>X2</t>
  </si>
  <si>
    <t>Z</t>
  </si>
  <si>
    <t>&lt;= 5</t>
  </si>
  <si>
    <t>&lt;= 9</t>
  </si>
  <si>
    <t>Shipping Cost (Rail) ($thousands)</t>
  </si>
  <si>
    <t>Market 1</t>
  </si>
  <si>
    <t>Market 2</t>
  </si>
  <si>
    <t>Market 3</t>
  </si>
  <si>
    <t>Market 4</t>
  </si>
  <si>
    <t>Market 5</t>
  </si>
  <si>
    <t>Source 1</t>
  </si>
  <si>
    <t>Source 2</t>
  </si>
  <si>
    <t>Source 3</t>
  </si>
  <si>
    <t>Shipped</t>
  </si>
  <si>
    <t>=</t>
  </si>
  <si>
    <t>Total Cost ($thousands)</t>
  </si>
  <si>
    <t>Received</t>
  </si>
  <si>
    <t>Source 1: 15 million board feet</t>
  </si>
  <si>
    <t>resource constraints</t>
  </si>
  <si>
    <t>Source 2: 20 million board feet</t>
  </si>
  <si>
    <t>Source 3: 15 milliob board feet</t>
  </si>
  <si>
    <t>Market 1: 11 million</t>
  </si>
  <si>
    <t>fixed requirement constraints</t>
  </si>
  <si>
    <t>Market 2: 12 million</t>
  </si>
  <si>
    <t>Market 3: 9 million</t>
  </si>
  <si>
    <t>Market 4: 10 million</t>
  </si>
  <si>
    <t>Market 5: 8 million</t>
  </si>
  <si>
    <t>Equivalent annual cost factor: 10% of capital investment amount</t>
  </si>
  <si>
    <t>Shipping Cost (Ship) ($thousands)</t>
  </si>
  <si>
    <t>Ship Investment ($ thousands)</t>
  </si>
  <si>
    <t>Total Equivalent Annual Cost ($thousands)</t>
  </si>
  <si>
    <t>Anuual Cost Best Method</t>
  </si>
  <si>
    <t>Shipment quantity Rail (million board feet)</t>
  </si>
  <si>
    <t>Method of Shipment</t>
  </si>
  <si>
    <t>Button</t>
  </si>
  <si>
    <t>Wool</t>
  </si>
  <si>
    <t>Cashmere</t>
  </si>
  <si>
    <t>Silk</t>
  </si>
  <si>
    <t>Tailored</t>
  </si>
  <si>
    <t>Velvet</t>
  </si>
  <si>
    <t>Cotton</t>
  </si>
  <si>
    <t>down</t>
  </si>
  <si>
    <t>Slacks</t>
  </si>
  <si>
    <t>Sweater</t>
  </si>
  <si>
    <t>Blouse</t>
  </si>
  <si>
    <t>Camisole</t>
  </si>
  <si>
    <t>Skirt</t>
  </si>
  <si>
    <t>Blazer</t>
  </si>
  <si>
    <t>Pants</t>
  </si>
  <si>
    <t>Miniskirt</t>
  </si>
  <si>
    <t>Shirt</t>
  </si>
  <si>
    <t>Price</t>
  </si>
  <si>
    <t>LMCost</t>
  </si>
  <si>
    <t>MaterialCost</t>
  </si>
  <si>
    <t>NetContrib</t>
  </si>
  <si>
    <t xml:space="preserve">Cost of </t>
  </si>
  <si>
    <t>Material</t>
  </si>
  <si>
    <t>Material Requirements</t>
  </si>
  <si>
    <t>Diff</t>
  </si>
  <si>
    <t>Returned</t>
  </si>
  <si>
    <t>Acetate</t>
  </si>
  <si>
    <t>Rayon</t>
  </si>
  <si>
    <t>Contribution</t>
  </si>
  <si>
    <t>Items Produced</t>
  </si>
  <si>
    <t>Fixed Costs</t>
  </si>
  <si>
    <t>Demand Forecast</t>
  </si>
  <si>
    <t>Velvet Cost</t>
  </si>
  <si>
    <t>Also</t>
  </si>
  <si>
    <t>Silk camisole &gt;= Silk blouse</t>
  </si>
  <si>
    <t>Cotton Miniskirt &gt;= cotton sweaters</t>
  </si>
  <si>
    <t>Goal: determine the quantity of each type of clothing item to produce</t>
  </si>
  <si>
    <t>F.C : shows and designers: $2.7m x3, $860k for designers. $8,960,000 total.</t>
  </si>
  <si>
    <t>Clothing items: Tailored wool slacks, cashmere sweater, silk blouse, silk camisole, tailored skirt, wool blazer, velvet pants, cotton sweater, cotton miniskirt, velvet shirt, button-down blouse</t>
  </si>
  <si>
    <t>Raw materials: wool (45,000) , acetate (28,000) , silk (18,000) , rayon (30,000), velvet (20,000), cotton (30,000), cashmere (9,000)</t>
  </si>
  <si>
    <t>Silk Camisole &gt;= silk blouses, Cotton miniskirts &gt;= Cotton sweaters</t>
  </si>
  <si>
    <t>Demand Forecast: velvet pants &lt;= 5500. velvet shsirts &lt;= 6,000. cashmere &lt;= 4,000. Silk Blouses &lt;= 12,000. Silk Camisole &lt;= 15,000. Wool Slacks 4200 - 7000. Wool Blazers 3000 - 5000. Tailored Skirt &gt;= 2800</t>
  </si>
  <si>
    <t>Cost of Survey</t>
  </si>
  <si>
    <t>Age group</t>
  </si>
  <si>
    <t>18 to 25</t>
  </si>
  <si>
    <t>26 to 40</t>
  </si>
  <si>
    <t>41 to 50</t>
  </si>
  <si>
    <t>51+</t>
  </si>
  <si>
    <t>Silicon Valley</t>
  </si>
  <si>
    <t>Region</t>
  </si>
  <si>
    <t>Big Cities</t>
  </si>
  <si>
    <t>Small Towns</t>
  </si>
  <si>
    <t>Percent</t>
  </si>
  <si>
    <t>Number to Survey</t>
  </si>
  <si>
    <t>Required in</t>
  </si>
  <si>
    <t>in Region</t>
  </si>
  <si>
    <t>Max in SV</t>
  </si>
  <si>
    <t>Total in AG</t>
  </si>
  <si>
    <t>Total Surveyed</t>
  </si>
  <si>
    <t>Required in AG</t>
  </si>
  <si>
    <t>Percent Required</t>
  </si>
  <si>
    <t>Required Surveys</t>
  </si>
  <si>
    <t xml:space="preserve">&lt;= </t>
  </si>
  <si>
    <t>Max in 18-25</t>
  </si>
  <si>
    <t>Total Cost:</t>
  </si>
  <si>
    <t>Profit Margin</t>
  </si>
  <si>
    <t>Bid</t>
  </si>
  <si>
    <t>Resource</t>
  </si>
  <si>
    <t>Actvity 1</t>
  </si>
  <si>
    <t>Activity 2</t>
  </si>
  <si>
    <t>Contrib</t>
  </si>
  <si>
    <t>per unit</t>
  </si>
  <si>
    <t>A1</t>
  </si>
  <si>
    <t>A2</t>
  </si>
  <si>
    <t>R1</t>
  </si>
  <si>
    <t>R2</t>
  </si>
  <si>
    <t>R3</t>
  </si>
  <si>
    <t>P</t>
  </si>
  <si>
    <t>Total Used</t>
  </si>
  <si>
    <t>Amount available</t>
  </si>
  <si>
    <t>Benefit</t>
  </si>
  <si>
    <t>B1</t>
  </si>
  <si>
    <t>B2</t>
  </si>
  <si>
    <t>B3</t>
  </si>
  <si>
    <t>Cost</t>
  </si>
  <si>
    <t>Customer 1</t>
  </si>
  <si>
    <t>Customer 2</t>
  </si>
  <si>
    <t>Customer 3</t>
  </si>
  <si>
    <t>Output</t>
  </si>
  <si>
    <t>Factory 1</t>
  </si>
  <si>
    <t>Factory 2</t>
  </si>
  <si>
    <t>Order Size</t>
  </si>
  <si>
    <t>Decision</t>
  </si>
  <si>
    <t>Union Airways Personnel Scheduling Problem</t>
  </si>
  <si>
    <t>6am-2pm</t>
  </si>
  <si>
    <t>8am-4pm</t>
  </si>
  <si>
    <t>Noon-8pm</t>
  </si>
  <si>
    <t>4pm-midnight</t>
  </si>
  <si>
    <t>10pm-6am</t>
  </si>
  <si>
    <t>CostPerShift</t>
  </si>
  <si>
    <t>C5:G5</t>
  </si>
  <si>
    <t>Cost per Shift</t>
  </si>
  <si>
    <t>MinimumNeeded</t>
  </si>
  <si>
    <t>J8:J17</t>
  </si>
  <si>
    <t>NumberWorking</t>
  </si>
  <si>
    <t>C21:G21</t>
  </si>
  <si>
    <t>Time Period</t>
  </si>
  <si>
    <t>Shift Works Time Period? (1=yes, 0=no)</t>
  </si>
  <si>
    <t>ShiftWorksTimePeriod</t>
  </si>
  <si>
    <t>C8:G17</t>
  </si>
  <si>
    <t>6am-8am</t>
  </si>
  <si>
    <t>J21</t>
  </si>
  <si>
    <t>8am-10am</t>
  </si>
  <si>
    <t>TotalWorking</t>
  </si>
  <si>
    <t>H8:H17</t>
  </si>
  <si>
    <t>10am- 12pm</t>
  </si>
  <si>
    <t>12pm-2pm</t>
  </si>
  <si>
    <t>2pm-4pm</t>
  </si>
  <si>
    <t>4pm-6pm</t>
  </si>
  <si>
    <t>6pm-8pm</t>
  </si>
  <si>
    <t>8pm-10pm</t>
  </si>
  <si>
    <t>10pm-12am</t>
  </si>
  <si>
    <t>12am-6am</t>
  </si>
  <si>
    <t>Cell</t>
  </si>
  <si>
    <t>Name</t>
  </si>
  <si>
    <t>Final</t>
  </si>
  <si>
    <t>Value</t>
  </si>
  <si>
    <t>Reduced</t>
  </si>
  <si>
    <t>Objective</t>
  </si>
  <si>
    <t>Coefficient</t>
  </si>
  <si>
    <t>Allowable</t>
  </si>
  <si>
    <t>Decrease</t>
  </si>
  <si>
    <t>Shadow</t>
  </si>
  <si>
    <t>Constraint</t>
  </si>
  <si>
    <t>R.H. Side</t>
  </si>
  <si>
    <t>$C$21</t>
  </si>
  <si>
    <t>Number Working Shift</t>
  </si>
  <si>
    <t>$D$21</t>
  </si>
  <si>
    <t>$E$21</t>
  </si>
  <si>
    <t>$F$21</t>
  </si>
  <si>
    <t>$G$21</t>
  </si>
  <si>
    <t>$H$8</t>
  </si>
  <si>
    <t>6am-8am Working</t>
  </si>
  <si>
    <t>$H$9</t>
  </si>
  <si>
    <t>8am-10am Working</t>
  </si>
  <si>
    <t>$H$10</t>
  </si>
  <si>
    <t>10am- 12pm Working</t>
  </si>
  <si>
    <t>$H$11</t>
  </si>
  <si>
    <t>12pm-2pm Working</t>
  </si>
  <si>
    <t>$H$12</t>
  </si>
  <si>
    <t>2pm-4pm Working</t>
  </si>
  <si>
    <t>$H$13</t>
  </si>
  <si>
    <t>4pm-6pm Working</t>
  </si>
  <si>
    <t>$H$14</t>
  </si>
  <si>
    <t>6pm-8pm Working</t>
  </si>
  <si>
    <t>$H$15</t>
  </si>
  <si>
    <t>8pm-10pm Working</t>
  </si>
  <si>
    <t>$H$16</t>
  </si>
  <si>
    <t>10pm-12am Working</t>
  </si>
  <si>
    <t>$H$17</t>
  </si>
  <si>
    <t>12am-6am Working</t>
  </si>
  <si>
    <t>a. No change in optimal solution</t>
  </si>
  <si>
    <t>b. New optimal solution: 48,31,33,49,15.</t>
  </si>
  <si>
    <t>c. New optimal solution is 48,31,33,49,15</t>
  </si>
  <si>
    <t>d. No change in optimal solution</t>
  </si>
  <si>
    <t>e. No change in optimal solution</t>
  </si>
  <si>
    <t>Report</t>
  </si>
  <si>
    <t>f. The sensitivity report shows the allowable increase with the optimal solution staying the same. Also if the shadow price is 0 that is a good indicator that the value can be changed without the solution changing.</t>
  </si>
  <si>
    <t>HW 5.4</t>
  </si>
  <si>
    <t>Crops</t>
  </si>
  <si>
    <t>Crop</t>
  </si>
  <si>
    <t>Soybeans</t>
  </si>
  <si>
    <t>Corn</t>
  </si>
  <si>
    <t>Wheat</t>
  </si>
  <si>
    <t>Totals</t>
  </si>
  <si>
    <t>W&amp;S Hrs Req</t>
  </si>
  <si>
    <t>S&amp;F Hrs Req</t>
  </si>
  <si>
    <t>Net Value</t>
  </si>
  <si>
    <t>Acres Planted</t>
  </si>
  <si>
    <t>acre/cow</t>
  </si>
  <si>
    <t>acre/hen</t>
  </si>
  <si>
    <t>Livestock</t>
  </si>
  <si>
    <t>Cows</t>
  </si>
  <si>
    <t>Hens</t>
  </si>
  <si>
    <t>Hours Req/ month</t>
  </si>
  <si>
    <t>Grazing Land Req</t>
  </si>
  <si>
    <t>Net Annual Cash Income</t>
  </si>
  <si>
    <t>Beginning value (current)</t>
  </si>
  <si>
    <t>Decrease in value</t>
  </si>
  <si>
    <t>End Value (current livestock)</t>
  </si>
  <si>
    <t>Fund</t>
  </si>
  <si>
    <t>Cost of new livestock</t>
  </si>
  <si>
    <t>End value of new livestock</t>
  </si>
  <si>
    <t>Current Livestock</t>
  </si>
  <si>
    <t>New Livestock</t>
  </si>
  <si>
    <t>Total Livestock</t>
  </si>
  <si>
    <t>Neighboring Farm Work</t>
  </si>
  <si>
    <t>W&amp;S</t>
  </si>
  <si>
    <t>S&amp;F</t>
  </si>
  <si>
    <t>Neighbor Farm Totals</t>
  </si>
  <si>
    <t>Wage</t>
  </si>
  <si>
    <t>Hours Worked</t>
  </si>
  <si>
    <t>Neighbor Farm</t>
  </si>
  <si>
    <t>W&amp;S hours</t>
  </si>
  <si>
    <t>S&amp;F hours</t>
  </si>
  <si>
    <t>Acreage</t>
  </si>
  <si>
    <t>Net Income</t>
  </si>
  <si>
    <t>End of Year Value</t>
  </si>
  <si>
    <t xml:space="preserve">Left over investment </t>
  </si>
  <si>
    <t>Living Expenses</t>
  </si>
  <si>
    <t>Farm Management</t>
  </si>
  <si>
    <t>Labor hours: 4000hrs in W and S, 4500 hours in S F. Any extra time is spent at neighbor farm for 7/hr W and S, 7.70hr in S and F.</t>
  </si>
  <si>
    <t>Livestock: Cows and hens. Investment fund is $28,000. Family currently has 30 cows ($49,000), 2000 hens ($7,000)</t>
  </si>
  <si>
    <t>Costs: $2100 per cow, $4.20 per hen. Cows lose 10% value per year, hens lose 25% value per year. Cows require 2acres of lan, hends require 0.</t>
  </si>
  <si>
    <t>Cows require 10hrs / month, hens require 0.05 hrs / month. Cows incomes is $1190, hen is $5.95 (pear year)</t>
  </si>
  <si>
    <t>Max limit of cows is 42, hens is 5,000</t>
  </si>
  <si>
    <t>Crops: Soybeans, wheat and corn. 1acre of corn per cow. 0.05 acre of wheat for each hen.</t>
  </si>
  <si>
    <t>Bond 1</t>
  </si>
  <si>
    <t>Bond 2</t>
  </si>
  <si>
    <t>Bond 3</t>
  </si>
  <si>
    <t>Bond 4</t>
  </si>
  <si>
    <t>Cost of bonds</t>
  </si>
  <si>
    <t>Money Market Rate</t>
  </si>
  <si>
    <t>Face value</t>
  </si>
  <si>
    <t>Initial Money Market Investment</t>
  </si>
  <si>
    <t>Coupon Rate</t>
  </si>
  <si>
    <t>Minimum Required Balance</t>
  </si>
  <si>
    <t>Bond Cash Flows</t>
  </si>
  <si>
    <t>Bond Flow</t>
  </si>
  <si>
    <t>Initial Investment</t>
  </si>
  <si>
    <t>Req. Pension Payment Outflow</t>
  </si>
  <si>
    <t>Money Market Interest</t>
  </si>
  <si>
    <t>Money market balance</t>
  </si>
  <si>
    <t>Units Purchased</t>
  </si>
  <si>
    <t>Starting optimal solution</t>
  </si>
  <si>
    <t>c</t>
  </si>
  <si>
    <t>d</t>
  </si>
  <si>
    <t>e</t>
  </si>
  <si>
    <t>If the profit per plate decreases 30 cents to $2.80 the optimal solution will not change because it is within the allowable decrease as described by the report. However, we can expect total profit to fall by 30 cents * 300 = $90.</t>
  </si>
  <si>
    <t>Since these changes to the profit per stein and per plate fall within the 100% rule, the optimal solution will not change. We can expect total profit to stay about the same.</t>
  </si>
  <si>
    <t>8 fewer hours would not affect the optimal solution because the allowable decrease for molding is 600, the shadow price of 0.22 tells us that for 8 hours less of molding we will lose $105.60 in profit, not too bad.</t>
  </si>
  <si>
    <t>The shadow price for finishing is 6 cents higher than for molding in the given range, this means that for every minute shifted over we will gain total profit of 6 cents. 600 minutes can be shifted over before this range will change.</t>
  </si>
  <si>
    <t>The available clay constraint can have an allowable decrease of 300, because 2700 out of 3000 is currently being used. The objective coefficient for mugs can decrease around 50 cents before it starts becoming competitive with steins.</t>
  </si>
  <si>
    <t>HW 5.6</t>
  </si>
  <si>
    <t>a. If the profit per plate decreases 30 cents to $2.80 the optimal solution will not change because it is within the allowable decrease as described by the report. However, we can expect total profit to fall by 30 cents * 300 = $90.</t>
  </si>
  <si>
    <t>b. Since these changes to the profit per stein and per plate fall within the 100% rule, the optimal solution will not change. We can expect total profit to stay about the same.</t>
  </si>
  <si>
    <t>c. 8 fewer hours would not affect the optimal solution because the allowable decrease for molding is 600, the shadow price of 0.22 tells us that for 8 hours less of molding we will lose $105.60 in profit, not too bad.</t>
  </si>
  <si>
    <t>d. The shadow price for finishing is 6 cents higher than for molding in the given range, this means that for every minute shifted over we will gain total profit of 6 cents. 600 minutes can be shifted over before this range will change.</t>
  </si>
  <si>
    <t>e. The available clay constraint can have an allowable decrease of 300, because 2700 out of 3000 is currently being used. The objective coefficient for mugs can decrease around 50 cents before it starts becoming competitive with steins.</t>
  </si>
  <si>
    <t>Case 4-1 - answer is just model</t>
  </si>
  <si>
    <t xml:space="preserve">A. The new optimal solution is 1.38 doors and 6 windows, with these new ranges of uncertainty the new robust solution is $158 more profitable than before. </t>
  </si>
  <si>
    <t>The fractional doors do not make sense but in the textbook example referenced by the question they accept a fractional answer.</t>
  </si>
  <si>
    <t>B. Yes they should still use this solution because a $150 penalty is less than the $158 profit gained, and it is unlikely that the production will fall below this point.</t>
  </si>
  <si>
    <t>The new robust solution (with the most conservative estimates in the range of uncertainty) is 1.69 doors and 4.58 windows for total profit of $2,799.</t>
  </si>
  <si>
    <t>Broadcasting the Olympic Games</t>
  </si>
  <si>
    <t>From</t>
  </si>
  <si>
    <t>To</t>
  </si>
  <si>
    <t>Flow (Gb/s)</t>
  </si>
  <si>
    <t>Existing Capacity</t>
  </si>
  <si>
    <t>Gb/s</t>
  </si>
  <si>
    <t>A</t>
  </si>
  <si>
    <t>B</t>
  </si>
  <si>
    <t>C</t>
  </si>
  <si>
    <t>D</t>
  </si>
  <si>
    <t>E</t>
  </si>
  <si>
    <t>F</t>
  </si>
  <si>
    <t>G</t>
  </si>
  <si>
    <t>Nodes</t>
  </si>
  <si>
    <t>Net Flow</t>
  </si>
  <si>
    <t>Supply/Demand</t>
  </si>
  <si>
    <t>Max Flow</t>
  </si>
  <si>
    <t>A. 27 is the peak bandwidth available.</t>
  </si>
  <si>
    <t>Capacity</t>
  </si>
  <si>
    <t>Added Gb/s</t>
  </si>
  <si>
    <t>Max Addit.</t>
  </si>
  <si>
    <t>Cost per</t>
  </si>
  <si>
    <t>Cost of Capacity Expansion</t>
  </si>
  <si>
    <t>New Capacity</t>
  </si>
  <si>
    <t>B. 33.8 million dollars will be needed for the expansion to 35 Gb/s bandwidth.</t>
  </si>
  <si>
    <t>6-4 Case</t>
  </si>
  <si>
    <t>6-1 Case</t>
  </si>
  <si>
    <t>Boston to London, London to St. Petersberg is fastest</t>
  </si>
  <si>
    <t>Boston to London, London to Moscow is fastest</t>
  </si>
  <si>
    <t>Jacksonville to London and London to Rostov is fastest</t>
  </si>
  <si>
    <t>Part c: minimum cost: $412,866</t>
  </si>
  <si>
    <t>Part d maximum shipping with additional constraints: 552.2 thousand tons</t>
  </si>
  <si>
    <t>On Route</t>
  </si>
  <si>
    <t>Distance (Km)</t>
  </si>
  <si>
    <t>Time</t>
  </si>
  <si>
    <t>Node</t>
  </si>
  <si>
    <t>Boston</t>
  </si>
  <si>
    <t>London</t>
  </si>
  <si>
    <t>Berlin</t>
  </si>
  <si>
    <t>Jacksonville</t>
  </si>
  <si>
    <t>Istanbul</t>
  </si>
  <si>
    <t>St. Petersburg</t>
  </si>
  <si>
    <t>Moscow</t>
  </si>
  <si>
    <t>Rostov</t>
  </si>
  <si>
    <t>Travel speed</t>
  </si>
  <si>
    <t>km/hr</t>
  </si>
  <si>
    <t>travel speed</t>
  </si>
  <si>
    <t>Total Time (hrs)</t>
  </si>
  <si>
    <t xml:space="preserve">Cost per </t>
  </si>
  <si>
    <t>Vehicle</t>
  </si>
  <si>
    <t>Unit</t>
  </si>
  <si>
    <t>Ship</t>
  </si>
  <si>
    <t>vehicle</t>
  </si>
  <si>
    <t>(thousand tons)</t>
  </si>
  <si>
    <t>($thous)</t>
  </si>
  <si>
    <t>Max. Vehicles</t>
  </si>
  <si>
    <t>(tons)</t>
  </si>
  <si>
    <t>($/ton)</t>
  </si>
  <si>
    <t>Globemaster</t>
  </si>
  <si>
    <t>Hamburg</t>
  </si>
  <si>
    <t>Transport</t>
  </si>
  <si>
    <t>Rotterdam</t>
  </si>
  <si>
    <t>Napoli</t>
  </si>
  <si>
    <t>Truck</t>
  </si>
  <si>
    <t>Total Cost ($thous)</t>
  </si>
  <si>
    <t>Net Flow:</t>
  </si>
  <si>
    <t>WH1</t>
  </si>
  <si>
    <t>WH2</t>
  </si>
  <si>
    <t>RO1</t>
  </si>
  <si>
    <t>RO2</t>
  </si>
  <si>
    <t>RO3</t>
  </si>
  <si>
    <t>WH3</t>
  </si>
  <si>
    <t>Cost:</t>
  </si>
  <si>
    <t>Minimum cost is $488,125.</t>
  </si>
  <si>
    <t>6.4 HW</t>
  </si>
  <si>
    <t>Water Amount</t>
  </si>
  <si>
    <t>T</t>
  </si>
  <si>
    <t>Flow:</t>
  </si>
  <si>
    <t>Max flow is 395 thousand acre feet per day.</t>
  </si>
  <si>
    <t>6.11 HW</t>
  </si>
  <si>
    <t>Total Flow A -&gt; G</t>
  </si>
  <si>
    <t xml:space="preserve">Node </t>
  </si>
  <si>
    <t>New Router?</t>
  </si>
  <si>
    <t>Router Cost</t>
  </si>
  <si>
    <t>Cost of Added Capacity</t>
  </si>
  <si>
    <t>Cost of New Routers</t>
  </si>
  <si>
    <t>Total Cost of Capacity Expansion</t>
  </si>
  <si>
    <t>Actual</t>
  </si>
  <si>
    <t>Maximum</t>
  </si>
  <si>
    <t>Additional</t>
  </si>
  <si>
    <t>(37.4 was Dr. Cole's answer)</t>
  </si>
  <si>
    <t>Area</t>
  </si>
  <si>
    <t># of Students</t>
  </si>
  <si>
    <t xml:space="preserve">% in 6th </t>
  </si>
  <si>
    <t>% in 7th</t>
  </si>
  <si>
    <t>% in 8th</t>
  </si>
  <si>
    <t>School 1</t>
  </si>
  <si>
    <t>School 2</t>
  </si>
  <si>
    <t>School 3</t>
  </si>
  <si>
    <t>Bussing Cost (per student)</t>
  </si>
  <si>
    <t>Area Assignments</t>
  </si>
  <si>
    <t>Total Assgn.</t>
  </si>
  <si>
    <t>Student Assignments</t>
  </si>
  <si>
    <t>Total Bussing Cost</t>
  </si>
  <si>
    <t>Total in school</t>
  </si>
  <si>
    <t>Grade Constraints</t>
  </si>
  <si>
    <t>of total in school</t>
  </si>
  <si>
    <t>6th graders</t>
  </si>
  <si>
    <t>7th graders</t>
  </si>
  <si>
    <t>8th graders</t>
  </si>
  <si>
    <t>Bigbell 20% expected return, LotsofPlace expected return of 42%, InternetLife expected return of 100%, HealthTomorrow expected return of 50%, Quicky is expected to return 46%, and Automobile Alliancec is expected to return 30%.</t>
  </si>
  <si>
    <t>Variance BB: 0.032, LOP: 0.1, ILI: 0.333, HEAL: 0.125, QUI: 0.065, AUA: 0.08</t>
  </si>
  <si>
    <t>Expected Return</t>
  </si>
  <si>
    <t>BB</t>
  </si>
  <si>
    <t>LOP</t>
  </si>
  <si>
    <t>ILI</t>
  </si>
  <si>
    <t>HEAL</t>
  </si>
  <si>
    <t>QUI</t>
  </si>
  <si>
    <t>AUA</t>
  </si>
  <si>
    <t>Variance-Covariance Matrix</t>
  </si>
  <si>
    <t>Portfolio</t>
  </si>
  <si>
    <t>Ignoring risk, for max return it should all go into ILI</t>
  </si>
  <si>
    <t>weight * var-cov</t>
  </si>
  <si>
    <t>Portfolio Variance</t>
  </si>
  <si>
    <t>W/ matrix multiplication function</t>
  </si>
  <si>
    <t>With a 40% cap and no risk, the expected return will be 69% with a 40% allocation to ILI and HEAL and a 20% allocation to QUI.</t>
  </si>
  <si>
    <t>Std Dev</t>
  </si>
  <si>
    <t>With a return of 36% the portfolio variance is 0.001 (3% std dev) with the following allocations: 31% BB, 19% LOP, 0% ILI, 16% HEAL, 20% QUI, 10% AUA</t>
  </si>
  <si>
    <t>Eve and Steven divide chores</t>
  </si>
  <si>
    <t>Eve</t>
  </si>
  <si>
    <t>Steven</t>
  </si>
  <si>
    <t>Marketing</t>
  </si>
  <si>
    <t>Cooking</t>
  </si>
  <si>
    <t>Dish Washing</t>
  </si>
  <si>
    <t>Laundry</t>
  </si>
  <si>
    <t>Who does it</t>
  </si>
  <si>
    <t>Time spent</t>
  </si>
  <si>
    <t>Eve should do Marketing and Dish Washing, Steven should do cooking and laundry for total time spent of 18.4 hours.</t>
  </si>
  <si>
    <t>7.3 HW</t>
  </si>
  <si>
    <t>General Wheels Co</t>
  </si>
  <si>
    <t>Investment</t>
  </si>
  <si>
    <t>Est Profit</t>
  </si>
  <si>
    <t>Capital Required</t>
  </si>
  <si>
    <t>Investment Picks</t>
  </si>
  <si>
    <t>Restraints</t>
  </si>
  <si>
    <t>The ideal investment picks are 1, 3 and 7 for a total profit of $41 million costing $100 million initial capital.</t>
  </si>
  <si>
    <t>7.6 HW</t>
  </si>
  <si>
    <t>Product One</t>
  </si>
  <si>
    <t>Product Two</t>
  </si>
  <si>
    <t>Levels</t>
  </si>
  <si>
    <t>Selection</t>
  </si>
  <si>
    <t>Total Profit:</t>
  </si>
  <si>
    <t>Constraints</t>
  </si>
  <si>
    <t>X1=</t>
  </si>
  <si>
    <t>X2=</t>
  </si>
  <si>
    <t>Choices</t>
  </si>
  <si>
    <t>f. Product one should be at level 2.5, and product two should be at level 3.5 with expected total profit of $13.50.</t>
  </si>
  <si>
    <t>8.14 HW</t>
  </si>
  <si>
    <t>Segmented Product 2</t>
  </si>
  <si>
    <t>Segmented Product 1</t>
  </si>
  <si>
    <t>e. Product one should be at level 2.5, and product two should be at level 3.5 with expected total profit of $13.50. (second separable programming)</t>
  </si>
  <si>
    <t>d. Product one and product two should both be at level 2. (First seperable programming)</t>
  </si>
  <si>
    <t>Alternative</t>
  </si>
  <si>
    <t>A3</t>
  </si>
  <si>
    <t>States of Nature</t>
  </si>
  <si>
    <t>S1</t>
  </si>
  <si>
    <t>S2</t>
  </si>
  <si>
    <t>S3</t>
  </si>
  <si>
    <t>a. Maxi-max criteria would have us pick alternative A3.</t>
  </si>
  <si>
    <t>b. Maxi-min cirteria would have us pick A2.</t>
  </si>
  <si>
    <t>9.1 HW</t>
  </si>
  <si>
    <t>Conservative Investment</t>
  </si>
  <si>
    <t>Speculative Investment</t>
  </si>
  <si>
    <t>Countercyclical Investment</t>
  </si>
  <si>
    <t>Improving Economy</t>
  </si>
  <si>
    <t>Stable Economy</t>
  </si>
  <si>
    <t>Worsening Economy</t>
  </si>
  <si>
    <t>(In Millions)</t>
  </si>
  <si>
    <t>Prior Probability</t>
  </si>
  <si>
    <t>A. He should choose the Speculative Investment with the Maximax criterion.</t>
  </si>
  <si>
    <t>B. He should choose the conservative investment with the Maximim criterion.</t>
  </si>
  <si>
    <t>C. He should choose the speculative investment with the maximum likelihood criterion.</t>
  </si>
  <si>
    <t>D. With Bayes Decision rule he should choose the Countercyclical investment.</t>
  </si>
  <si>
    <t>Expected Payoff</t>
  </si>
  <si>
    <t>9.4 HW</t>
  </si>
  <si>
    <t>A. With a 30% chance of a stable economy and 60% cahnce of a worsening economy, the countercyclical investment is best.</t>
  </si>
  <si>
    <t>B. With a 70% chance of a stable economy and a 20% chance of a worsening economy the speculative investment is best.</t>
  </si>
  <si>
    <t>9.5 HW</t>
  </si>
  <si>
    <t>C. See Tab for image</t>
  </si>
  <si>
    <t>Annual Cost</t>
  </si>
  <si>
    <t>Expected</t>
  </si>
  <si>
    <t>A. With the time scale of one year, you should not buy insurance. Expected cost is 250 without insurance, 340 with insurance.</t>
  </si>
  <si>
    <t>U(x)</t>
  </si>
  <si>
    <t>B. The utility of the cost of taking insurance is 18.4 and the utility of the cost of not taking it is 15.8. It seems we should still not take insurance.</t>
  </si>
  <si>
    <t>Prior Prob</t>
  </si>
  <si>
    <t>No Quake</t>
  </si>
  <si>
    <t>Quake</t>
  </si>
  <si>
    <t>9.34 HW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</si>
</sst>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8" formatCode="&quot;$&quot;#,##0.00_);[Red]\(&quot;$&quot;#,##0.00\)"/>
    <numFmt numFmtId="44" formatCode="_(&quot;$&quot;* #,##0.00_);_(&quot;$&quot;* \(#,##0.00\);_(&quot;$&quot;* &quot;-&quot;??_);_(@_)"/>
    <numFmt numFmtId="43" formatCode="_(* #,##0.00_);_(* \(#,##0.00\);_(* &quot;-&quot;??_);_(@_)"/>
    <numFmt numFmtId="164" formatCode="&quot;$&quot;#,##0"/>
    <numFmt numFmtId="165" formatCode="_(&quot;$&quot;* #,##0_);_(&quot;$&quot;* \(#,##0\);_(&quot;$&quot;* &quot;-&quot;??_);_(@_)"/>
    <numFmt numFmtId="166" formatCode="&quot;$&quot;#,##0.00"/>
    <numFmt numFmtId="167" formatCode="_(* #,##0_);_(* \(#,##0\);_(* &quot;-&quot;??_);_(@_)"/>
  </numFmts>
  <fonts count="10">
    <font>
      <sz val="11"/>
      <color theme="1"/>
      <name val="Calibri"/>
      <family val="2"/>
      <scheme val="minor"/>
    </font>
    <font>
      <sz val="11"/>
      <color theme="1"/>
      <name val="Calibri"/>
      <family val="2"/>
      <scheme val="minor"/>
    </font>
    <font>
      <sz val="16"/>
      <name val="Geneva"/>
    </font>
    <font>
      <b/>
      <sz val="9"/>
      <name val="Geneva"/>
    </font>
    <font>
      <b/>
      <sz val="11"/>
      <color theme="1"/>
      <name val="Calibri"/>
      <family val="2"/>
      <scheme val="minor"/>
    </font>
    <font>
      <sz val="10"/>
      <name val="Arial"/>
      <family val="2"/>
    </font>
    <font>
      <b/>
      <sz val="14"/>
      <name val="Arial"/>
      <family val="2"/>
    </font>
    <font>
      <b/>
      <sz val="10"/>
      <name val="Arial"/>
      <family val="2"/>
    </font>
    <font>
      <sz val="11"/>
      <name val="Calibri"/>
      <family val="2"/>
      <scheme val="minor"/>
    </font>
    <font>
      <sz val="11"/>
      <color rgb="FF000000"/>
      <name val="Calibri"/>
      <family val="2"/>
      <scheme val="minor"/>
    </font>
  </fonts>
  <fills count="17">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5"/>
        <bgColor indexed="64"/>
      </patternFill>
    </fill>
    <fill>
      <patternFill patternType="solid">
        <fgColor indexed="22"/>
        <bgColor indexed="64"/>
      </patternFill>
    </fill>
    <fill>
      <patternFill patternType="solid">
        <fgColor theme="3" tint="0.79998168889431442"/>
        <bgColor indexed="64"/>
      </patternFill>
    </fill>
    <fill>
      <patternFill patternType="solid">
        <fgColor rgb="FFFFC000"/>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B4C6E7"/>
        <bgColor rgb="FF000000"/>
      </patternFill>
    </fill>
    <fill>
      <patternFill patternType="solid">
        <fgColor theme="9" tint="0.59999389629810485"/>
        <bgColor rgb="FF000000"/>
      </patternFill>
    </fill>
    <fill>
      <patternFill patternType="solid">
        <fgColor theme="7" tint="0.59999389629810485"/>
        <bgColor rgb="FF000000"/>
      </patternFill>
    </fill>
    <fill>
      <patternFill patternType="solid">
        <fgColor theme="4" tint="0.79998168889431442"/>
        <bgColor indexed="64"/>
      </patternFill>
    </fill>
    <fill>
      <patternFill patternType="solid">
        <fgColor theme="5" tint="-0.249977111117893"/>
        <bgColor indexed="64"/>
      </patternFill>
    </fill>
  </fills>
  <borders count="2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4">
    <xf numFmtId="0" fontId="0" fillId="0" borderId="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86">
    <xf numFmtId="0" fontId="0" fillId="0" borderId="0" xfId="0"/>
    <xf numFmtId="0" fontId="2" fillId="0" borderId="0" xfId="0" applyFont="1"/>
    <xf numFmtId="0" fontId="3" fillId="0" borderId="0" xfId="0" applyFont="1"/>
    <xf numFmtId="164" fontId="0" fillId="2" borderId="0" xfId="0" applyNumberFormat="1" applyFill="1"/>
    <xf numFmtId="165" fontId="0" fillId="0" borderId="1" xfId="1" applyNumberFormat="1" applyFont="1" applyBorder="1"/>
    <xf numFmtId="165" fontId="0" fillId="0" borderId="0" xfId="1" applyNumberFormat="1" applyFont="1"/>
    <xf numFmtId="165" fontId="0" fillId="0" borderId="2" xfId="1" applyNumberFormat="1" applyFont="1" applyBorder="1"/>
    <xf numFmtId="0" fontId="0" fillId="2" borderId="0" xfId="0" applyFill="1"/>
    <xf numFmtId="0" fontId="0" fillId="3" borderId="0" xfId="0" applyFill="1"/>
    <xf numFmtId="0" fontId="0" fillId="4" borderId="0" xfId="0" applyFill="1"/>
    <xf numFmtId="166" fontId="0" fillId="4" borderId="3" xfId="1" applyNumberFormat="1" applyFont="1" applyFill="1" applyBorder="1"/>
    <xf numFmtId="164" fontId="0" fillId="4" borderId="3" xfId="1" applyNumberFormat="1" applyFont="1" applyFill="1" applyBorder="1"/>
    <xf numFmtId="0" fontId="4" fillId="0" borderId="0" xfId="0" applyFont="1"/>
    <xf numFmtId="0" fontId="5"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5" fillId="0" borderId="0" xfId="0" applyFont="1" applyAlignment="1">
      <alignment horizontal="right"/>
    </xf>
    <xf numFmtId="0" fontId="5" fillId="0" borderId="0" xfId="0" applyFont="1" applyAlignment="1">
      <alignment horizontal="center"/>
    </xf>
    <xf numFmtId="0" fontId="7" fillId="5" borderId="4" xfId="0" applyFont="1" applyFill="1" applyBorder="1" applyAlignment="1">
      <alignment horizontal="left"/>
    </xf>
    <xf numFmtId="0" fontId="7" fillId="5" borderId="5" xfId="0" applyFont="1" applyFill="1" applyBorder="1" applyAlignment="1">
      <alignment horizontal="left"/>
    </xf>
    <xf numFmtId="164" fontId="5" fillId="6" borderId="0" xfId="0" applyNumberFormat="1" applyFont="1" applyFill="1" applyAlignment="1">
      <alignment horizontal="center"/>
    </xf>
    <xf numFmtId="0" fontId="5" fillId="5" borderId="6" xfId="0" applyFont="1" applyFill="1" applyBorder="1" applyAlignment="1">
      <alignment horizontal="left"/>
    </xf>
    <xf numFmtId="0" fontId="5" fillId="5" borderId="7" xfId="0" applyFont="1" applyFill="1" applyBorder="1" applyAlignment="1">
      <alignment horizontal="left"/>
    </xf>
    <xf numFmtId="0" fontId="5" fillId="5" borderId="8" xfId="0" applyFont="1" applyFill="1" applyBorder="1" applyAlignment="1">
      <alignment horizontal="left"/>
    </xf>
    <xf numFmtId="0" fontId="5" fillId="5" borderId="9" xfId="0" applyFont="1" applyFill="1" applyBorder="1" applyAlignment="1">
      <alignment horizontal="left"/>
    </xf>
    <xf numFmtId="0" fontId="5" fillId="0" borderId="0" xfId="0" applyFont="1" applyAlignment="1">
      <alignment horizontal="centerContinuous"/>
    </xf>
    <xf numFmtId="9" fontId="5" fillId="6" borderId="0" xfId="0" applyNumberFormat="1" applyFont="1" applyFill="1" applyAlignment="1">
      <alignment horizontal="center"/>
    </xf>
    <xf numFmtId="9" fontId="5" fillId="0" borderId="0" xfId="0" applyNumberFormat="1" applyFont="1" applyAlignment="1">
      <alignment horizontal="center"/>
    </xf>
    <xf numFmtId="0" fontId="5" fillId="5" borderId="10" xfId="0" applyFont="1" applyFill="1" applyBorder="1" applyAlignment="1">
      <alignment horizontal="left"/>
    </xf>
    <xf numFmtId="0" fontId="5" fillId="5" borderId="11" xfId="0" applyFont="1" applyFill="1" applyBorder="1" applyAlignment="1">
      <alignment horizontal="left"/>
    </xf>
    <xf numFmtId="0" fontId="5" fillId="0" borderId="0" xfId="0" applyFont="1"/>
    <xf numFmtId="0" fontId="5" fillId="0" borderId="0" xfId="1" applyNumberFormat="1" applyFont="1" applyFill="1" applyBorder="1" applyAlignment="1">
      <alignment horizontal="center"/>
    </xf>
    <xf numFmtId="2" fontId="5" fillId="3" borderId="12" xfId="0" applyNumberFormat="1" applyFont="1" applyFill="1" applyBorder="1" applyAlignment="1">
      <alignment horizontal="center"/>
    </xf>
    <xf numFmtId="0" fontId="5" fillId="3" borderId="13" xfId="0" applyFont="1" applyFill="1" applyBorder="1" applyAlignment="1">
      <alignment horizontal="center"/>
    </xf>
    <xf numFmtId="166" fontId="5" fillId="7" borderId="14" xfId="1" applyNumberFormat="1" applyFont="1" applyFill="1" applyBorder="1" applyAlignment="1">
      <alignment horizontal="center"/>
    </xf>
    <xf numFmtId="164" fontId="0" fillId="0" borderId="0" xfId="0" applyNumberFormat="1"/>
    <xf numFmtId="165" fontId="0" fillId="0" borderId="0" xfId="0" applyNumberFormat="1"/>
    <xf numFmtId="3" fontId="0" fillId="4" borderId="0" xfId="0" applyNumberFormat="1" applyFill="1"/>
    <xf numFmtId="0" fontId="0" fillId="0" borderId="0" xfId="0" applyAlignment="1">
      <alignment horizontal="center"/>
    </xf>
    <xf numFmtId="0" fontId="0" fillId="0" borderId="0" xfId="0" applyAlignment="1">
      <alignment horizontal="right"/>
    </xf>
    <xf numFmtId="164" fontId="0" fillId="8" borderId="0" xfId="0" applyNumberFormat="1" applyFill="1" applyAlignment="1">
      <alignment horizontal="center"/>
    </xf>
    <xf numFmtId="0" fontId="0" fillId="8" borderId="0" xfId="0" applyFill="1" applyAlignment="1">
      <alignment horizontal="center"/>
    </xf>
    <xf numFmtId="167" fontId="0" fillId="0" borderId="0" xfId="2" applyNumberFormat="1" applyFont="1"/>
    <xf numFmtId="3" fontId="0" fillId="8" borderId="0" xfId="0" applyNumberFormat="1" applyFill="1" applyAlignment="1">
      <alignment horizontal="center"/>
    </xf>
    <xf numFmtId="1" fontId="0" fillId="3" borderId="0" xfId="2" applyNumberFormat="1" applyFont="1" applyFill="1" applyAlignment="1">
      <alignment horizontal="center"/>
    </xf>
    <xf numFmtId="164" fontId="0" fillId="7" borderId="0" xfId="0" applyNumberFormat="1" applyFill="1"/>
    <xf numFmtId="0" fontId="0" fillId="8" borderId="0" xfId="0" applyFill="1"/>
    <xf numFmtId="8" fontId="0" fillId="8" borderId="0" xfId="0" applyNumberFormat="1" applyFill="1" applyAlignment="1">
      <alignment horizontal="center"/>
    </xf>
    <xf numFmtId="1" fontId="0" fillId="0" borderId="0" xfId="0" applyNumberFormat="1" applyAlignment="1">
      <alignment horizontal="center"/>
    </xf>
    <xf numFmtId="2" fontId="0" fillId="3" borderId="0" xfId="0" applyNumberFormat="1" applyFill="1" applyAlignment="1">
      <alignment horizontal="center"/>
    </xf>
    <xf numFmtId="166" fontId="0" fillId="4" borderId="0" xfId="0" applyNumberFormat="1" applyFill="1" applyAlignment="1">
      <alignment horizontal="center"/>
    </xf>
    <xf numFmtId="0" fontId="0" fillId="0" borderId="15" xfId="0" applyBorder="1" applyAlignment="1">
      <alignment horizontal="center"/>
    </xf>
    <xf numFmtId="16" fontId="0" fillId="0" borderId="0" xfId="0" applyNumberFormat="1" applyAlignment="1">
      <alignment horizontal="center"/>
    </xf>
    <xf numFmtId="0" fontId="0" fillId="0" borderId="16" xfId="0" applyBorder="1"/>
    <xf numFmtId="0" fontId="0" fillId="0" borderId="17" xfId="0" applyBorder="1"/>
    <xf numFmtId="16" fontId="0" fillId="0" borderId="0" xfId="0" applyNumberFormat="1"/>
    <xf numFmtId="0" fontId="0" fillId="8" borderId="15" xfId="0" applyFill="1" applyBorder="1" applyAlignment="1">
      <alignment horizontal="center"/>
    </xf>
    <xf numFmtId="0" fontId="0" fillId="0" borderId="18" xfId="0" applyBorder="1"/>
    <xf numFmtId="0" fontId="0" fillId="0" borderId="15" xfId="0" applyBorder="1"/>
    <xf numFmtId="9" fontId="0" fillId="8" borderId="0" xfId="0" applyNumberFormat="1" applyFill="1" applyAlignment="1">
      <alignment horizontal="center"/>
    </xf>
    <xf numFmtId="0" fontId="0" fillId="0" borderId="17" xfId="0" applyBorder="1" applyAlignment="1">
      <alignment horizontal="center"/>
    </xf>
    <xf numFmtId="164" fontId="0" fillId="0" borderId="0" xfId="0" applyNumberFormat="1" applyAlignment="1">
      <alignment horizontal="center"/>
    </xf>
    <xf numFmtId="0" fontId="0" fillId="0" borderId="19" xfId="0" applyBorder="1"/>
    <xf numFmtId="0" fontId="0" fillId="0" borderId="19" xfId="0" applyBorder="1" applyAlignment="1">
      <alignment horizontal="center"/>
    </xf>
    <xf numFmtId="0" fontId="0" fillId="0" borderId="16" xfId="0" applyBorder="1" applyAlignment="1">
      <alignment horizontal="center"/>
    </xf>
    <xf numFmtId="164" fontId="0" fillId="8" borderId="0" xfId="0" applyNumberFormat="1" applyFill="1"/>
    <xf numFmtId="0" fontId="0" fillId="3" borderId="0" xfId="0" applyFill="1" applyAlignment="1">
      <alignment horizontal="center"/>
    </xf>
    <xf numFmtId="166" fontId="0" fillId="0" borderId="0" xfId="0" applyNumberFormat="1"/>
    <xf numFmtId="9" fontId="0" fillId="0" borderId="0" xfId="0" applyNumberFormat="1"/>
    <xf numFmtId="164" fontId="0" fillId="0" borderId="17" xfId="0" applyNumberFormat="1" applyBorder="1" applyAlignment="1">
      <alignment horizontal="center"/>
    </xf>
    <xf numFmtId="0" fontId="0" fillId="8" borderId="15" xfId="0" applyFill="1" applyBorder="1"/>
    <xf numFmtId="0" fontId="5" fillId="6" borderId="0" xfId="0" applyFont="1" applyFill="1" applyAlignment="1">
      <alignment horizontal="center"/>
    </xf>
    <xf numFmtId="0" fontId="5" fillId="3" borderId="12" xfId="0" applyFont="1" applyFill="1" applyBorder="1" applyAlignment="1">
      <alignment horizontal="center"/>
    </xf>
    <xf numFmtId="164" fontId="5" fillId="7" borderId="14" xfId="1" applyNumberFormat="1" applyFont="1" applyFill="1" applyBorder="1" applyAlignment="1">
      <alignment horizontal="center"/>
    </xf>
    <xf numFmtId="0" fontId="8" fillId="3" borderId="0" xfId="0" applyFont="1" applyFill="1" applyAlignment="1">
      <alignment horizontal="center"/>
    </xf>
    <xf numFmtId="0" fontId="0" fillId="4" borderId="0" xfId="0" applyFill="1" applyAlignment="1">
      <alignment horizontal="center"/>
    </xf>
    <xf numFmtId="0" fontId="0" fillId="0" borderId="0" xfId="0" quotePrefix="1" applyAlignment="1">
      <alignment horizontal="center"/>
    </xf>
    <xf numFmtId="0" fontId="4" fillId="8" borderId="0" xfId="0" applyFont="1" applyFill="1" applyAlignment="1">
      <alignment horizontal="center"/>
    </xf>
    <xf numFmtId="0" fontId="4" fillId="0" borderId="0" xfId="0" applyFont="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18" xfId="0" applyBorder="1" applyAlignment="1">
      <alignment horizontal="center"/>
    </xf>
    <xf numFmtId="164" fontId="0" fillId="4" borderId="0" xfId="0" applyNumberFormat="1" applyFill="1" applyAlignment="1">
      <alignment horizontal="center"/>
    </xf>
    <xf numFmtId="9" fontId="0" fillId="0" borderId="0" xfId="0" applyNumberFormat="1" applyAlignment="1">
      <alignment horizontal="center"/>
    </xf>
    <xf numFmtId="164" fontId="0" fillId="0" borderId="12" xfId="0" applyNumberFormat="1" applyBorder="1" applyAlignment="1">
      <alignment horizontal="center"/>
    </xf>
    <xf numFmtId="164" fontId="0" fillId="0" borderId="23" xfId="0" applyNumberFormat="1" applyBorder="1" applyAlignment="1">
      <alignment horizontal="center"/>
    </xf>
    <xf numFmtId="164" fontId="0" fillId="0" borderId="13" xfId="0" applyNumberFormat="1" applyBorder="1" applyAlignment="1">
      <alignment horizontal="center"/>
    </xf>
    <xf numFmtId="166" fontId="0" fillId="8" borderId="17" xfId="0" applyNumberFormat="1" applyFill="1" applyBorder="1" applyAlignment="1">
      <alignment horizontal="center"/>
    </xf>
    <xf numFmtId="167" fontId="0" fillId="8" borderId="0" xfId="2" applyNumberFormat="1" applyFont="1" applyFill="1" applyAlignment="1">
      <alignment horizontal="center"/>
    </xf>
    <xf numFmtId="167" fontId="0" fillId="0" borderId="0" xfId="0" applyNumberFormat="1"/>
    <xf numFmtId="0" fontId="0" fillId="3" borderId="12" xfId="0" applyFill="1" applyBorder="1" applyAlignment="1">
      <alignment horizontal="center"/>
    </xf>
    <xf numFmtId="0" fontId="0" fillId="3" borderId="23" xfId="0" applyFill="1" applyBorder="1" applyAlignment="1">
      <alignment horizontal="center"/>
    </xf>
    <xf numFmtId="0" fontId="0" fillId="3" borderId="13" xfId="0" applyFill="1" applyBorder="1" applyAlignment="1">
      <alignment horizontal="center"/>
    </xf>
    <xf numFmtId="166" fontId="0" fillId="7" borderId="0" xfId="0" applyNumberFormat="1" applyFill="1" applyAlignment="1">
      <alignment horizontal="center"/>
    </xf>
    <xf numFmtId="166" fontId="0" fillId="0" borderId="0" xfId="0" applyNumberFormat="1" applyAlignment="1">
      <alignment horizontal="center"/>
    </xf>
    <xf numFmtId="0" fontId="0" fillId="0" borderId="20" xfId="0" applyBorder="1"/>
    <xf numFmtId="0" fontId="0" fillId="0" borderId="21" xfId="0" applyBorder="1" applyAlignment="1">
      <alignment horizontal="left"/>
    </xf>
    <xf numFmtId="166" fontId="0" fillId="8" borderId="0" xfId="0" applyNumberFormat="1" applyFill="1" applyAlignment="1">
      <alignment horizontal="center"/>
    </xf>
    <xf numFmtId="0" fontId="0" fillId="0" borderId="22" xfId="0" applyBorder="1" applyAlignment="1">
      <alignment horizontal="left"/>
    </xf>
    <xf numFmtId="166" fontId="0" fillId="8" borderId="15" xfId="0" applyNumberFormat="1" applyFill="1" applyBorder="1" applyAlignment="1">
      <alignment horizontal="center"/>
    </xf>
    <xf numFmtId="166" fontId="0" fillId="8" borderId="18" xfId="0" applyNumberFormat="1" applyFill="1" applyBorder="1" applyAlignment="1">
      <alignment horizontal="center"/>
    </xf>
    <xf numFmtId="0" fontId="0" fillId="0" borderId="20" xfId="0" applyBorder="1" applyAlignment="1">
      <alignment horizontal="left"/>
    </xf>
    <xf numFmtId="1" fontId="0" fillId="9" borderId="0" xfId="0" applyNumberFormat="1" applyFill="1" applyAlignment="1">
      <alignment horizontal="center"/>
    </xf>
    <xf numFmtId="1" fontId="0" fillId="9" borderId="17" xfId="0" applyNumberFormat="1" applyFill="1" applyBorder="1" applyAlignment="1">
      <alignment horizontal="center"/>
    </xf>
    <xf numFmtId="1" fontId="0" fillId="9" borderId="15" xfId="0" applyNumberFormat="1" applyFill="1" applyBorder="1" applyAlignment="1">
      <alignment horizontal="center"/>
    </xf>
    <xf numFmtId="1" fontId="0" fillId="9" borderId="18" xfId="0" applyNumberFormat="1" applyFill="1" applyBorder="1" applyAlignment="1">
      <alignment horizontal="center"/>
    </xf>
    <xf numFmtId="10" fontId="0" fillId="8" borderId="0" xfId="0" applyNumberFormat="1" applyFill="1" applyAlignment="1">
      <alignment horizontal="center"/>
    </xf>
    <xf numFmtId="166" fontId="0" fillId="10" borderId="0" xfId="0" applyNumberFormat="1" applyFill="1"/>
    <xf numFmtId="44" fontId="0" fillId="0" borderId="0" xfId="1" applyFont="1" applyAlignment="1">
      <alignment horizontal="center"/>
    </xf>
    <xf numFmtId="6" fontId="0" fillId="0" borderId="0" xfId="0" applyNumberFormat="1" applyAlignment="1">
      <alignment horizontal="center"/>
    </xf>
    <xf numFmtId="6" fontId="5" fillId="6" borderId="0" xfId="1" applyNumberFormat="1" applyFont="1" applyFill="1" applyBorder="1" applyAlignment="1">
      <alignment horizontal="center"/>
    </xf>
    <xf numFmtId="44" fontId="5" fillId="0" borderId="0" xfId="1" applyFont="1" applyFill="1" applyBorder="1" applyAlignment="1">
      <alignment horizontal="center"/>
    </xf>
    <xf numFmtId="0" fontId="5" fillId="3" borderId="23" xfId="0" applyFont="1" applyFill="1" applyBorder="1" applyAlignment="1">
      <alignment horizontal="center"/>
    </xf>
    <xf numFmtId="0" fontId="4" fillId="0" borderId="0" xfId="0" applyFont="1" applyAlignment="1">
      <alignment horizontal="right"/>
    </xf>
    <xf numFmtId="0" fontId="0" fillId="9" borderId="0" xfId="0" applyFill="1" applyAlignment="1">
      <alignment horizontal="center"/>
    </xf>
    <xf numFmtId="8" fontId="0" fillId="0" borderId="0" xfId="0" applyNumberFormat="1" applyAlignment="1">
      <alignment horizontal="center"/>
    </xf>
    <xf numFmtId="0" fontId="4" fillId="0" borderId="0" xfId="0" applyFont="1" applyAlignment="1">
      <alignment horizontal="left"/>
    </xf>
    <xf numFmtId="166" fontId="0" fillId="11" borderId="0" xfId="0" applyNumberFormat="1" applyFill="1" applyAlignment="1">
      <alignment horizontal="center"/>
    </xf>
    <xf numFmtId="0" fontId="9" fillId="0" borderId="0" xfId="0" applyFont="1"/>
    <xf numFmtId="0" fontId="9" fillId="0" borderId="0" xfId="0" applyFont="1" applyAlignment="1">
      <alignment horizontal="center"/>
    </xf>
    <xf numFmtId="0" fontId="9" fillId="12" borderId="0" xfId="0" applyFont="1" applyFill="1"/>
    <xf numFmtId="9" fontId="9" fillId="12" borderId="0" xfId="0" applyNumberFormat="1" applyFont="1" applyFill="1" applyAlignment="1">
      <alignment horizontal="center"/>
    </xf>
    <xf numFmtId="9" fontId="9" fillId="12" borderId="0" xfId="0" applyNumberFormat="1" applyFont="1" applyFill="1"/>
    <xf numFmtId="6" fontId="9" fillId="12" borderId="0" xfId="0" applyNumberFormat="1" applyFont="1" applyFill="1" applyAlignment="1">
      <alignment horizontal="center"/>
    </xf>
    <xf numFmtId="6" fontId="9" fillId="0" borderId="0" xfId="0" applyNumberFormat="1" applyFont="1"/>
    <xf numFmtId="6" fontId="8" fillId="13" borderId="0" xfId="0" applyNumberFormat="1" applyFont="1" applyFill="1"/>
    <xf numFmtId="6" fontId="9" fillId="14" borderId="0" xfId="0" applyNumberFormat="1" applyFont="1" applyFill="1" applyAlignment="1">
      <alignment horizontal="center"/>
    </xf>
    <xf numFmtId="0" fontId="9" fillId="14" borderId="0" xfId="0" applyFont="1" applyFill="1"/>
    <xf numFmtId="9" fontId="0" fillId="0" borderId="0" xfId="3" applyFont="1"/>
    <xf numFmtId="0" fontId="5" fillId="3" borderId="24" xfId="0" applyFont="1" applyFill="1" applyBorder="1" applyAlignment="1">
      <alignment horizontal="center"/>
    </xf>
    <xf numFmtId="0" fontId="5" fillId="3" borderId="25" xfId="0" applyFont="1" applyFill="1" applyBorder="1" applyAlignment="1">
      <alignment horizontal="center"/>
    </xf>
    <xf numFmtId="0" fontId="0" fillId="11" borderId="0" xfId="0" applyFill="1" applyAlignment="1">
      <alignment horizontal="center"/>
    </xf>
    <xf numFmtId="0" fontId="0" fillId="11" borderId="0" xfId="0" applyFill="1"/>
    <xf numFmtId="167" fontId="0" fillId="15" borderId="0" xfId="2" applyNumberFormat="1" applyFont="1" applyFill="1" applyAlignment="1">
      <alignment horizontal="center"/>
    </xf>
    <xf numFmtId="2" fontId="0" fillId="0" borderId="0" xfId="0" applyNumberFormat="1" applyAlignment="1">
      <alignment horizontal="center"/>
    </xf>
    <xf numFmtId="0" fontId="0" fillId="15" borderId="0" xfId="0" applyFill="1" applyAlignment="1">
      <alignment horizontal="center"/>
    </xf>
    <xf numFmtId="2" fontId="0" fillId="7" borderId="0" xfId="0" applyNumberFormat="1" applyFill="1" applyAlignment="1">
      <alignment horizontal="center"/>
    </xf>
    <xf numFmtId="1" fontId="0" fillId="0" borderId="0" xfId="2" applyNumberFormat="1" applyFont="1" applyFill="1" applyAlignment="1">
      <alignment horizontal="center"/>
    </xf>
    <xf numFmtId="1" fontId="0" fillId="15" borderId="0" xfId="0" applyNumberFormat="1" applyFill="1" applyAlignment="1">
      <alignment horizontal="center"/>
    </xf>
    <xf numFmtId="166" fontId="0" fillId="0" borderId="0" xfId="1" applyNumberFormat="1" applyFont="1" applyAlignment="1">
      <alignment horizontal="center"/>
    </xf>
    <xf numFmtId="0" fontId="0" fillId="7" borderId="0" xfId="0" applyFill="1" applyAlignment="1">
      <alignment horizontal="center"/>
    </xf>
    <xf numFmtId="166" fontId="0" fillId="8" borderId="0" xfId="1" applyNumberFormat="1" applyFont="1" applyFill="1" applyAlignment="1">
      <alignment horizontal="center"/>
    </xf>
    <xf numFmtId="164" fontId="0" fillId="11" borderId="0" xfId="0" applyNumberFormat="1" applyFill="1" applyAlignment="1">
      <alignment horizontal="center"/>
    </xf>
    <xf numFmtId="1" fontId="0" fillId="8" borderId="0" xfId="2" applyNumberFormat="1" applyFont="1" applyFill="1" applyAlignment="1">
      <alignment horizontal="center"/>
    </xf>
    <xf numFmtId="0" fontId="0" fillId="8" borderId="17" xfId="0" applyFill="1" applyBorder="1" applyAlignment="1">
      <alignment horizontal="center"/>
    </xf>
    <xf numFmtId="9" fontId="0" fillId="8" borderId="0" xfId="3" applyFont="1" applyFill="1" applyAlignment="1">
      <alignment horizontal="center"/>
    </xf>
    <xf numFmtId="9" fontId="0" fillId="8" borderId="17" xfId="3" applyFont="1" applyFill="1" applyBorder="1" applyAlignment="1">
      <alignment horizontal="center"/>
    </xf>
    <xf numFmtId="164" fontId="0" fillId="8" borderId="0" xfId="0" quotePrefix="1" applyNumberFormat="1" applyFill="1" applyAlignment="1">
      <alignment horizontal="center"/>
    </xf>
    <xf numFmtId="0" fontId="0" fillId="9" borderId="20" xfId="0" applyFill="1" applyBorder="1" applyAlignment="1">
      <alignment horizontal="center"/>
    </xf>
    <xf numFmtId="0" fontId="0" fillId="9" borderId="19" xfId="0" applyFill="1" applyBorder="1" applyAlignment="1">
      <alignment horizontal="center"/>
    </xf>
    <xf numFmtId="0" fontId="0" fillId="9" borderId="16" xfId="0" applyFill="1" applyBorder="1" applyAlignment="1">
      <alignment horizontal="center"/>
    </xf>
    <xf numFmtId="0" fontId="0" fillId="9" borderId="21" xfId="0" applyFill="1" applyBorder="1" applyAlignment="1">
      <alignment horizontal="center"/>
    </xf>
    <xf numFmtId="0" fontId="0" fillId="9" borderId="17" xfId="0" applyFill="1" applyBorder="1" applyAlignment="1">
      <alignment horizontal="center"/>
    </xf>
    <xf numFmtId="0" fontId="0" fillId="9" borderId="22" xfId="0" applyFill="1" applyBorder="1" applyAlignment="1">
      <alignment horizontal="center"/>
    </xf>
    <xf numFmtId="0" fontId="0" fillId="9" borderId="15" xfId="0" applyFill="1" applyBorder="1" applyAlignment="1">
      <alignment horizontal="center"/>
    </xf>
    <xf numFmtId="0" fontId="0" fillId="9" borderId="18" xfId="0" applyFill="1" applyBorder="1" applyAlignment="1">
      <alignment horizontal="center"/>
    </xf>
    <xf numFmtId="164" fontId="0" fillId="11" borderId="0" xfId="1" applyNumberFormat="1" applyFont="1" applyFill="1" applyAlignment="1"/>
    <xf numFmtId="9" fontId="0" fillId="2" borderId="0" xfId="0" applyNumberFormat="1" applyFill="1" applyAlignment="1">
      <alignment horizontal="center"/>
    </xf>
    <xf numFmtId="0" fontId="0" fillId="2" borderId="0" xfId="0" applyFill="1" applyAlignment="1">
      <alignment horizontal="center"/>
    </xf>
    <xf numFmtId="10" fontId="0" fillId="0" borderId="0" xfId="0" applyNumberFormat="1" applyAlignment="1">
      <alignment horizontal="center"/>
    </xf>
    <xf numFmtId="10" fontId="0" fillId="9" borderId="0" xfId="0" applyNumberFormat="1" applyFill="1" applyAlignment="1">
      <alignment horizontal="center"/>
    </xf>
    <xf numFmtId="9" fontId="0" fillId="10" borderId="0" xfId="3" applyFont="1" applyFill="1" applyAlignment="1">
      <alignment horizontal="center"/>
    </xf>
    <xf numFmtId="0" fontId="0" fillId="16" borderId="0" xfId="0" applyFill="1" applyAlignment="1">
      <alignment horizontal="center"/>
    </xf>
    <xf numFmtId="10" fontId="0" fillId="0" borderId="0" xfId="3" applyNumberFormat="1" applyFont="1" applyAlignment="1">
      <alignment horizontal="center"/>
    </xf>
    <xf numFmtId="164" fontId="0" fillId="2" borderId="0" xfId="1" applyNumberFormat="1" applyFont="1" applyFill="1" applyAlignment="1">
      <alignment horizontal="center"/>
    </xf>
    <xf numFmtId="0" fontId="8" fillId="9" borderId="0" xfId="0" applyFont="1" applyFill="1" applyAlignment="1">
      <alignment horizontal="center"/>
    </xf>
    <xf numFmtId="0" fontId="0" fillId="0" borderId="21" xfId="0" applyBorder="1"/>
    <xf numFmtId="6" fontId="0" fillId="0" borderId="17" xfId="0" applyNumberFormat="1" applyBorder="1"/>
    <xf numFmtId="0" fontId="0" fillId="0" borderId="22" xfId="0" applyBorder="1"/>
    <xf numFmtId="6" fontId="0" fillId="0" borderId="18" xfId="0" applyNumberFormat="1" applyBorder="1"/>
    <xf numFmtId="6" fontId="0" fillId="0" borderId="17" xfId="0" applyNumberFormat="1" applyBorder="1" applyAlignment="1">
      <alignment horizontal="center"/>
    </xf>
    <xf numFmtId="6" fontId="0" fillId="0" borderId="18" xfId="0" applyNumberFormat="1" applyBorder="1" applyAlignment="1">
      <alignment horizontal="center"/>
    </xf>
    <xf numFmtId="164" fontId="0" fillId="8" borderId="20" xfId="0" applyNumberFormat="1" applyFill="1" applyBorder="1" applyAlignment="1">
      <alignment horizontal="center"/>
    </xf>
    <xf numFmtId="164" fontId="0" fillId="8" borderId="19" xfId="0" applyNumberFormat="1" applyFill="1" applyBorder="1" applyAlignment="1">
      <alignment horizontal="center"/>
    </xf>
    <xf numFmtId="164" fontId="0" fillId="8" borderId="16" xfId="0" applyNumberFormat="1" applyFill="1" applyBorder="1" applyAlignment="1">
      <alignment horizontal="center"/>
    </xf>
    <xf numFmtId="164" fontId="0" fillId="8" borderId="21" xfId="0" applyNumberFormat="1" applyFill="1" applyBorder="1" applyAlignment="1">
      <alignment horizontal="center"/>
    </xf>
    <xf numFmtId="164" fontId="0" fillId="8" borderId="17" xfId="0" applyNumberFormat="1" applyFill="1" applyBorder="1" applyAlignment="1">
      <alignment horizontal="center"/>
    </xf>
    <xf numFmtId="164" fontId="0" fillId="8" borderId="22" xfId="0" applyNumberFormat="1" applyFill="1" applyBorder="1" applyAlignment="1">
      <alignment horizontal="center"/>
    </xf>
    <xf numFmtId="164" fontId="0" fillId="8" borderId="15" xfId="0" applyNumberFormat="1" applyFill="1" applyBorder="1" applyAlignment="1">
      <alignment horizontal="center"/>
    </xf>
    <xf numFmtId="164" fontId="0" fillId="8" borderId="18" xfId="0" applyNumberFormat="1" applyFill="1" applyBorder="1" applyAlignment="1">
      <alignment horizontal="center"/>
    </xf>
    <xf numFmtId="0" fontId="0" fillId="0" borderId="0" xfId="0" applyAlignment="1">
      <alignment horizontal="center"/>
    </xf>
    <xf numFmtId="0" fontId="5" fillId="0" borderId="0" xfId="0" applyFont="1" applyAlignment="1">
      <alignment horizontal="center"/>
    </xf>
    <xf numFmtId="0" fontId="0" fillId="0" borderId="19" xfId="0" applyBorder="1" applyAlignment="1">
      <alignment horizontal="center"/>
    </xf>
    <xf numFmtId="0" fontId="0" fillId="0" borderId="16" xfId="0" applyBorder="1" applyAlignment="1">
      <alignment horizontal="center"/>
    </xf>
    <xf numFmtId="0" fontId="9" fillId="0" borderId="0" xfId="0" applyFont="1" applyAlignment="1">
      <alignment horizontal="center"/>
    </xf>
  </cellXfs>
  <cellStyles count="4">
    <cellStyle name="Comma" xfId="2" builtinId="3"/>
    <cellStyle name="Currency" xfId="1"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1.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'Keeping Time'!$K$3</c:f>
              <c:strCache>
                <c:ptCount val="1"/>
                <c:pt idx="0">
                  <c:v>TR</c:v>
                </c:pt>
              </c:strCache>
            </c:strRef>
          </c:tx>
          <c:spPr>
            <a:ln w="28575" cap="rnd">
              <a:solidFill>
                <a:schemeClr val="accent1"/>
              </a:solidFill>
              <a:round/>
            </a:ln>
            <a:effectLst/>
          </c:spPr>
          <c:marker>
            <c:symbol val="none"/>
          </c:marker>
          <c:val>
            <c:numRef>
              <c:f>'Keeping Time'!$K$4:$K$14</c:f>
              <c:numCache>
                <c:formatCode>_("$"* #,##0_);_("$"* \(#,##0\);_("$"* "-"??_);_(@_)</c:formatCode>
                <c:ptCount val="11"/>
                <c:pt idx="0">
                  <c:v>4500</c:v>
                </c:pt>
                <c:pt idx="1">
                  <c:v>45000</c:v>
                </c:pt>
                <c:pt idx="2">
                  <c:v>90000</c:v>
                </c:pt>
                <c:pt idx="3">
                  <c:v>135000</c:v>
                </c:pt>
                <c:pt idx="4">
                  <c:v>180000</c:v>
                </c:pt>
                <c:pt idx="5">
                  <c:v>225000</c:v>
                </c:pt>
                <c:pt idx="6">
                  <c:v>270000</c:v>
                </c:pt>
                <c:pt idx="7">
                  <c:v>315000</c:v>
                </c:pt>
                <c:pt idx="8">
                  <c:v>360000</c:v>
                </c:pt>
                <c:pt idx="9">
                  <c:v>405000</c:v>
                </c:pt>
                <c:pt idx="10">
                  <c:v>450000</c:v>
                </c:pt>
              </c:numCache>
            </c:numRef>
          </c:val>
          <c:smooth val="0"/>
          <c:extLst>
            <c:ext xmlns:c16="http://schemas.microsoft.com/office/drawing/2014/chart" uri="{C3380CC4-5D6E-409C-BE32-E72D297353CC}">
              <c16:uniqueId val="{00000000-B59B-49C1-A530-A8AB85AD1AB1}"/>
            </c:ext>
          </c:extLst>
        </c:ser>
        <c:ser>
          <c:idx val="1"/>
          <c:order val="1"/>
          <c:tx>
            <c:strRef>
              <c:f>'Keeping Time'!$L$3</c:f>
              <c:strCache>
                <c:ptCount val="1"/>
                <c:pt idx="0">
                  <c:v>TC</c:v>
                </c:pt>
              </c:strCache>
            </c:strRef>
          </c:tx>
          <c:spPr>
            <a:ln w="28575" cap="rnd">
              <a:solidFill>
                <a:schemeClr val="accent2"/>
              </a:solidFill>
              <a:round/>
            </a:ln>
            <a:effectLst/>
          </c:spPr>
          <c:marker>
            <c:symbol val="none"/>
          </c:marker>
          <c:val>
            <c:numRef>
              <c:f>'Keeping Time'!$L$4:$L$14</c:f>
              <c:numCache>
                <c:formatCode>_("$"* #,##0_);_("$"* \(#,##0\);_("$"* "-"??_);_(@_)</c:formatCode>
                <c:ptCount val="11"/>
                <c:pt idx="0">
                  <c:v>252000</c:v>
                </c:pt>
                <c:pt idx="1">
                  <c:v>270000</c:v>
                </c:pt>
                <c:pt idx="2">
                  <c:v>290000</c:v>
                </c:pt>
                <c:pt idx="3">
                  <c:v>310000</c:v>
                </c:pt>
                <c:pt idx="4">
                  <c:v>330000</c:v>
                </c:pt>
                <c:pt idx="5">
                  <c:v>350000</c:v>
                </c:pt>
                <c:pt idx="6">
                  <c:v>370000</c:v>
                </c:pt>
                <c:pt idx="7">
                  <c:v>390000</c:v>
                </c:pt>
                <c:pt idx="8">
                  <c:v>410000</c:v>
                </c:pt>
                <c:pt idx="9">
                  <c:v>430000</c:v>
                </c:pt>
                <c:pt idx="10">
                  <c:v>450000</c:v>
                </c:pt>
              </c:numCache>
            </c:numRef>
          </c:val>
          <c:smooth val="0"/>
          <c:extLst>
            <c:ext xmlns:c16="http://schemas.microsoft.com/office/drawing/2014/chart" uri="{C3380CC4-5D6E-409C-BE32-E72D297353CC}">
              <c16:uniqueId val="{00000001-B59B-49C1-A530-A8AB85AD1AB1}"/>
            </c:ext>
          </c:extLst>
        </c:ser>
        <c:ser>
          <c:idx val="2"/>
          <c:order val="2"/>
          <c:tx>
            <c:strRef>
              <c:f>'Keeping Time'!$M$3</c:f>
              <c:strCache>
                <c:ptCount val="1"/>
                <c:pt idx="0">
                  <c:v>Profit</c:v>
                </c:pt>
              </c:strCache>
            </c:strRef>
          </c:tx>
          <c:spPr>
            <a:ln w="28575" cap="rnd">
              <a:solidFill>
                <a:schemeClr val="accent3"/>
              </a:solidFill>
              <a:round/>
            </a:ln>
            <a:effectLst/>
          </c:spPr>
          <c:marker>
            <c:symbol val="none"/>
          </c:marker>
          <c:val>
            <c:numRef>
              <c:f>'Keeping Time'!$M$4:$M$14</c:f>
              <c:numCache>
                <c:formatCode>_("$"* #,##0_);_("$"* \(#,##0\);_("$"* "-"??_);_(@_)</c:formatCode>
                <c:ptCount val="11"/>
                <c:pt idx="0">
                  <c:v>-247500</c:v>
                </c:pt>
                <c:pt idx="1">
                  <c:v>-225000</c:v>
                </c:pt>
                <c:pt idx="2">
                  <c:v>-200000</c:v>
                </c:pt>
                <c:pt idx="3">
                  <c:v>-175000</c:v>
                </c:pt>
                <c:pt idx="4">
                  <c:v>-150000</c:v>
                </c:pt>
                <c:pt idx="5">
                  <c:v>-125000</c:v>
                </c:pt>
                <c:pt idx="6">
                  <c:v>-100000</c:v>
                </c:pt>
                <c:pt idx="7">
                  <c:v>-75000</c:v>
                </c:pt>
                <c:pt idx="8">
                  <c:v>-50000</c:v>
                </c:pt>
                <c:pt idx="9">
                  <c:v>-25000</c:v>
                </c:pt>
                <c:pt idx="10">
                  <c:v>0</c:v>
                </c:pt>
              </c:numCache>
            </c:numRef>
          </c:val>
          <c:smooth val="0"/>
          <c:extLst>
            <c:ext xmlns:c16="http://schemas.microsoft.com/office/drawing/2014/chart" uri="{C3380CC4-5D6E-409C-BE32-E72D297353CC}">
              <c16:uniqueId val="{00000002-B59B-49C1-A530-A8AB85AD1AB1}"/>
            </c:ext>
          </c:extLst>
        </c:ser>
        <c:dLbls>
          <c:showLegendKey val="0"/>
          <c:showVal val="0"/>
          <c:showCatName val="0"/>
          <c:showSerName val="0"/>
          <c:showPercent val="0"/>
          <c:showBubbleSize val="0"/>
        </c:dLbls>
        <c:smooth val="0"/>
        <c:axId val="1801921423"/>
        <c:axId val="1789830079"/>
      </c:lineChart>
      <c:catAx>
        <c:axId val="180192142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830079"/>
        <c:crosses val="autoZero"/>
        <c:auto val="1"/>
        <c:lblAlgn val="ctr"/>
        <c:lblOffset val="100"/>
        <c:noMultiLvlLbl val="0"/>
      </c:catAx>
      <c:valAx>
        <c:axId val="178983007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9214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'[1]1.4'!$K$4</c:f>
              <c:strCache>
                <c:ptCount val="1"/>
                <c:pt idx="0">
                  <c:v>TR</c:v>
                </c:pt>
              </c:strCache>
            </c:strRef>
          </c:tx>
          <c:spPr>
            <a:ln w="28575" cap="rnd">
              <a:solidFill>
                <a:schemeClr val="accent1"/>
              </a:solidFill>
              <a:round/>
            </a:ln>
            <a:effectLst/>
          </c:spPr>
          <c:marker>
            <c:symbol val="none"/>
          </c:marker>
          <c:val>
            <c:numRef>
              <c:f>'[1]1.4'!$K$5:$K$11</c:f>
              <c:numCache>
                <c:formatCode>General</c:formatCode>
                <c:ptCount val="7"/>
                <c:pt idx="0">
                  <c:v>1700000</c:v>
                </c:pt>
                <c:pt idx="1">
                  <c:v>8500000</c:v>
                </c:pt>
                <c:pt idx="2">
                  <c:v>17000000</c:v>
                </c:pt>
                <c:pt idx="3">
                  <c:v>25500000</c:v>
                </c:pt>
                <c:pt idx="4">
                  <c:v>34000000</c:v>
                </c:pt>
                <c:pt idx="5">
                  <c:v>42500000</c:v>
                </c:pt>
                <c:pt idx="6">
                  <c:v>51000000</c:v>
                </c:pt>
              </c:numCache>
            </c:numRef>
          </c:val>
          <c:smooth val="0"/>
          <c:extLst>
            <c:ext xmlns:c16="http://schemas.microsoft.com/office/drawing/2014/chart" uri="{C3380CC4-5D6E-409C-BE32-E72D297353CC}">
              <c16:uniqueId val="{00000000-6139-4E5D-86B4-F48DE9865EE0}"/>
            </c:ext>
          </c:extLst>
        </c:ser>
        <c:ser>
          <c:idx val="1"/>
          <c:order val="1"/>
          <c:tx>
            <c:strRef>
              <c:f>'[1]1.4'!$L$4</c:f>
              <c:strCache>
                <c:ptCount val="1"/>
                <c:pt idx="0">
                  <c:v>TC</c:v>
                </c:pt>
              </c:strCache>
            </c:strRef>
          </c:tx>
          <c:spPr>
            <a:ln w="28575" cap="rnd">
              <a:solidFill>
                <a:schemeClr val="accent2"/>
              </a:solidFill>
              <a:round/>
            </a:ln>
            <a:effectLst/>
          </c:spPr>
          <c:marker>
            <c:symbol val="none"/>
          </c:marker>
          <c:val>
            <c:numRef>
              <c:f>'[1]1.4'!$L$5:$L$11</c:f>
              <c:numCache>
                <c:formatCode>General</c:formatCode>
                <c:ptCount val="7"/>
                <c:pt idx="0">
                  <c:v>11300000</c:v>
                </c:pt>
                <c:pt idx="1">
                  <c:v>16500000</c:v>
                </c:pt>
                <c:pt idx="2">
                  <c:v>23000000</c:v>
                </c:pt>
                <c:pt idx="3">
                  <c:v>29500000</c:v>
                </c:pt>
                <c:pt idx="4">
                  <c:v>36000000</c:v>
                </c:pt>
                <c:pt idx="5">
                  <c:v>42500000</c:v>
                </c:pt>
                <c:pt idx="6">
                  <c:v>49000000</c:v>
                </c:pt>
              </c:numCache>
            </c:numRef>
          </c:val>
          <c:smooth val="0"/>
          <c:extLst>
            <c:ext xmlns:c16="http://schemas.microsoft.com/office/drawing/2014/chart" uri="{C3380CC4-5D6E-409C-BE32-E72D297353CC}">
              <c16:uniqueId val="{00000001-6139-4E5D-86B4-F48DE9865EE0}"/>
            </c:ext>
          </c:extLst>
        </c:ser>
        <c:ser>
          <c:idx val="2"/>
          <c:order val="2"/>
          <c:tx>
            <c:strRef>
              <c:f>'[1]1.4'!$M$4</c:f>
              <c:strCache>
                <c:ptCount val="1"/>
                <c:pt idx="0">
                  <c:v>Profit</c:v>
                </c:pt>
              </c:strCache>
            </c:strRef>
          </c:tx>
          <c:spPr>
            <a:ln w="28575" cap="rnd">
              <a:solidFill>
                <a:schemeClr val="accent3"/>
              </a:solidFill>
              <a:round/>
            </a:ln>
            <a:effectLst/>
          </c:spPr>
          <c:marker>
            <c:symbol val="none"/>
          </c:marker>
          <c:val>
            <c:numRef>
              <c:f>'[1]1.4'!$M$5:$M$11</c:f>
              <c:numCache>
                <c:formatCode>General</c:formatCode>
                <c:ptCount val="7"/>
                <c:pt idx="0">
                  <c:v>-9600000</c:v>
                </c:pt>
                <c:pt idx="1">
                  <c:v>-8000000</c:v>
                </c:pt>
                <c:pt idx="2">
                  <c:v>-6000000</c:v>
                </c:pt>
                <c:pt idx="3">
                  <c:v>-4000000</c:v>
                </c:pt>
                <c:pt idx="4">
                  <c:v>-2000000</c:v>
                </c:pt>
                <c:pt idx="5">
                  <c:v>0</c:v>
                </c:pt>
                <c:pt idx="6">
                  <c:v>2000000</c:v>
                </c:pt>
              </c:numCache>
            </c:numRef>
          </c:val>
          <c:smooth val="0"/>
          <c:extLst>
            <c:ext xmlns:c16="http://schemas.microsoft.com/office/drawing/2014/chart" uri="{C3380CC4-5D6E-409C-BE32-E72D297353CC}">
              <c16:uniqueId val="{00000002-6139-4E5D-86B4-F48DE9865EE0}"/>
            </c:ext>
          </c:extLst>
        </c:ser>
        <c:dLbls>
          <c:showLegendKey val="0"/>
          <c:showVal val="0"/>
          <c:showCatName val="0"/>
          <c:showSerName val="0"/>
          <c:showPercent val="0"/>
          <c:showBubbleSize val="0"/>
        </c:dLbls>
        <c:smooth val="0"/>
        <c:axId val="1712754879"/>
        <c:axId val="1706866703"/>
      </c:lineChart>
      <c:catAx>
        <c:axId val="171275487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866703"/>
        <c:crosses val="autoZero"/>
        <c:auto val="1"/>
        <c:lblAlgn val="ctr"/>
        <c:lblOffset val="100"/>
        <c:noMultiLvlLbl val="0"/>
      </c:catAx>
      <c:valAx>
        <c:axId val="1706866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7548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3.3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'[2]3.3'!$K$7</c:f>
              <c:strCache>
                <c:ptCount val="1"/>
                <c:pt idx="0">
                  <c:v>A1</c:v>
                </c:pt>
              </c:strCache>
            </c:strRef>
          </c:tx>
          <c:spPr>
            <a:ln w="28575" cap="rnd">
              <a:solidFill>
                <a:schemeClr val="accent1"/>
              </a:solidFill>
              <a:round/>
            </a:ln>
            <a:effectLst/>
          </c:spPr>
          <c:marker>
            <c:symbol val="none"/>
          </c:marker>
          <c:val>
            <c:numRef>
              <c:f>'[2]3.3'!$K$8:$K$14</c:f>
              <c:numCache>
                <c:formatCode>General</c:formatCode>
                <c:ptCount val="7"/>
                <c:pt idx="0">
                  <c:v>0</c:v>
                </c:pt>
                <c:pt idx="1">
                  <c:v>0</c:v>
                </c:pt>
                <c:pt idx="2">
                  <c:v>1</c:v>
                </c:pt>
                <c:pt idx="3">
                  <c:v>1</c:v>
                </c:pt>
                <c:pt idx="4">
                  <c:v>2</c:v>
                </c:pt>
                <c:pt idx="5">
                  <c:v>2</c:v>
                </c:pt>
                <c:pt idx="6">
                  <c:v>2</c:v>
                </c:pt>
              </c:numCache>
            </c:numRef>
          </c:val>
          <c:smooth val="0"/>
          <c:extLst>
            <c:ext xmlns:c16="http://schemas.microsoft.com/office/drawing/2014/chart" uri="{C3380CC4-5D6E-409C-BE32-E72D297353CC}">
              <c16:uniqueId val="{00000000-2BAC-4FAD-8EDC-3504578EB9BD}"/>
            </c:ext>
          </c:extLst>
        </c:ser>
        <c:ser>
          <c:idx val="1"/>
          <c:order val="1"/>
          <c:tx>
            <c:strRef>
              <c:f>'[2]3.3'!$L$7</c:f>
              <c:strCache>
                <c:ptCount val="1"/>
                <c:pt idx="0">
                  <c:v>A2</c:v>
                </c:pt>
              </c:strCache>
            </c:strRef>
          </c:tx>
          <c:spPr>
            <a:ln w="28575" cap="rnd">
              <a:solidFill>
                <a:schemeClr val="accent2"/>
              </a:solidFill>
              <a:round/>
            </a:ln>
            <a:effectLst/>
          </c:spPr>
          <c:marker>
            <c:symbol val="none"/>
          </c:marker>
          <c:val>
            <c:numRef>
              <c:f>'[2]3.3'!$L$8:$L$14</c:f>
              <c:numCache>
                <c:formatCode>General</c:formatCode>
                <c:ptCount val="7"/>
                <c:pt idx="0">
                  <c:v>0</c:v>
                </c:pt>
                <c:pt idx="1">
                  <c:v>1</c:v>
                </c:pt>
                <c:pt idx="2">
                  <c:v>1</c:v>
                </c:pt>
                <c:pt idx="3">
                  <c:v>2</c:v>
                </c:pt>
                <c:pt idx="4">
                  <c:v>2</c:v>
                </c:pt>
                <c:pt idx="5">
                  <c:v>3</c:v>
                </c:pt>
                <c:pt idx="6">
                  <c:v>4</c:v>
                </c:pt>
              </c:numCache>
            </c:numRef>
          </c:val>
          <c:smooth val="0"/>
          <c:extLst>
            <c:ext xmlns:c16="http://schemas.microsoft.com/office/drawing/2014/chart" uri="{C3380CC4-5D6E-409C-BE32-E72D297353CC}">
              <c16:uniqueId val="{00000001-2BAC-4FAD-8EDC-3504578EB9BD}"/>
            </c:ext>
          </c:extLst>
        </c:ser>
        <c:ser>
          <c:idx val="2"/>
          <c:order val="2"/>
          <c:tx>
            <c:strRef>
              <c:f>'[2]3.3'!$M$7</c:f>
              <c:strCache>
                <c:ptCount val="1"/>
                <c:pt idx="0">
                  <c:v>R1</c:v>
                </c:pt>
              </c:strCache>
            </c:strRef>
          </c:tx>
          <c:spPr>
            <a:ln w="28575" cap="rnd">
              <a:solidFill>
                <a:schemeClr val="accent3"/>
              </a:solidFill>
              <a:round/>
            </a:ln>
            <a:effectLst/>
          </c:spPr>
          <c:marker>
            <c:symbol val="none"/>
          </c:marker>
          <c:val>
            <c:numRef>
              <c:f>'[2]3.3'!$M$8:$M$14</c:f>
              <c:numCache>
                <c:formatCode>General</c:formatCode>
                <c:ptCount val="7"/>
                <c:pt idx="0">
                  <c:v>0</c:v>
                </c:pt>
                <c:pt idx="1">
                  <c:v>1</c:v>
                </c:pt>
                <c:pt idx="2">
                  <c:v>3</c:v>
                </c:pt>
                <c:pt idx="3">
                  <c:v>4</c:v>
                </c:pt>
                <c:pt idx="4">
                  <c:v>6</c:v>
                </c:pt>
                <c:pt idx="5">
                  <c:v>7</c:v>
                </c:pt>
                <c:pt idx="6">
                  <c:v>8</c:v>
                </c:pt>
              </c:numCache>
            </c:numRef>
          </c:val>
          <c:smooth val="0"/>
          <c:extLst>
            <c:ext xmlns:c16="http://schemas.microsoft.com/office/drawing/2014/chart" uri="{C3380CC4-5D6E-409C-BE32-E72D297353CC}">
              <c16:uniqueId val="{00000002-2BAC-4FAD-8EDC-3504578EB9BD}"/>
            </c:ext>
          </c:extLst>
        </c:ser>
        <c:ser>
          <c:idx val="3"/>
          <c:order val="3"/>
          <c:tx>
            <c:strRef>
              <c:f>'[2]3.3'!$N$7</c:f>
              <c:strCache>
                <c:ptCount val="1"/>
                <c:pt idx="0">
                  <c:v>R2</c:v>
                </c:pt>
              </c:strCache>
            </c:strRef>
          </c:tx>
          <c:spPr>
            <a:ln w="28575" cap="rnd">
              <a:solidFill>
                <a:schemeClr val="accent4"/>
              </a:solidFill>
              <a:round/>
            </a:ln>
            <a:effectLst/>
          </c:spPr>
          <c:marker>
            <c:symbol val="none"/>
          </c:marker>
          <c:val>
            <c:numRef>
              <c:f>'[2]3.3'!$N$8:$N$14</c:f>
              <c:numCache>
                <c:formatCode>General</c:formatCode>
                <c:ptCount val="7"/>
                <c:pt idx="0">
                  <c:v>0</c:v>
                </c:pt>
                <c:pt idx="1">
                  <c:v>3</c:v>
                </c:pt>
                <c:pt idx="2">
                  <c:v>6</c:v>
                </c:pt>
                <c:pt idx="3">
                  <c:v>9</c:v>
                </c:pt>
                <c:pt idx="4">
                  <c:v>12</c:v>
                </c:pt>
                <c:pt idx="5">
                  <c:v>15</c:v>
                </c:pt>
                <c:pt idx="6">
                  <c:v>18</c:v>
                </c:pt>
              </c:numCache>
            </c:numRef>
          </c:val>
          <c:smooth val="0"/>
          <c:extLst>
            <c:ext xmlns:c16="http://schemas.microsoft.com/office/drawing/2014/chart" uri="{C3380CC4-5D6E-409C-BE32-E72D297353CC}">
              <c16:uniqueId val="{00000003-2BAC-4FAD-8EDC-3504578EB9BD}"/>
            </c:ext>
          </c:extLst>
        </c:ser>
        <c:ser>
          <c:idx val="4"/>
          <c:order val="4"/>
          <c:tx>
            <c:strRef>
              <c:f>'[2]3.3'!$O$7</c:f>
              <c:strCache>
                <c:ptCount val="1"/>
                <c:pt idx="0">
                  <c:v>R3</c:v>
                </c:pt>
              </c:strCache>
            </c:strRef>
          </c:tx>
          <c:spPr>
            <a:ln w="28575" cap="rnd">
              <a:solidFill>
                <a:schemeClr val="accent5"/>
              </a:solidFill>
              <a:round/>
            </a:ln>
            <a:effectLst/>
          </c:spPr>
          <c:marker>
            <c:symbol val="none"/>
          </c:marker>
          <c:val>
            <c:numRef>
              <c:f>'[2]3.3'!$O$8:$O$14</c:f>
              <c:numCache>
                <c:formatCode>General</c:formatCode>
                <c:ptCount val="7"/>
                <c:pt idx="0">
                  <c:v>0</c:v>
                </c:pt>
                <c:pt idx="1">
                  <c:v>4</c:v>
                </c:pt>
                <c:pt idx="2">
                  <c:v>6</c:v>
                </c:pt>
                <c:pt idx="3">
                  <c:v>10</c:v>
                </c:pt>
                <c:pt idx="4">
                  <c:v>12</c:v>
                </c:pt>
                <c:pt idx="5">
                  <c:v>16</c:v>
                </c:pt>
                <c:pt idx="6">
                  <c:v>20</c:v>
                </c:pt>
              </c:numCache>
            </c:numRef>
          </c:val>
          <c:smooth val="0"/>
          <c:extLst>
            <c:ext xmlns:c16="http://schemas.microsoft.com/office/drawing/2014/chart" uri="{C3380CC4-5D6E-409C-BE32-E72D297353CC}">
              <c16:uniqueId val="{00000004-2BAC-4FAD-8EDC-3504578EB9BD}"/>
            </c:ext>
          </c:extLst>
        </c:ser>
        <c:ser>
          <c:idx val="5"/>
          <c:order val="5"/>
          <c:tx>
            <c:strRef>
              <c:f>'[2]3.3'!$P$7</c:f>
              <c:strCache>
                <c:ptCount val="1"/>
                <c:pt idx="0">
                  <c:v>P</c:v>
                </c:pt>
              </c:strCache>
            </c:strRef>
          </c:tx>
          <c:spPr>
            <a:ln w="28575" cap="rnd">
              <a:solidFill>
                <a:schemeClr val="accent6"/>
              </a:solidFill>
              <a:round/>
            </a:ln>
            <a:effectLst/>
          </c:spPr>
          <c:marker>
            <c:symbol val="none"/>
          </c:marker>
          <c:val>
            <c:numRef>
              <c:f>'[2]3.3'!$P$8:$P$14</c:f>
              <c:numCache>
                <c:formatCode>General</c:formatCode>
                <c:ptCount val="7"/>
                <c:pt idx="0">
                  <c:v>0</c:v>
                </c:pt>
                <c:pt idx="1">
                  <c:v>30</c:v>
                </c:pt>
                <c:pt idx="2">
                  <c:v>50</c:v>
                </c:pt>
                <c:pt idx="3">
                  <c:v>80</c:v>
                </c:pt>
                <c:pt idx="4">
                  <c:v>100</c:v>
                </c:pt>
                <c:pt idx="5">
                  <c:v>130</c:v>
                </c:pt>
                <c:pt idx="6">
                  <c:v>160</c:v>
                </c:pt>
              </c:numCache>
            </c:numRef>
          </c:val>
          <c:smooth val="0"/>
          <c:extLst>
            <c:ext xmlns:c16="http://schemas.microsoft.com/office/drawing/2014/chart" uri="{C3380CC4-5D6E-409C-BE32-E72D297353CC}">
              <c16:uniqueId val="{00000005-2BAC-4FAD-8EDC-3504578EB9BD}"/>
            </c:ext>
          </c:extLst>
        </c:ser>
        <c:dLbls>
          <c:showLegendKey val="0"/>
          <c:showVal val="0"/>
          <c:showCatName val="0"/>
          <c:showSerName val="0"/>
          <c:showPercent val="0"/>
          <c:showBubbleSize val="0"/>
        </c:dLbls>
        <c:smooth val="0"/>
        <c:axId val="592489056"/>
        <c:axId val="256895216"/>
      </c:lineChart>
      <c:catAx>
        <c:axId val="5924890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895216"/>
        <c:crosses val="autoZero"/>
        <c:auto val="1"/>
        <c:lblAlgn val="ctr"/>
        <c:lblOffset val="100"/>
        <c:noMultiLvlLbl val="0"/>
      </c:catAx>
      <c:valAx>
        <c:axId val="256895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489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3.9</a:t>
            </a:r>
            <a:r>
              <a:rPr lang="en-US" baseline="0"/>
              <a:t>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'[2]3.9'!$K$3:$P$3</c:f>
              <c:strCache>
                <c:ptCount val="6"/>
                <c:pt idx="0">
                  <c:v>A1</c:v>
                </c:pt>
                <c:pt idx="1">
                  <c:v>A2</c:v>
                </c:pt>
                <c:pt idx="2">
                  <c:v>B1</c:v>
                </c:pt>
                <c:pt idx="3">
                  <c:v>B2</c:v>
                </c:pt>
                <c:pt idx="4">
                  <c:v>B3</c:v>
                </c:pt>
                <c:pt idx="5">
                  <c:v>Cost</c:v>
                </c:pt>
              </c:strCache>
            </c:strRef>
          </c:cat>
          <c:val>
            <c:numRef>
              <c:f>'[2]3.9'!$K$4:$P$4</c:f>
              <c:numCache>
                <c:formatCode>General</c:formatCode>
                <c:ptCount val="6"/>
                <c:pt idx="0">
                  <c:v>7</c:v>
                </c:pt>
                <c:pt idx="1">
                  <c:v>7</c:v>
                </c:pt>
                <c:pt idx="2">
                  <c:v>56</c:v>
                </c:pt>
                <c:pt idx="3">
                  <c:v>28</c:v>
                </c:pt>
                <c:pt idx="4">
                  <c:v>112</c:v>
                </c:pt>
                <c:pt idx="5">
                  <c:v>770</c:v>
                </c:pt>
              </c:numCache>
            </c:numRef>
          </c:val>
          <c:smooth val="0"/>
          <c:extLst>
            <c:ext xmlns:c16="http://schemas.microsoft.com/office/drawing/2014/chart" uri="{C3380CC4-5D6E-409C-BE32-E72D297353CC}">
              <c16:uniqueId val="{00000000-1159-428D-B90C-5A12FF92904F}"/>
            </c:ext>
          </c:extLst>
        </c:ser>
        <c:ser>
          <c:idx val="1"/>
          <c:order val="1"/>
          <c:spPr>
            <a:ln w="28575" cap="rnd">
              <a:solidFill>
                <a:schemeClr val="accent2"/>
              </a:solidFill>
              <a:round/>
            </a:ln>
            <a:effectLst/>
          </c:spPr>
          <c:marker>
            <c:symbol val="none"/>
          </c:marker>
          <c:cat>
            <c:strRef>
              <c:f>'[2]3.9'!$K$3:$P$3</c:f>
              <c:strCache>
                <c:ptCount val="6"/>
                <c:pt idx="0">
                  <c:v>A1</c:v>
                </c:pt>
                <c:pt idx="1">
                  <c:v>A2</c:v>
                </c:pt>
                <c:pt idx="2">
                  <c:v>B1</c:v>
                </c:pt>
                <c:pt idx="3">
                  <c:v>B2</c:v>
                </c:pt>
                <c:pt idx="4">
                  <c:v>B3</c:v>
                </c:pt>
                <c:pt idx="5">
                  <c:v>Cost</c:v>
                </c:pt>
              </c:strCache>
            </c:strRef>
          </c:cat>
          <c:val>
            <c:numRef>
              <c:f>'[2]3.9'!$K$5:$P$5</c:f>
              <c:numCache>
                <c:formatCode>General</c:formatCode>
                <c:ptCount val="6"/>
                <c:pt idx="0">
                  <c:v>8</c:v>
                </c:pt>
                <c:pt idx="1">
                  <c:v>9</c:v>
                </c:pt>
                <c:pt idx="2">
                  <c:v>67</c:v>
                </c:pt>
                <c:pt idx="3">
                  <c:v>34</c:v>
                </c:pt>
                <c:pt idx="4">
                  <c:v>137</c:v>
                </c:pt>
                <c:pt idx="5">
                  <c:v>930</c:v>
                </c:pt>
              </c:numCache>
            </c:numRef>
          </c:val>
          <c:smooth val="0"/>
          <c:extLst>
            <c:ext xmlns:c16="http://schemas.microsoft.com/office/drawing/2014/chart" uri="{C3380CC4-5D6E-409C-BE32-E72D297353CC}">
              <c16:uniqueId val="{00000001-1159-428D-B90C-5A12FF92904F}"/>
            </c:ext>
          </c:extLst>
        </c:ser>
        <c:ser>
          <c:idx val="2"/>
          <c:order val="2"/>
          <c:spPr>
            <a:ln w="28575" cap="rnd">
              <a:solidFill>
                <a:schemeClr val="accent3"/>
              </a:solidFill>
              <a:round/>
            </a:ln>
            <a:effectLst/>
          </c:spPr>
          <c:marker>
            <c:symbol val="none"/>
          </c:marker>
          <c:cat>
            <c:strRef>
              <c:f>'[2]3.9'!$K$3:$P$3</c:f>
              <c:strCache>
                <c:ptCount val="6"/>
                <c:pt idx="0">
                  <c:v>A1</c:v>
                </c:pt>
                <c:pt idx="1">
                  <c:v>A2</c:v>
                </c:pt>
                <c:pt idx="2">
                  <c:v>B1</c:v>
                </c:pt>
                <c:pt idx="3">
                  <c:v>B2</c:v>
                </c:pt>
                <c:pt idx="4">
                  <c:v>B3</c:v>
                </c:pt>
                <c:pt idx="5">
                  <c:v>Cost</c:v>
                </c:pt>
              </c:strCache>
            </c:strRef>
          </c:cat>
          <c:val>
            <c:numRef>
              <c:f>'[2]3.9'!$K$6:$P$6</c:f>
              <c:numCache>
                <c:formatCode>General</c:formatCode>
                <c:ptCount val="6"/>
                <c:pt idx="0">
                  <c:v>9</c:v>
                </c:pt>
                <c:pt idx="1">
                  <c:v>8</c:v>
                </c:pt>
                <c:pt idx="2">
                  <c:v>69</c:v>
                </c:pt>
                <c:pt idx="3">
                  <c:v>34</c:v>
                </c:pt>
                <c:pt idx="4">
                  <c:v>135</c:v>
                </c:pt>
                <c:pt idx="5">
                  <c:v>940</c:v>
                </c:pt>
              </c:numCache>
            </c:numRef>
          </c:val>
          <c:smooth val="0"/>
          <c:extLst>
            <c:ext xmlns:c16="http://schemas.microsoft.com/office/drawing/2014/chart" uri="{C3380CC4-5D6E-409C-BE32-E72D297353CC}">
              <c16:uniqueId val="{00000002-1159-428D-B90C-5A12FF92904F}"/>
            </c:ext>
          </c:extLst>
        </c:ser>
        <c:ser>
          <c:idx val="3"/>
          <c:order val="3"/>
          <c:spPr>
            <a:ln w="28575" cap="rnd">
              <a:solidFill>
                <a:schemeClr val="accent4"/>
              </a:solidFill>
              <a:round/>
            </a:ln>
            <a:effectLst/>
          </c:spPr>
          <c:marker>
            <c:symbol val="none"/>
          </c:marker>
          <c:cat>
            <c:strRef>
              <c:f>'[2]3.9'!$K$3:$P$3</c:f>
              <c:strCache>
                <c:ptCount val="6"/>
                <c:pt idx="0">
                  <c:v>A1</c:v>
                </c:pt>
                <c:pt idx="1">
                  <c:v>A2</c:v>
                </c:pt>
                <c:pt idx="2">
                  <c:v>B1</c:v>
                </c:pt>
                <c:pt idx="3">
                  <c:v>B2</c:v>
                </c:pt>
                <c:pt idx="4">
                  <c:v>B3</c:v>
                </c:pt>
                <c:pt idx="5">
                  <c:v>Cost</c:v>
                </c:pt>
              </c:strCache>
            </c:strRef>
          </c:cat>
          <c:val>
            <c:numRef>
              <c:f>'[2]3.9'!$K$7:$P$7</c:f>
              <c:numCache>
                <c:formatCode>General</c:formatCode>
                <c:ptCount val="6"/>
                <c:pt idx="0">
                  <c:v>7</c:v>
                </c:pt>
                <c:pt idx="1">
                  <c:v>8</c:v>
                </c:pt>
                <c:pt idx="2">
                  <c:v>59</c:v>
                </c:pt>
                <c:pt idx="3">
                  <c:v>30</c:v>
                </c:pt>
                <c:pt idx="4">
                  <c:v>121</c:v>
                </c:pt>
                <c:pt idx="5">
                  <c:v>820</c:v>
                </c:pt>
              </c:numCache>
            </c:numRef>
          </c:val>
          <c:smooth val="0"/>
          <c:extLst>
            <c:ext xmlns:c16="http://schemas.microsoft.com/office/drawing/2014/chart" uri="{C3380CC4-5D6E-409C-BE32-E72D297353CC}">
              <c16:uniqueId val="{00000003-1159-428D-B90C-5A12FF92904F}"/>
            </c:ext>
          </c:extLst>
        </c:ser>
        <c:ser>
          <c:idx val="4"/>
          <c:order val="4"/>
          <c:spPr>
            <a:ln w="28575" cap="rnd">
              <a:solidFill>
                <a:schemeClr val="accent5"/>
              </a:solidFill>
              <a:round/>
            </a:ln>
            <a:effectLst/>
          </c:spPr>
          <c:marker>
            <c:symbol val="none"/>
          </c:marker>
          <c:cat>
            <c:strRef>
              <c:f>'[2]3.9'!$K$3:$P$3</c:f>
              <c:strCache>
                <c:ptCount val="6"/>
                <c:pt idx="0">
                  <c:v>A1</c:v>
                </c:pt>
                <c:pt idx="1">
                  <c:v>A2</c:v>
                </c:pt>
                <c:pt idx="2">
                  <c:v>B1</c:v>
                </c:pt>
                <c:pt idx="3">
                  <c:v>B2</c:v>
                </c:pt>
                <c:pt idx="4">
                  <c:v>B3</c:v>
                </c:pt>
                <c:pt idx="5">
                  <c:v>Cost</c:v>
                </c:pt>
              </c:strCache>
            </c:strRef>
          </c:cat>
          <c:val>
            <c:numRef>
              <c:f>'[2]3.9'!$K$8:$P$8</c:f>
              <c:numCache>
                <c:formatCode>General</c:formatCode>
                <c:ptCount val="6"/>
                <c:pt idx="0">
                  <c:v>8</c:v>
                </c:pt>
                <c:pt idx="1">
                  <c:v>8</c:v>
                </c:pt>
                <c:pt idx="2">
                  <c:v>64</c:v>
                </c:pt>
                <c:pt idx="3">
                  <c:v>32</c:v>
                </c:pt>
                <c:pt idx="4">
                  <c:v>128</c:v>
                </c:pt>
                <c:pt idx="5">
                  <c:v>880</c:v>
                </c:pt>
              </c:numCache>
            </c:numRef>
          </c:val>
          <c:smooth val="0"/>
          <c:extLst>
            <c:ext xmlns:c16="http://schemas.microsoft.com/office/drawing/2014/chart" uri="{C3380CC4-5D6E-409C-BE32-E72D297353CC}">
              <c16:uniqueId val="{00000004-1159-428D-B90C-5A12FF92904F}"/>
            </c:ext>
          </c:extLst>
        </c:ser>
        <c:ser>
          <c:idx val="5"/>
          <c:order val="5"/>
          <c:spPr>
            <a:ln w="28575" cap="rnd">
              <a:solidFill>
                <a:schemeClr val="accent6"/>
              </a:solidFill>
              <a:round/>
            </a:ln>
            <a:effectLst/>
          </c:spPr>
          <c:marker>
            <c:symbol val="none"/>
          </c:marker>
          <c:cat>
            <c:strRef>
              <c:f>'[2]3.9'!$K$3:$P$3</c:f>
              <c:strCache>
                <c:ptCount val="6"/>
                <c:pt idx="0">
                  <c:v>A1</c:v>
                </c:pt>
                <c:pt idx="1">
                  <c:v>A2</c:v>
                </c:pt>
                <c:pt idx="2">
                  <c:v>B1</c:v>
                </c:pt>
                <c:pt idx="3">
                  <c:v>B2</c:v>
                </c:pt>
                <c:pt idx="4">
                  <c:v>B3</c:v>
                </c:pt>
                <c:pt idx="5">
                  <c:v>Cost</c:v>
                </c:pt>
              </c:strCache>
            </c:strRef>
          </c:cat>
          <c:val>
            <c:numRef>
              <c:f>'[2]3.9'!$K$9:$P$9</c:f>
              <c:numCache>
                <c:formatCode>General</c:formatCode>
                <c:ptCount val="6"/>
                <c:pt idx="0">
                  <c:v>6</c:v>
                </c:pt>
                <c:pt idx="1">
                  <c:v>10</c:v>
                </c:pt>
                <c:pt idx="2">
                  <c:v>60</c:v>
                </c:pt>
                <c:pt idx="3">
                  <c:v>32</c:v>
                </c:pt>
                <c:pt idx="4">
                  <c:v>132</c:v>
                </c:pt>
                <c:pt idx="5">
                  <c:v>860</c:v>
                </c:pt>
              </c:numCache>
            </c:numRef>
          </c:val>
          <c:smooth val="0"/>
          <c:extLst>
            <c:ext xmlns:c16="http://schemas.microsoft.com/office/drawing/2014/chart" uri="{C3380CC4-5D6E-409C-BE32-E72D297353CC}">
              <c16:uniqueId val="{00000005-1159-428D-B90C-5A12FF92904F}"/>
            </c:ext>
          </c:extLst>
        </c:ser>
        <c:dLbls>
          <c:showLegendKey val="0"/>
          <c:showVal val="0"/>
          <c:showCatName val="0"/>
          <c:showSerName val="0"/>
          <c:showPercent val="0"/>
          <c:showBubbleSize val="0"/>
        </c:dLbls>
        <c:smooth val="0"/>
        <c:axId val="836508640"/>
        <c:axId val="872678880"/>
      </c:lineChart>
      <c:catAx>
        <c:axId val="836508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678880"/>
        <c:crosses val="autoZero"/>
        <c:auto val="1"/>
        <c:lblAlgn val="ctr"/>
        <c:lblOffset val="100"/>
        <c:noMultiLvlLbl val="0"/>
      </c:catAx>
      <c:valAx>
        <c:axId val="87267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508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3.3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'[2]3.3'!$K$7</c:f>
              <c:strCache>
                <c:ptCount val="1"/>
                <c:pt idx="0">
                  <c:v>A1</c:v>
                </c:pt>
              </c:strCache>
            </c:strRef>
          </c:tx>
          <c:spPr>
            <a:ln w="28575" cap="rnd">
              <a:solidFill>
                <a:schemeClr val="accent1"/>
              </a:solidFill>
              <a:round/>
            </a:ln>
            <a:effectLst/>
          </c:spPr>
          <c:marker>
            <c:symbol val="none"/>
          </c:marker>
          <c:val>
            <c:numRef>
              <c:f>'[2]3.3'!$K$8:$K$14</c:f>
              <c:numCache>
                <c:formatCode>General</c:formatCode>
                <c:ptCount val="7"/>
                <c:pt idx="0">
                  <c:v>0</c:v>
                </c:pt>
                <c:pt idx="1">
                  <c:v>0</c:v>
                </c:pt>
                <c:pt idx="2">
                  <c:v>1</c:v>
                </c:pt>
                <c:pt idx="3">
                  <c:v>1</c:v>
                </c:pt>
                <c:pt idx="4">
                  <c:v>2</c:v>
                </c:pt>
                <c:pt idx="5">
                  <c:v>2</c:v>
                </c:pt>
                <c:pt idx="6">
                  <c:v>2</c:v>
                </c:pt>
              </c:numCache>
            </c:numRef>
          </c:val>
          <c:smooth val="0"/>
          <c:extLst>
            <c:ext xmlns:c16="http://schemas.microsoft.com/office/drawing/2014/chart" uri="{C3380CC4-5D6E-409C-BE32-E72D297353CC}">
              <c16:uniqueId val="{00000000-FDFF-4BA9-A58D-9AC2C8DF389B}"/>
            </c:ext>
          </c:extLst>
        </c:ser>
        <c:ser>
          <c:idx val="1"/>
          <c:order val="1"/>
          <c:tx>
            <c:strRef>
              <c:f>'[2]3.3'!$L$7</c:f>
              <c:strCache>
                <c:ptCount val="1"/>
                <c:pt idx="0">
                  <c:v>A2</c:v>
                </c:pt>
              </c:strCache>
            </c:strRef>
          </c:tx>
          <c:spPr>
            <a:ln w="28575" cap="rnd">
              <a:solidFill>
                <a:schemeClr val="accent2"/>
              </a:solidFill>
              <a:round/>
            </a:ln>
            <a:effectLst/>
          </c:spPr>
          <c:marker>
            <c:symbol val="none"/>
          </c:marker>
          <c:val>
            <c:numRef>
              <c:f>'[2]3.3'!$L$8:$L$14</c:f>
              <c:numCache>
                <c:formatCode>General</c:formatCode>
                <c:ptCount val="7"/>
                <c:pt idx="0">
                  <c:v>0</c:v>
                </c:pt>
                <c:pt idx="1">
                  <c:v>1</c:v>
                </c:pt>
                <c:pt idx="2">
                  <c:v>1</c:v>
                </c:pt>
                <c:pt idx="3">
                  <c:v>2</c:v>
                </c:pt>
                <c:pt idx="4">
                  <c:v>2</c:v>
                </c:pt>
                <c:pt idx="5">
                  <c:v>3</c:v>
                </c:pt>
                <c:pt idx="6">
                  <c:v>4</c:v>
                </c:pt>
              </c:numCache>
            </c:numRef>
          </c:val>
          <c:smooth val="0"/>
          <c:extLst>
            <c:ext xmlns:c16="http://schemas.microsoft.com/office/drawing/2014/chart" uri="{C3380CC4-5D6E-409C-BE32-E72D297353CC}">
              <c16:uniqueId val="{00000001-FDFF-4BA9-A58D-9AC2C8DF389B}"/>
            </c:ext>
          </c:extLst>
        </c:ser>
        <c:ser>
          <c:idx val="2"/>
          <c:order val="2"/>
          <c:tx>
            <c:strRef>
              <c:f>'[2]3.3'!$M$7</c:f>
              <c:strCache>
                <c:ptCount val="1"/>
                <c:pt idx="0">
                  <c:v>R1</c:v>
                </c:pt>
              </c:strCache>
            </c:strRef>
          </c:tx>
          <c:spPr>
            <a:ln w="28575" cap="rnd">
              <a:solidFill>
                <a:schemeClr val="accent3"/>
              </a:solidFill>
              <a:round/>
            </a:ln>
            <a:effectLst/>
          </c:spPr>
          <c:marker>
            <c:symbol val="none"/>
          </c:marker>
          <c:val>
            <c:numRef>
              <c:f>'[2]3.3'!$M$8:$M$14</c:f>
              <c:numCache>
                <c:formatCode>General</c:formatCode>
                <c:ptCount val="7"/>
                <c:pt idx="0">
                  <c:v>0</c:v>
                </c:pt>
                <c:pt idx="1">
                  <c:v>1</c:v>
                </c:pt>
                <c:pt idx="2">
                  <c:v>3</c:v>
                </c:pt>
                <c:pt idx="3">
                  <c:v>4</c:v>
                </c:pt>
                <c:pt idx="4">
                  <c:v>6</c:v>
                </c:pt>
                <c:pt idx="5">
                  <c:v>7</c:v>
                </c:pt>
                <c:pt idx="6">
                  <c:v>8</c:v>
                </c:pt>
              </c:numCache>
            </c:numRef>
          </c:val>
          <c:smooth val="0"/>
          <c:extLst>
            <c:ext xmlns:c16="http://schemas.microsoft.com/office/drawing/2014/chart" uri="{C3380CC4-5D6E-409C-BE32-E72D297353CC}">
              <c16:uniqueId val="{00000002-FDFF-4BA9-A58D-9AC2C8DF389B}"/>
            </c:ext>
          </c:extLst>
        </c:ser>
        <c:ser>
          <c:idx val="3"/>
          <c:order val="3"/>
          <c:tx>
            <c:strRef>
              <c:f>'[2]3.3'!$N$7</c:f>
              <c:strCache>
                <c:ptCount val="1"/>
                <c:pt idx="0">
                  <c:v>R2</c:v>
                </c:pt>
              </c:strCache>
            </c:strRef>
          </c:tx>
          <c:spPr>
            <a:ln w="28575" cap="rnd">
              <a:solidFill>
                <a:schemeClr val="accent4"/>
              </a:solidFill>
              <a:round/>
            </a:ln>
            <a:effectLst/>
          </c:spPr>
          <c:marker>
            <c:symbol val="none"/>
          </c:marker>
          <c:val>
            <c:numRef>
              <c:f>'[2]3.3'!$N$8:$N$14</c:f>
              <c:numCache>
                <c:formatCode>General</c:formatCode>
                <c:ptCount val="7"/>
                <c:pt idx="0">
                  <c:v>0</c:v>
                </c:pt>
                <c:pt idx="1">
                  <c:v>3</c:v>
                </c:pt>
                <c:pt idx="2">
                  <c:v>6</c:v>
                </c:pt>
                <c:pt idx="3">
                  <c:v>9</c:v>
                </c:pt>
                <c:pt idx="4">
                  <c:v>12</c:v>
                </c:pt>
                <c:pt idx="5">
                  <c:v>15</c:v>
                </c:pt>
                <c:pt idx="6">
                  <c:v>18</c:v>
                </c:pt>
              </c:numCache>
            </c:numRef>
          </c:val>
          <c:smooth val="0"/>
          <c:extLst>
            <c:ext xmlns:c16="http://schemas.microsoft.com/office/drawing/2014/chart" uri="{C3380CC4-5D6E-409C-BE32-E72D297353CC}">
              <c16:uniqueId val="{00000003-FDFF-4BA9-A58D-9AC2C8DF389B}"/>
            </c:ext>
          </c:extLst>
        </c:ser>
        <c:ser>
          <c:idx val="4"/>
          <c:order val="4"/>
          <c:tx>
            <c:strRef>
              <c:f>'[2]3.3'!$O$7</c:f>
              <c:strCache>
                <c:ptCount val="1"/>
                <c:pt idx="0">
                  <c:v>R3</c:v>
                </c:pt>
              </c:strCache>
            </c:strRef>
          </c:tx>
          <c:spPr>
            <a:ln w="28575" cap="rnd">
              <a:solidFill>
                <a:schemeClr val="accent5"/>
              </a:solidFill>
              <a:round/>
            </a:ln>
            <a:effectLst/>
          </c:spPr>
          <c:marker>
            <c:symbol val="none"/>
          </c:marker>
          <c:val>
            <c:numRef>
              <c:f>'[2]3.3'!$O$8:$O$14</c:f>
              <c:numCache>
                <c:formatCode>General</c:formatCode>
                <c:ptCount val="7"/>
                <c:pt idx="0">
                  <c:v>0</c:v>
                </c:pt>
                <c:pt idx="1">
                  <c:v>4</c:v>
                </c:pt>
                <c:pt idx="2">
                  <c:v>6</c:v>
                </c:pt>
                <c:pt idx="3">
                  <c:v>10</c:v>
                </c:pt>
                <c:pt idx="4">
                  <c:v>12</c:v>
                </c:pt>
                <c:pt idx="5">
                  <c:v>16</c:v>
                </c:pt>
                <c:pt idx="6">
                  <c:v>20</c:v>
                </c:pt>
              </c:numCache>
            </c:numRef>
          </c:val>
          <c:smooth val="0"/>
          <c:extLst>
            <c:ext xmlns:c16="http://schemas.microsoft.com/office/drawing/2014/chart" uri="{C3380CC4-5D6E-409C-BE32-E72D297353CC}">
              <c16:uniqueId val="{00000004-FDFF-4BA9-A58D-9AC2C8DF389B}"/>
            </c:ext>
          </c:extLst>
        </c:ser>
        <c:ser>
          <c:idx val="5"/>
          <c:order val="5"/>
          <c:tx>
            <c:strRef>
              <c:f>'[2]3.3'!$P$7</c:f>
              <c:strCache>
                <c:ptCount val="1"/>
                <c:pt idx="0">
                  <c:v>P</c:v>
                </c:pt>
              </c:strCache>
            </c:strRef>
          </c:tx>
          <c:spPr>
            <a:ln w="28575" cap="rnd">
              <a:solidFill>
                <a:schemeClr val="accent6"/>
              </a:solidFill>
              <a:round/>
            </a:ln>
            <a:effectLst/>
          </c:spPr>
          <c:marker>
            <c:symbol val="none"/>
          </c:marker>
          <c:val>
            <c:numRef>
              <c:f>'[2]3.3'!$P$8:$P$14</c:f>
              <c:numCache>
                <c:formatCode>General</c:formatCode>
                <c:ptCount val="7"/>
                <c:pt idx="0">
                  <c:v>0</c:v>
                </c:pt>
                <c:pt idx="1">
                  <c:v>30</c:v>
                </c:pt>
                <c:pt idx="2">
                  <c:v>50</c:v>
                </c:pt>
                <c:pt idx="3">
                  <c:v>80</c:v>
                </c:pt>
                <c:pt idx="4">
                  <c:v>100</c:v>
                </c:pt>
                <c:pt idx="5">
                  <c:v>130</c:v>
                </c:pt>
                <c:pt idx="6">
                  <c:v>160</c:v>
                </c:pt>
              </c:numCache>
            </c:numRef>
          </c:val>
          <c:smooth val="0"/>
          <c:extLst>
            <c:ext xmlns:c16="http://schemas.microsoft.com/office/drawing/2014/chart" uri="{C3380CC4-5D6E-409C-BE32-E72D297353CC}">
              <c16:uniqueId val="{00000005-FDFF-4BA9-A58D-9AC2C8DF389B}"/>
            </c:ext>
          </c:extLst>
        </c:ser>
        <c:dLbls>
          <c:showLegendKey val="0"/>
          <c:showVal val="0"/>
          <c:showCatName val="0"/>
          <c:showSerName val="0"/>
          <c:showPercent val="0"/>
          <c:showBubbleSize val="0"/>
        </c:dLbls>
        <c:smooth val="0"/>
        <c:axId val="592489056"/>
        <c:axId val="256895216"/>
      </c:lineChart>
      <c:catAx>
        <c:axId val="5924890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895216"/>
        <c:crosses val="autoZero"/>
        <c:auto val="1"/>
        <c:lblAlgn val="ctr"/>
        <c:lblOffset val="100"/>
        <c:noMultiLvlLbl val="0"/>
      </c:catAx>
      <c:valAx>
        <c:axId val="256895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489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3.9</a:t>
            </a:r>
            <a:r>
              <a:rPr lang="en-US" baseline="0"/>
              <a:t>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'[2]3.9'!$K$3:$P$3</c:f>
              <c:strCache>
                <c:ptCount val="6"/>
                <c:pt idx="0">
                  <c:v>A1</c:v>
                </c:pt>
                <c:pt idx="1">
                  <c:v>A2</c:v>
                </c:pt>
                <c:pt idx="2">
                  <c:v>B1</c:v>
                </c:pt>
                <c:pt idx="3">
                  <c:v>B2</c:v>
                </c:pt>
                <c:pt idx="4">
                  <c:v>B3</c:v>
                </c:pt>
                <c:pt idx="5">
                  <c:v>Cost</c:v>
                </c:pt>
              </c:strCache>
            </c:strRef>
          </c:cat>
          <c:val>
            <c:numRef>
              <c:f>'[2]3.9'!$K$4:$P$4</c:f>
              <c:numCache>
                <c:formatCode>General</c:formatCode>
                <c:ptCount val="6"/>
                <c:pt idx="0">
                  <c:v>7</c:v>
                </c:pt>
                <c:pt idx="1">
                  <c:v>7</c:v>
                </c:pt>
                <c:pt idx="2">
                  <c:v>56</c:v>
                </c:pt>
                <c:pt idx="3">
                  <c:v>28</c:v>
                </c:pt>
                <c:pt idx="4">
                  <c:v>112</c:v>
                </c:pt>
                <c:pt idx="5">
                  <c:v>770</c:v>
                </c:pt>
              </c:numCache>
            </c:numRef>
          </c:val>
          <c:smooth val="0"/>
          <c:extLst>
            <c:ext xmlns:c16="http://schemas.microsoft.com/office/drawing/2014/chart" uri="{C3380CC4-5D6E-409C-BE32-E72D297353CC}">
              <c16:uniqueId val="{00000000-1C38-4824-8166-DC5ACF37F90E}"/>
            </c:ext>
          </c:extLst>
        </c:ser>
        <c:ser>
          <c:idx val="1"/>
          <c:order val="1"/>
          <c:spPr>
            <a:ln w="28575" cap="rnd">
              <a:solidFill>
                <a:schemeClr val="accent2"/>
              </a:solidFill>
              <a:round/>
            </a:ln>
            <a:effectLst/>
          </c:spPr>
          <c:marker>
            <c:symbol val="none"/>
          </c:marker>
          <c:cat>
            <c:strRef>
              <c:f>'[2]3.9'!$K$3:$P$3</c:f>
              <c:strCache>
                <c:ptCount val="6"/>
                <c:pt idx="0">
                  <c:v>A1</c:v>
                </c:pt>
                <c:pt idx="1">
                  <c:v>A2</c:v>
                </c:pt>
                <c:pt idx="2">
                  <c:v>B1</c:v>
                </c:pt>
                <c:pt idx="3">
                  <c:v>B2</c:v>
                </c:pt>
                <c:pt idx="4">
                  <c:v>B3</c:v>
                </c:pt>
                <c:pt idx="5">
                  <c:v>Cost</c:v>
                </c:pt>
              </c:strCache>
            </c:strRef>
          </c:cat>
          <c:val>
            <c:numRef>
              <c:f>'[2]3.9'!$K$5:$P$5</c:f>
              <c:numCache>
                <c:formatCode>General</c:formatCode>
                <c:ptCount val="6"/>
                <c:pt idx="0">
                  <c:v>8</c:v>
                </c:pt>
                <c:pt idx="1">
                  <c:v>9</c:v>
                </c:pt>
                <c:pt idx="2">
                  <c:v>67</c:v>
                </c:pt>
                <c:pt idx="3">
                  <c:v>34</c:v>
                </c:pt>
                <c:pt idx="4">
                  <c:v>137</c:v>
                </c:pt>
                <c:pt idx="5">
                  <c:v>930</c:v>
                </c:pt>
              </c:numCache>
            </c:numRef>
          </c:val>
          <c:smooth val="0"/>
          <c:extLst>
            <c:ext xmlns:c16="http://schemas.microsoft.com/office/drawing/2014/chart" uri="{C3380CC4-5D6E-409C-BE32-E72D297353CC}">
              <c16:uniqueId val="{00000001-1C38-4824-8166-DC5ACF37F90E}"/>
            </c:ext>
          </c:extLst>
        </c:ser>
        <c:ser>
          <c:idx val="2"/>
          <c:order val="2"/>
          <c:spPr>
            <a:ln w="28575" cap="rnd">
              <a:solidFill>
                <a:schemeClr val="accent3"/>
              </a:solidFill>
              <a:round/>
            </a:ln>
            <a:effectLst/>
          </c:spPr>
          <c:marker>
            <c:symbol val="none"/>
          </c:marker>
          <c:cat>
            <c:strRef>
              <c:f>'[2]3.9'!$K$3:$P$3</c:f>
              <c:strCache>
                <c:ptCount val="6"/>
                <c:pt idx="0">
                  <c:v>A1</c:v>
                </c:pt>
                <c:pt idx="1">
                  <c:v>A2</c:v>
                </c:pt>
                <c:pt idx="2">
                  <c:v>B1</c:v>
                </c:pt>
                <c:pt idx="3">
                  <c:v>B2</c:v>
                </c:pt>
                <c:pt idx="4">
                  <c:v>B3</c:v>
                </c:pt>
                <c:pt idx="5">
                  <c:v>Cost</c:v>
                </c:pt>
              </c:strCache>
            </c:strRef>
          </c:cat>
          <c:val>
            <c:numRef>
              <c:f>'[2]3.9'!$K$6:$P$6</c:f>
              <c:numCache>
                <c:formatCode>General</c:formatCode>
                <c:ptCount val="6"/>
                <c:pt idx="0">
                  <c:v>9</c:v>
                </c:pt>
                <c:pt idx="1">
                  <c:v>8</c:v>
                </c:pt>
                <c:pt idx="2">
                  <c:v>69</c:v>
                </c:pt>
                <c:pt idx="3">
                  <c:v>34</c:v>
                </c:pt>
                <c:pt idx="4">
                  <c:v>135</c:v>
                </c:pt>
                <c:pt idx="5">
                  <c:v>940</c:v>
                </c:pt>
              </c:numCache>
            </c:numRef>
          </c:val>
          <c:smooth val="0"/>
          <c:extLst>
            <c:ext xmlns:c16="http://schemas.microsoft.com/office/drawing/2014/chart" uri="{C3380CC4-5D6E-409C-BE32-E72D297353CC}">
              <c16:uniqueId val="{00000002-1C38-4824-8166-DC5ACF37F90E}"/>
            </c:ext>
          </c:extLst>
        </c:ser>
        <c:ser>
          <c:idx val="3"/>
          <c:order val="3"/>
          <c:spPr>
            <a:ln w="28575" cap="rnd">
              <a:solidFill>
                <a:schemeClr val="accent4"/>
              </a:solidFill>
              <a:round/>
            </a:ln>
            <a:effectLst/>
          </c:spPr>
          <c:marker>
            <c:symbol val="none"/>
          </c:marker>
          <c:cat>
            <c:strRef>
              <c:f>'[2]3.9'!$K$3:$P$3</c:f>
              <c:strCache>
                <c:ptCount val="6"/>
                <c:pt idx="0">
                  <c:v>A1</c:v>
                </c:pt>
                <c:pt idx="1">
                  <c:v>A2</c:v>
                </c:pt>
                <c:pt idx="2">
                  <c:v>B1</c:v>
                </c:pt>
                <c:pt idx="3">
                  <c:v>B2</c:v>
                </c:pt>
                <c:pt idx="4">
                  <c:v>B3</c:v>
                </c:pt>
                <c:pt idx="5">
                  <c:v>Cost</c:v>
                </c:pt>
              </c:strCache>
            </c:strRef>
          </c:cat>
          <c:val>
            <c:numRef>
              <c:f>'[2]3.9'!$K$7:$P$7</c:f>
              <c:numCache>
                <c:formatCode>General</c:formatCode>
                <c:ptCount val="6"/>
                <c:pt idx="0">
                  <c:v>7</c:v>
                </c:pt>
                <c:pt idx="1">
                  <c:v>8</c:v>
                </c:pt>
                <c:pt idx="2">
                  <c:v>59</c:v>
                </c:pt>
                <c:pt idx="3">
                  <c:v>30</c:v>
                </c:pt>
                <c:pt idx="4">
                  <c:v>121</c:v>
                </c:pt>
                <c:pt idx="5">
                  <c:v>820</c:v>
                </c:pt>
              </c:numCache>
            </c:numRef>
          </c:val>
          <c:smooth val="0"/>
          <c:extLst>
            <c:ext xmlns:c16="http://schemas.microsoft.com/office/drawing/2014/chart" uri="{C3380CC4-5D6E-409C-BE32-E72D297353CC}">
              <c16:uniqueId val="{00000003-1C38-4824-8166-DC5ACF37F90E}"/>
            </c:ext>
          </c:extLst>
        </c:ser>
        <c:ser>
          <c:idx val="4"/>
          <c:order val="4"/>
          <c:spPr>
            <a:ln w="28575" cap="rnd">
              <a:solidFill>
                <a:schemeClr val="accent5"/>
              </a:solidFill>
              <a:round/>
            </a:ln>
            <a:effectLst/>
          </c:spPr>
          <c:marker>
            <c:symbol val="none"/>
          </c:marker>
          <c:cat>
            <c:strRef>
              <c:f>'[2]3.9'!$K$3:$P$3</c:f>
              <c:strCache>
                <c:ptCount val="6"/>
                <c:pt idx="0">
                  <c:v>A1</c:v>
                </c:pt>
                <c:pt idx="1">
                  <c:v>A2</c:v>
                </c:pt>
                <c:pt idx="2">
                  <c:v>B1</c:v>
                </c:pt>
                <c:pt idx="3">
                  <c:v>B2</c:v>
                </c:pt>
                <c:pt idx="4">
                  <c:v>B3</c:v>
                </c:pt>
                <c:pt idx="5">
                  <c:v>Cost</c:v>
                </c:pt>
              </c:strCache>
            </c:strRef>
          </c:cat>
          <c:val>
            <c:numRef>
              <c:f>'[2]3.9'!$K$8:$P$8</c:f>
              <c:numCache>
                <c:formatCode>General</c:formatCode>
                <c:ptCount val="6"/>
                <c:pt idx="0">
                  <c:v>8</c:v>
                </c:pt>
                <c:pt idx="1">
                  <c:v>8</c:v>
                </c:pt>
                <c:pt idx="2">
                  <c:v>64</c:v>
                </c:pt>
                <c:pt idx="3">
                  <c:v>32</c:v>
                </c:pt>
                <c:pt idx="4">
                  <c:v>128</c:v>
                </c:pt>
                <c:pt idx="5">
                  <c:v>880</c:v>
                </c:pt>
              </c:numCache>
            </c:numRef>
          </c:val>
          <c:smooth val="0"/>
          <c:extLst>
            <c:ext xmlns:c16="http://schemas.microsoft.com/office/drawing/2014/chart" uri="{C3380CC4-5D6E-409C-BE32-E72D297353CC}">
              <c16:uniqueId val="{00000004-1C38-4824-8166-DC5ACF37F90E}"/>
            </c:ext>
          </c:extLst>
        </c:ser>
        <c:ser>
          <c:idx val="5"/>
          <c:order val="5"/>
          <c:spPr>
            <a:ln w="28575" cap="rnd">
              <a:solidFill>
                <a:schemeClr val="accent6"/>
              </a:solidFill>
              <a:round/>
            </a:ln>
            <a:effectLst/>
          </c:spPr>
          <c:marker>
            <c:symbol val="none"/>
          </c:marker>
          <c:cat>
            <c:strRef>
              <c:f>'[2]3.9'!$K$3:$P$3</c:f>
              <c:strCache>
                <c:ptCount val="6"/>
                <c:pt idx="0">
                  <c:v>A1</c:v>
                </c:pt>
                <c:pt idx="1">
                  <c:v>A2</c:v>
                </c:pt>
                <c:pt idx="2">
                  <c:v>B1</c:v>
                </c:pt>
                <c:pt idx="3">
                  <c:v>B2</c:v>
                </c:pt>
                <c:pt idx="4">
                  <c:v>B3</c:v>
                </c:pt>
                <c:pt idx="5">
                  <c:v>Cost</c:v>
                </c:pt>
              </c:strCache>
            </c:strRef>
          </c:cat>
          <c:val>
            <c:numRef>
              <c:f>'[2]3.9'!$K$9:$P$9</c:f>
              <c:numCache>
                <c:formatCode>General</c:formatCode>
                <c:ptCount val="6"/>
                <c:pt idx="0">
                  <c:v>6</c:v>
                </c:pt>
                <c:pt idx="1">
                  <c:v>10</c:v>
                </c:pt>
                <c:pt idx="2">
                  <c:v>60</c:v>
                </c:pt>
                <c:pt idx="3">
                  <c:v>32</c:v>
                </c:pt>
                <c:pt idx="4">
                  <c:v>132</c:v>
                </c:pt>
                <c:pt idx="5">
                  <c:v>860</c:v>
                </c:pt>
              </c:numCache>
            </c:numRef>
          </c:val>
          <c:smooth val="0"/>
          <c:extLst>
            <c:ext xmlns:c16="http://schemas.microsoft.com/office/drawing/2014/chart" uri="{C3380CC4-5D6E-409C-BE32-E72D297353CC}">
              <c16:uniqueId val="{00000005-1C38-4824-8166-DC5ACF37F90E}"/>
            </c:ext>
          </c:extLst>
        </c:ser>
        <c:dLbls>
          <c:showLegendKey val="0"/>
          <c:showVal val="0"/>
          <c:showCatName val="0"/>
          <c:showSerName val="0"/>
          <c:showPercent val="0"/>
          <c:showBubbleSize val="0"/>
        </c:dLbls>
        <c:smooth val="0"/>
        <c:axId val="836508640"/>
        <c:axId val="872678880"/>
      </c:lineChart>
      <c:catAx>
        <c:axId val="836508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678880"/>
        <c:crosses val="autoZero"/>
        <c:auto val="1"/>
        <c:lblAlgn val="ctr"/>
        <c:lblOffset val="100"/>
        <c:noMultiLvlLbl val="0"/>
      </c:catAx>
      <c:valAx>
        <c:axId val="87267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508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One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'8.14'!$E$3</c:f>
              <c:strCache>
                <c:ptCount val="1"/>
                <c:pt idx="0">
                  <c:v>Product One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'8.14'!$E$4:$E$10</c:f>
              <c:numCache>
                <c:formatCode>General</c:formatCode>
                <c:ptCount val="7"/>
                <c:pt idx="0">
                  <c:v>0</c:v>
                </c:pt>
                <c:pt idx="1">
                  <c:v>1</c:v>
                </c:pt>
                <c:pt idx="2">
                  <c:v>2</c:v>
                </c:pt>
                <c:pt idx="3">
                  <c:v>2.5</c:v>
                </c:pt>
                <c:pt idx="4">
                  <c:v>3</c:v>
                </c:pt>
                <c:pt idx="5">
                  <c:v>4</c:v>
                </c:pt>
                <c:pt idx="6">
                  <c:v>5</c:v>
                </c:pt>
              </c:numCache>
            </c:numRef>
          </c:val>
          <c:smooth val="0"/>
          <c:extLst>
            <c:ext xmlns:c16="http://schemas.microsoft.com/office/drawing/2014/chart" uri="{C3380CC4-5D6E-409C-BE32-E72D297353CC}">
              <c16:uniqueId val="{00000000-518C-4D03-A31D-D55837D1771D}"/>
            </c:ext>
          </c:extLst>
        </c:ser>
        <c:ser>
          <c:idx val="1"/>
          <c:order val="1"/>
          <c:tx>
            <c:strRef>
              <c:f>'8.14'!$F$3</c:f>
              <c:strCache>
                <c:ptCount val="1"/>
                <c:pt idx="0">
                  <c:v>Profit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2"/>
            <c:dispRSqr val="0"/>
            <c:dispEq val="0"/>
          </c:trendline>
          <c:val>
            <c:numRef>
              <c:f>'8.14'!$F$4:$F$10</c:f>
              <c:numCache>
                <c:formatCode>"$"#,##0.00</c:formatCode>
                <c:ptCount val="7"/>
                <c:pt idx="0">
                  <c:v>-1</c:v>
                </c:pt>
                <c:pt idx="1">
                  <c:v>3</c:v>
                </c:pt>
                <c:pt idx="2">
                  <c:v>5</c:v>
                </c:pt>
                <c:pt idx="3">
                  <c:v>5.25</c:v>
                </c:pt>
                <c:pt idx="4">
                  <c:v>5</c:v>
                </c:pt>
                <c:pt idx="5">
                  <c:v>3</c:v>
                </c:pt>
                <c:pt idx="6">
                  <c:v>-1</c:v>
                </c:pt>
              </c:numCache>
            </c:numRef>
          </c:val>
          <c:smooth val="0"/>
          <c:extLst>
            <c:ext xmlns:c16="http://schemas.microsoft.com/office/drawing/2014/chart" uri="{C3380CC4-5D6E-409C-BE32-E72D297353CC}">
              <c16:uniqueId val="{00000001-518C-4D03-A31D-D55837D1771D}"/>
            </c:ext>
          </c:extLst>
        </c:ser>
        <c:dLbls>
          <c:showLegendKey val="0"/>
          <c:showVal val="0"/>
          <c:showCatName val="0"/>
          <c:showSerName val="0"/>
          <c:showPercent val="0"/>
          <c:showBubbleSize val="0"/>
        </c:dLbls>
        <c:marker val="1"/>
        <c:smooth val="0"/>
        <c:axId val="732730367"/>
        <c:axId val="1359548207"/>
      </c:lineChart>
      <c:catAx>
        <c:axId val="73273036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548207"/>
        <c:crosses val="autoZero"/>
        <c:auto val="1"/>
        <c:lblAlgn val="ctr"/>
        <c:lblOffset val="100"/>
        <c:noMultiLvlLbl val="0"/>
      </c:catAx>
      <c:valAx>
        <c:axId val="1359548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730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Two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'8.14'!$H$3</c:f>
              <c:strCache>
                <c:ptCount val="1"/>
                <c:pt idx="0">
                  <c:v>Product Two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'8.14'!$H$4:$H$10</c:f>
              <c:numCache>
                <c:formatCode>General</c:formatCode>
                <c:ptCount val="7"/>
                <c:pt idx="0">
                  <c:v>0</c:v>
                </c:pt>
                <c:pt idx="1">
                  <c:v>1</c:v>
                </c:pt>
                <c:pt idx="2">
                  <c:v>2</c:v>
                </c:pt>
                <c:pt idx="3">
                  <c:v>3</c:v>
                </c:pt>
                <c:pt idx="4">
                  <c:v>3.5</c:v>
                </c:pt>
                <c:pt idx="5">
                  <c:v>4</c:v>
                </c:pt>
                <c:pt idx="6">
                  <c:v>5</c:v>
                </c:pt>
              </c:numCache>
            </c:numRef>
          </c:val>
          <c:smooth val="0"/>
          <c:extLst>
            <c:ext xmlns:c16="http://schemas.microsoft.com/office/drawing/2014/chart" uri="{C3380CC4-5D6E-409C-BE32-E72D297353CC}">
              <c16:uniqueId val="{00000000-7EEB-49E5-AB16-6E23E2354449}"/>
            </c:ext>
          </c:extLst>
        </c:ser>
        <c:ser>
          <c:idx val="1"/>
          <c:order val="1"/>
          <c:tx>
            <c:strRef>
              <c:f>'8.14'!$I$3</c:f>
              <c:strCache>
                <c:ptCount val="1"/>
                <c:pt idx="0">
                  <c:v>Profit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'8.14'!$I$4:$I$10</c:f>
              <c:numCache>
                <c:formatCode>"$"#,##0.00</c:formatCode>
                <c:ptCount val="7"/>
                <c:pt idx="0">
                  <c:v>-4</c:v>
                </c:pt>
                <c:pt idx="1">
                  <c:v>2</c:v>
                </c:pt>
                <c:pt idx="2">
                  <c:v>6</c:v>
                </c:pt>
                <c:pt idx="3">
                  <c:v>8</c:v>
                </c:pt>
                <c:pt idx="4">
                  <c:v>8.25</c:v>
                </c:pt>
                <c:pt idx="5">
                  <c:v>8</c:v>
                </c:pt>
                <c:pt idx="6">
                  <c:v>6</c:v>
                </c:pt>
              </c:numCache>
            </c:numRef>
          </c:val>
          <c:smooth val="0"/>
          <c:extLst>
            <c:ext xmlns:c16="http://schemas.microsoft.com/office/drawing/2014/chart" uri="{C3380CC4-5D6E-409C-BE32-E72D297353CC}">
              <c16:uniqueId val="{00000001-7EEB-49E5-AB16-6E23E2354449}"/>
            </c:ext>
          </c:extLst>
        </c:ser>
        <c:dLbls>
          <c:showLegendKey val="0"/>
          <c:showVal val="0"/>
          <c:showCatName val="0"/>
          <c:showSerName val="0"/>
          <c:showPercent val="0"/>
          <c:showBubbleSize val="0"/>
        </c:dLbls>
        <c:marker val="1"/>
        <c:smooth val="0"/>
        <c:axId val="893649775"/>
        <c:axId val="899261231"/>
      </c:lineChart>
      <c:catAx>
        <c:axId val="89364977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261231"/>
        <c:crosses val="autoZero"/>
        <c:auto val="1"/>
        <c:lblAlgn val="ctr"/>
        <c:lblOffset val="100"/>
        <c:noMultiLvlLbl val="0"/>
      </c:catAx>
      <c:valAx>
        <c:axId val="899261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649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'Keeping Time'!$K$3</c:f>
              <c:strCache>
                <c:ptCount val="1"/>
                <c:pt idx="0">
                  <c:v>TR</c:v>
                </c:pt>
              </c:strCache>
            </c:strRef>
          </c:tx>
          <c:spPr>
            <a:ln w="28575" cap="rnd">
              <a:solidFill>
                <a:schemeClr val="accent1"/>
              </a:solidFill>
              <a:round/>
            </a:ln>
            <a:effectLst/>
          </c:spPr>
          <c:marker>
            <c:symbol val="none"/>
          </c:marker>
          <c:val>
            <c:numRef>
              <c:f>'Keeping Time'!$K$4:$K$14</c:f>
              <c:numCache>
                <c:formatCode>_("$"* #,##0_);_("$"* \(#,##0\);_("$"* "-"??_);_(@_)</c:formatCode>
                <c:ptCount val="11"/>
                <c:pt idx="0">
                  <c:v>4500</c:v>
                </c:pt>
                <c:pt idx="1">
                  <c:v>45000</c:v>
                </c:pt>
                <c:pt idx="2">
                  <c:v>90000</c:v>
                </c:pt>
                <c:pt idx="3">
                  <c:v>135000</c:v>
                </c:pt>
                <c:pt idx="4">
                  <c:v>180000</c:v>
                </c:pt>
                <c:pt idx="5">
                  <c:v>225000</c:v>
                </c:pt>
                <c:pt idx="6">
                  <c:v>270000</c:v>
                </c:pt>
                <c:pt idx="7">
                  <c:v>315000</c:v>
                </c:pt>
                <c:pt idx="8">
                  <c:v>360000</c:v>
                </c:pt>
                <c:pt idx="9">
                  <c:v>405000</c:v>
                </c:pt>
                <c:pt idx="10">
                  <c:v>450000</c:v>
                </c:pt>
              </c:numCache>
            </c:numRef>
          </c:val>
          <c:smooth val="0"/>
          <c:extLst>
            <c:ext xmlns:c16="http://schemas.microsoft.com/office/drawing/2014/chart" uri="{C3380CC4-5D6E-409C-BE32-E72D297353CC}">
              <c16:uniqueId val="{00000000-A3F7-484F-B6E3-43C4AF370044}"/>
            </c:ext>
          </c:extLst>
        </c:ser>
        <c:ser>
          <c:idx val="1"/>
          <c:order val="1"/>
          <c:tx>
            <c:strRef>
              <c:f>'Keeping Time'!$L$3</c:f>
              <c:strCache>
                <c:ptCount val="1"/>
                <c:pt idx="0">
                  <c:v>TC</c:v>
                </c:pt>
              </c:strCache>
            </c:strRef>
          </c:tx>
          <c:spPr>
            <a:ln w="28575" cap="rnd">
              <a:solidFill>
                <a:schemeClr val="accent2"/>
              </a:solidFill>
              <a:round/>
            </a:ln>
            <a:effectLst/>
          </c:spPr>
          <c:marker>
            <c:symbol val="none"/>
          </c:marker>
          <c:val>
            <c:numRef>
              <c:f>'Keeping Time'!$L$4:$L$14</c:f>
              <c:numCache>
                <c:formatCode>_("$"* #,##0_);_("$"* \(#,##0\);_("$"* "-"??_);_(@_)</c:formatCode>
                <c:ptCount val="11"/>
                <c:pt idx="0">
                  <c:v>252000</c:v>
                </c:pt>
                <c:pt idx="1">
                  <c:v>270000</c:v>
                </c:pt>
                <c:pt idx="2">
                  <c:v>290000</c:v>
                </c:pt>
                <c:pt idx="3">
                  <c:v>310000</c:v>
                </c:pt>
                <c:pt idx="4">
                  <c:v>330000</c:v>
                </c:pt>
                <c:pt idx="5">
                  <c:v>350000</c:v>
                </c:pt>
                <c:pt idx="6">
                  <c:v>370000</c:v>
                </c:pt>
                <c:pt idx="7">
                  <c:v>390000</c:v>
                </c:pt>
                <c:pt idx="8">
                  <c:v>410000</c:v>
                </c:pt>
                <c:pt idx="9">
                  <c:v>430000</c:v>
                </c:pt>
                <c:pt idx="10">
                  <c:v>450000</c:v>
                </c:pt>
              </c:numCache>
            </c:numRef>
          </c:val>
          <c:smooth val="0"/>
          <c:extLst>
            <c:ext xmlns:c16="http://schemas.microsoft.com/office/drawing/2014/chart" uri="{C3380CC4-5D6E-409C-BE32-E72D297353CC}">
              <c16:uniqueId val="{00000001-A3F7-484F-B6E3-43C4AF370044}"/>
            </c:ext>
          </c:extLst>
        </c:ser>
        <c:ser>
          <c:idx val="2"/>
          <c:order val="2"/>
          <c:tx>
            <c:strRef>
              <c:f>'Keeping Time'!$M$3</c:f>
              <c:strCache>
                <c:ptCount val="1"/>
                <c:pt idx="0">
                  <c:v>Profit</c:v>
                </c:pt>
              </c:strCache>
            </c:strRef>
          </c:tx>
          <c:spPr>
            <a:ln w="28575" cap="rnd">
              <a:solidFill>
                <a:schemeClr val="accent3"/>
              </a:solidFill>
              <a:round/>
            </a:ln>
            <a:effectLst/>
          </c:spPr>
          <c:marker>
            <c:symbol val="none"/>
          </c:marker>
          <c:val>
            <c:numRef>
              <c:f>'Keeping Time'!$M$4:$M$14</c:f>
              <c:numCache>
                <c:formatCode>_("$"* #,##0_);_("$"* \(#,##0\);_("$"* "-"??_);_(@_)</c:formatCode>
                <c:ptCount val="11"/>
                <c:pt idx="0">
                  <c:v>-247500</c:v>
                </c:pt>
                <c:pt idx="1">
                  <c:v>-225000</c:v>
                </c:pt>
                <c:pt idx="2">
                  <c:v>-200000</c:v>
                </c:pt>
                <c:pt idx="3">
                  <c:v>-175000</c:v>
                </c:pt>
                <c:pt idx="4">
                  <c:v>-150000</c:v>
                </c:pt>
                <c:pt idx="5">
                  <c:v>-125000</c:v>
                </c:pt>
                <c:pt idx="6">
                  <c:v>-100000</c:v>
                </c:pt>
                <c:pt idx="7">
                  <c:v>-75000</c:v>
                </c:pt>
                <c:pt idx="8">
                  <c:v>-50000</c:v>
                </c:pt>
                <c:pt idx="9">
                  <c:v>-25000</c:v>
                </c:pt>
                <c:pt idx="10">
                  <c:v>0</c:v>
                </c:pt>
              </c:numCache>
            </c:numRef>
          </c:val>
          <c:smooth val="0"/>
          <c:extLst>
            <c:ext xmlns:c16="http://schemas.microsoft.com/office/drawing/2014/chart" uri="{C3380CC4-5D6E-409C-BE32-E72D297353CC}">
              <c16:uniqueId val="{00000002-A3F7-484F-B6E3-43C4AF370044}"/>
            </c:ext>
          </c:extLst>
        </c:ser>
        <c:dLbls>
          <c:showLegendKey val="0"/>
          <c:showVal val="0"/>
          <c:showCatName val="0"/>
          <c:showSerName val="0"/>
          <c:showPercent val="0"/>
          <c:showBubbleSize val="0"/>
        </c:dLbls>
        <c:smooth val="0"/>
        <c:axId val="1801921423"/>
        <c:axId val="1789830079"/>
      </c:lineChart>
      <c:catAx>
        <c:axId val="180192142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830079"/>
        <c:crosses val="autoZero"/>
        <c:auto val="1"/>
        <c:lblAlgn val="ctr"/>
        <c:lblOffset val="100"/>
        <c:noMultiLvlLbl val="0"/>
      </c:catAx>
      <c:valAx>
        <c:axId val="178983007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9214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38100</xdr:colOff>
      <xdr:row>1</xdr:row>
      <xdr:rowOff>0</xdr:rowOff>
    </xdr:from>
    <xdr:to>
      <xdr:col>12</xdr:col>
      <xdr:colOff>409575</xdr:colOff>
      <xdr:row>17</xdr:row>
      <xdr:rowOff>128588</xdr:rowOff>
    </xdr:to>
    <xdr:graphicFrame macro="">
      <xdr:nvGraphicFramePr>
        <xdr:cNvPr id="2" name="Chart 1">
          <a:extLst>
            <a:ext uri="{FF2B5EF4-FFF2-40B4-BE49-F238E27FC236}">
              <a16:creationId xmlns:a16="http://schemas.microsoft.com/office/drawing/2014/main" id="{C89D5069-22BF-46CF-99D3-B49D31E6D7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28575</xdr:colOff>
      <xdr:row>24</xdr:row>
      <xdr:rowOff>95250</xdr:rowOff>
    </xdr:from>
    <xdr:to>
      <xdr:col>19</xdr:col>
      <xdr:colOff>76200</xdr:colOff>
      <xdr:row>38</xdr:row>
      <xdr:rowOff>171450</xdr:rowOff>
    </xdr:to>
    <xdr:graphicFrame macro="">
      <xdr:nvGraphicFramePr>
        <xdr:cNvPr id="3" name="Chart 2">
          <a:extLst>
            <a:ext uri="{FF2B5EF4-FFF2-40B4-BE49-F238E27FC236}">
              <a16:creationId xmlns:a16="http://schemas.microsoft.com/office/drawing/2014/main" id="{DD1B32BF-5F4A-4403-BB21-2E7F6BCF3F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504825</xdr:colOff>
      <xdr:row>93</xdr:row>
      <xdr:rowOff>180975</xdr:rowOff>
    </xdr:from>
    <xdr:to>
      <xdr:col>21</xdr:col>
      <xdr:colOff>200025</xdr:colOff>
      <xdr:row>108</xdr:row>
      <xdr:rowOff>66675</xdr:rowOff>
    </xdr:to>
    <xdr:graphicFrame macro="">
      <xdr:nvGraphicFramePr>
        <xdr:cNvPr id="4" name="Chart 3">
          <a:extLst>
            <a:ext uri="{FF2B5EF4-FFF2-40B4-BE49-F238E27FC236}">
              <a16:creationId xmlns:a16="http://schemas.microsoft.com/office/drawing/2014/main" id="{2B877124-7538-4B4C-8882-258DFE3B2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190500</xdr:colOff>
      <xdr:row>100</xdr:row>
      <xdr:rowOff>152400</xdr:rowOff>
    </xdr:from>
    <xdr:to>
      <xdr:col>28</xdr:col>
      <xdr:colOff>495300</xdr:colOff>
      <xdr:row>115</xdr:row>
      <xdr:rowOff>38100</xdr:rowOff>
    </xdr:to>
    <xdr:graphicFrame macro="">
      <xdr:nvGraphicFramePr>
        <xdr:cNvPr id="5" name="Chart 4">
          <a:extLst>
            <a:ext uri="{FF2B5EF4-FFF2-40B4-BE49-F238E27FC236}">
              <a16:creationId xmlns:a16="http://schemas.microsoft.com/office/drawing/2014/main" id="{DF195891-D1DB-423F-AA26-1D1475FECE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566737</xdr:colOff>
      <xdr:row>15</xdr:row>
      <xdr:rowOff>33337</xdr:rowOff>
    </xdr:from>
    <xdr:to>
      <xdr:col>16</xdr:col>
      <xdr:colOff>309562</xdr:colOff>
      <xdr:row>29</xdr:row>
      <xdr:rowOff>109537</xdr:rowOff>
    </xdr:to>
    <xdr:graphicFrame macro="">
      <xdr:nvGraphicFramePr>
        <xdr:cNvPr id="2" name="Chart 1">
          <a:extLst>
            <a:ext uri="{FF2B5EF4-FFF2-40B4-BE49-F238E27FC236}">
              <a16:creationId xmlns:a16="http://schemas.microsoft.com/office/drawing/2014/main" id="{23F267E9-85AE-4E55-99A9-2447558AAD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533400</xdr:colOff>
      <xdr:row>11</xdr:row>
      <xdr:rowOff>52387</xdr:rowOff>
    </xdr:from>
    <xdr:to>
      <xdr:col>18</xdr:col>
      <xdr:colOff>228600</xdr:colOff>
      <xdr:row>25</xdr:row>
      <xdr:rowOff>128587</xdr:rowOff>
    </xdr:to>
    <xdr:graphicFrame macro="">
      <xdr:nvGraphicFramePr>
        <xdr:cNvPr id="2" name="Chart 1">
          <a:extLst>
            <a:ext uri="{FF2B5EF4-FFF2-40B4-BE49-F238E27FC236}">
              <a16:creationId xmlns:a16="http://schemas.microsoft.com/office/drawing/2014/main" id="{7320932D-0CEE-4B36-848A-DE08A30E48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66675</xdr:colOff>
      <xdr:row>0</xdr:row>
      <xdr:rowOff>157162</xdr:rowOff>
    </xdr:from>
    <xdr:to>
      <xdr:col>21</xdr:col>
      <xdr:colOff>371475</xdr:colOff>
      <xdr:row>15</xdr:row>
      <xdr:rowOff>42862</xdr:rowOff>
    </xdr:to>
    <xdr:graphicFrame macro="">
      <xdr:nvGraphicFramePr>
        <xdr:cNvPr id="2" name="Chart 1">
          <a:extLst>
            <a:ext uri="{FF2B5EF4-FFF2-40B4-BE49-F238E27FC236}">
              <a16:creationId xmlns:a16="http://schemas.microsoft.com/office/drawing/2014/main" id="{3838E173-87F7-1F07-0561-39F926023D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128587</xdr:colOff>
      <xdr:row>15</xdr:row>
      <xdr:rowOff>138112</xdr:rowOff>
    </xdr:from>
    <xdr:to>
      <xdr:col>21</xdr:col>
      <xdr:colOff>433387</xdr:colOff>
      <xdr:row>30</xdr:row>
      <xdr:rowOff>23812</xdr:rowOff>
    </xdr:to>
    <xdr:graphicFrame macro="">
      <xdr:nvGraphicFramePr>
        <xdr:cNvPr id="3" name="Chart 2">
          <a:extLst>
            <a:ext uri="{FF2B5EF4-FFF2-40B4-BE49-F238E27FC236}">
              <a16:creationId xmlns:a16="http://schemas.microsoft.com/office/drawing/2014/main" id="{5034F7A6-EC76-7760-907D-317B0280EB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297656</xdr:colOff>
      <xdr:row>13</xdr:row>
      <xdr:rowOff>71438</xdr:rowOff>
    </xdr:from>
    <xdr:to>
      <xdr:col>8</xdr:col>
      <xdr:colOff>581025</xdr:colOff>
      <xdr:row>34</xdr:row>
      <xdr:rowOff>165654</xdr:rowOff>
    </xdr:to>
    <xdr:pic>
      <xdr:nvPicPr>
        <xdr:cNvPr id="3" name="Picture 2">
          <a:extLst>
            <a:ext uri="{FF2B5EF4-FFF2-40B4-BE49-F238E27FC236}">
              <a16:creationId xmlns:a16="http://schemas.microsoft.com/office/drawing/2014/main" id="{ED119AF4-8242-207B-F346-026C65B9750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04875" y="2547938"/>
          <a:ext cx="7772400" cy="409471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304799</xdr:colOff>
      <xdr:row>14</xdr:row>
      <xdr:rowOff>176212</xdr:rowOff>
    </xdr:from>
    <xdr:to>
      <xdr:col>15</xdr:col>
      <xdr:colOff>66674</xdr:colOff>
      <xdr:row>31</xdr:row>
      <xdr:rowOff>114300</xdr:rowOff>
    </xdr:to>
    <xdr:graphicFrame macro="">
      <xdr:nvGraphicFramePr>
        <xdr:cNvPr id="3" name="Chart 2">
          <a:extLst>
            <a:ext uri="{FF2B5EF4-FFF2-40B4-BE49-F238E27FC236}">
              <a16:creationId xmlns:a16="http://schemas.microsoft.com/office/drawing/2014/main" id="{498EA8F7-27BA-7922-F50F-B5205553E2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natha\Desktop\AMS\kirkHw1.xlsx" TargetMode="External"/><Relationship Id="rId1" Type="http://schemas.openxmlformats.org/officeDocument/2006/relationships/externalLinkPath" Target="kirkHw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natha\Desktop\AMS\ch3%20hw.xlsx" TargetMode="External"/><Relationship Id="rId1" Type="http://schemas.openxmlformats.org/officeDocument/2006/relationships/externalLinkPath" Target="ch3%20h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1.3"/>
      <sheetName val="1.4"/>
    </sheetNames>
    <sheetDataSet>
      <sheetData sheetId="0" refreshError="1"/>
      <sheetData sheetId="1">
        <row r="4">
          <cell r="K4" t="str">
            <v>TR</v>
          </cell>
          <cell r="L4" t="str">
            <v>TC</v>
          </cell>
          <cell r="M4" t="str">
            <v>Profit</v>
          </cell>
        </row>
        <row r="5">
          <cell r="K5">
            <v>1700000</v>
          </cell>
          <cell r="L5">
            <v>11300000</v>
          </cell>
          <cell r="M5">
            <v>-9600000</v>
          </cell>
        </row>
        <row r="6">
          <cell r="K6">
            <v>8500000</v>
          </cell>
          <cell r="L6">
            <v>16500000</v>
          </cell>
          <cell r="M6">
            <v>-8000000</v>
          </cell>
        </row>
        <row r="7">
          <cell r="K7">
            <v>17000000</v>
          </cell>
          <cell r="L7">
            <v>23000000</v>
          </cell>
          <cell r="M7">
            <v>-6000000</v>
          </cell>
        </row>
        <row r="8">
          <cell r="K8">
            <v>25500000</v>
          </cell>
          <cell r="L8">
            <v>29500000</v>
          </cell>
          <cell r="M8">
            <v>-4000000</v>
          </cell>
        </row>
        <row r="9">
          <cell r="K9">
            <v>34000000</v>
          </cell>
          <cell r="L9">
            <v>36000000</v>
          </cell>
          <cell r="M9">
            <v>-2000000</v>
          </cell>
        </row>
        <row r="10">
          <cell r="K10">
            <v>42500000</v>
          </cell>
          <cell r="L10">
            <v>42500000</v>
          </cell>
          <cell r="M10">
            <v>0</v>
          </cell>
        </row>
        <row r="11">
          <cell r="K11">
            <v>51000000</v>
          </cell>
          <cell r="L11">
            <v>49000000</v>
          </cell>
          <cell r="M11">
            <v>2000000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3.3"/>
      <sheetName val="3.9"/>
      <sheetName val="3.16"/>
    </sheetNames>
    <sheetDataSet>
      <sheetData sheetId="0">
        <row r="7">
          <cell r="K7" t="str">
            <v>A1</v>
          </cell>
          <cell r="L7" t="str">
            <v>A2</v>
          </cell>
          <cell r="M7" t="str">
            <v>R1</v>
          </cell>
          <cell r="N7" t="str">
            <v>R2</v>
          </cell>
          <cell r="O7" t="str">
            <v>R3</v>
          </cell>
          <cell r="P7" t="str">
            <v>P</v>
          </cell>
        </row>
        <row r="8">
          <cell r="K8">
            <v>0</v>
          </cell>
          <cell r="L8">
            <v>0</v>
          </cell>
          <cell r="M8">
            <v>0</v>
          </cell>
          <cell r="N8">
            <v>0</v>
          </cell>
          <cell r="O8">
            <v>0</v>
          </cell>
          <cell r="P8">
            <v>0</v>
          </cell>
        </row>
        <row r="9">
          <cell r="K9">
            <v>0</v>
          </cell>
          <cell r="L9">
            <v>1</v>
          </cell>
          <cell r="M9">
            <v>1</v>
          </cell>
          <cell r="N9">
            <v>3</v>
          </cell>
          <cell r="O9">
            <v>4</v>
          </cell>
          <cell r="P9">
            <v>30</v>
          </cell>
        </row>
        <row r="10">
          <cell r="K10">
            <v>1</v>
          </cell>
          <cell r="L10">
            <v>1</v>
          </cell>
          <cell r="M10">
            <v>3</v>
          </cell>
          <cell r="N10">
            <v>6</v>
          </cell>
          <cell r="O10">
            <v>6</v>
          </cell>
          <cell r="P10">
            <v>50</v>
          </cell>
        </row>
        <row r="11">
          <cell r="K11">
            <v>1</v>
          </cell>
          <cell r="L11">
            <v>2</v>
          </cell>
          <cell r="M11">
            <v>4</v>
          </cell>
          <cell r="N11">
            <v>9</v>
          </cell>
          <cell r="O11">
            <v>10</v>
          </cell>
          <cell r="P11">
            <v>80</v>
          </cell>
        </row>
        <row r="12">
          <cell r="K12">
            <v>2</v>
          </cell>
          <cell r="L12">
            <v>2</v>
          </cell>
          <cell r="M12">
            <v>6</v>
          </cell>
          <cell r="N12">
            <v>12</v>
          </cell>
          <cell r="O12">
            <v>12</v>
          </cell>
          <cell r="P12">
            <v>100</v>
          </cell>
        </row>
        <row r="13">
          <cell r="K13">
            <v>2</v>
          </cell>
          <cell r="L13">
            <v>3</v>
          </cell>
          <cell r="M13">
            <v>7</v>
          </cell>
          <cell r="N13">
            <v>15</v>
          </cell>
          <cell r="O13">
            <v>16</v>
          </cell>
          <cell r="P13">
            <v>130</v>
          </cell>
        </row>
        <row r="14">
          <cell r="K14">
            <v>2</v>
          </cell>
          <cell r="L14">
            <v>4</v>
          </cell>
          <cell r="M14">
            <v>8</v>
          </cell>
          <cell r="N14">
            <v>18</v>
          </cell>
          <cell r="O14">
            <v>20</v>
          </cell>
          <cell r="P14">
            <v>160</v>
          </cell>
        </row>
      </sheetData>
      <sheetData sheetId="1">
        <row r="3">
          <cell r="K3" t="str">
            <v>A1</v>
          </cell>
          <cell r="L3" t="str">
            <v>A2</v>
          </cell>
          <cell r="M3" t="str">
            <v>B1</v>
          </cell>
          <cell r="N3" t="str">
            <v>B2</v>
          </cell>
          <cell r="O3" t="str">
            <v>B3</v>
          </cell>
          <cell r="P3" t="str">
            <v>Cost</v>
          </cell>
        </row>
        <row r="4">
          <cell r="K4">
            <v>7</v>
          </cell>
          <cell r="L4">
            <v>7</v>
          </cell>
          <cell r="M4">
            <v>56</v>
          </cell>
          <cell r="N4">
            <v>28</v>
          </cell>
          <cell r="O4">
            <v>112</v>
          </cell>
          <cell r="P4">
            <v>770</v>
          </cell>
        </row>
        <row r="5">
          <cell r="K5">
            <v>8</v>
          </cell>
          <cell r="L5">
            <v>9</v>
          </cell>
          <cell r="M5">
            <v>67</v>
          </cell>
          <cell r="N5">
            <v>34</v>
          </cell>
          <cell r="O5">
            <v>137</v>
          </cell>
          <cell r="P5">
            <v>930</v>
          </cell>
        </row>
        <row r="6">
          <cell r="K6">
            <v>9</v>
          </cell>
          <cell r="L6">
            <v>8</v>
          </cell>
          <cell r="M6">
            <v>69</v>
          </cell>
          <cell r="N6">
            <v>34</v>
          </cell>
          <cell r="O6">
            <v>135</v>
          </cell>
          <cell r="P6">
            <v>940</v>
          </cell>
        </row>
        <row r="7">
          <cell r="K7">
            <v>7</v>
          </cell>
          <cell r="L7">
            <v>8</v>
          </cell>
          <cell r="M7">
            <v>59</v>
          </cell>
          <cell r="N7">
            <v>30</v>
          </cell>
          <cell r="O7">
            <v>121</v>
          </cell>
          <cell r="P7">
            <v>820</v>
          </cell>
        </row>
        <row r="8">
          <cell r="K8">
            <v>8</v>
          </cell>
          <cell r="L8">
            <v>8</v>
          </cell>
          <cell r="M8">
            <v>64</v>
          </cell>
          <cell r="N8">
            <v>32</v>
          </cell>
          <cell r="O8">
            <v>128</v>
          </cell>
          <cell r="P8">
            <v>880</v>
          </cell>
        </row>
        <row r="9">
          <cell r="K9">
            <v>6</v>
          </cell>
          <cell r="L9">
            <v>10</v>
          </cell>
          <cell r="M9">
            <v>60</v>
          </cell>
          <cell r="N9">
            <v>32</v>
          </cell>
          <cell r="O9">
            <v>132</v>
          </cell>
          <cell r="P9">
            <v>860</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7B1FF-35DE-4DB8-915E-E8A226123062}">
  <dimension ref="A2:A154"/>
  <sheetViews>
    <sheetView tabSelected="1" workbookViewId="0">
      <selection activeCell="R15" sqref="R15"/>
    </sheetView>
  </sheetViews>
  <sheetFormatPr defaultRowHeight="15"/>
  <sheetData>
    <row r="2" spans="1:1">
      <c r="A2" s="12" t="s">
        <v>23</v>
      </c>
    </row>
    <row r="4" spans="1:1">
      <c r="A4" t="s">
        <v>22</v>
      </c>
    </row>
    <row r="5" spans="1:1">
      <c r="A5" t="s">
        <v>17</v>
      </c>
    </row>
    <row r="6" spans="1:1">
      <c r="A6" t="s">
        <v>18</v>
      </c>
    </row>
    <row r="7" spans="1:1">
      <c r="A7" t="s">
        <v>19</v>
      </c>
    </row>
    <row r="8" spans="1:1">
      <c r="A8" t="s">
        <v>20</v>
      </c>
    </row>
    <row r="9" spans="1:1">
      <c r="A9" t="s">
        <v>21</v>
      </c>
    </row>
    <row r="20" spans="1:1">
      <c r="A20" s="12" t="s">
        <v>24</v>
      </c>
    </row>
    <row r="21" spans="1:1">
      <c r="A21" t="s">
        <v>25</v>
      </c>
    </row>
    <row r="22" spans="1:1">
      <c r="A22" t="s">
        <v>26</v>
      </c>
    </row>
    <row r="23" spans="1:1">
      <c r="A23" t="s">
        <v>27</v>
      </c>
    </row>
    <row r="25" spans="1:1">
      <c r="A25" s="12" t="s">
        <v>28</v>
      </c>
    </row>
    <row r="26" spans="1:1">
      <c r="A26" t="s">
        <v>29</v>
      </c>
    </row>
    <row r="27" spans="1:1">
      <c r="A27" t="s">
        <v>33</v>
      </c>
    </row>
    <row r="28" spans="1:1">
      <c r="A28" t="s">
        <v>30</v>
      </c>
    </row>
    <row r="29" spans="1:1">
      <c r="A29" t="s">
        <v>31</v>
      </c>
    </row>
    <row r="30" spans="1:1">
      <c r="A30" t="s">
        <v>32</v>
      </c>
    </row>
    <row r="41" spans="1:1">
      <c r="A41" s="12" t="s">
        <v>34</v>
      </c>
    </row>
    <row r="42" spans="1:1">
      <c r="A42" t="s">
        <v>35</v>
      </c>
    </row>
    <row r="43" spans="1:1">
      <c r="A43" t="s">
        <v>36</v>
      </c>
    </row>
    <row r="44" spans="1:1">
      <c r="A44" t="s">
        <v>37</v>
      </c>
    </row>
    <row r="45" spans="1:1">
      <c r="A45" t="s">
        <v>38</v>
      </c>
    </row>
    <row r="46" spans="1:1">
      <c r="A46" t="s">
        <v>39</v>
      </c>
    </row>
    <row r="47" spans="1:1">
      <c r="A47" t="s">
        <v>40</v>
      </c>
    </row>
    <row r="48" spans="1:1">
      <c r="A48" t="s">
        <v>41</v>
      </c>
    </row>
    <row r="49" spans="1:1">
      <c r="A49" t="s">
        <v>42</v>
      </c>
    </row>
    <row r="50" spans="1:1">
      <c r="A50" t="s">
        <v>43</v>
      </c>
    </row>
    <row r="51" spans="1:1">
      <c r="A51" t="s">
        <v>44</v>
      </c>
    </row>
    <row r="55" spans="1:1">
      <c r="A55" s="12" t="s">
        <v>45</v>
      </c>
    </row>
    <row r="56" spans="1:1">
      <c r="A56" t="s">
        <v>46</v>
      </c>
    </row>
    <row r="57" spans="1:1">
      <c r="A57" t="s">
        <v>47</v>
      </c>
    </row>
    <row r="58" spans="1:1">
      <c r="A58" t="s">
        <v>48</v>
      </c>
    </row>
    <row r="59" spans="1:1">
      <c r="A59" t="s">
        <v>49</v>
      </c>
    </row>
    <row r="60" spans="1:1">
      <c r="A60" t="s">
        <v>50</v>
      </c>
    </row>
    <row r="61" spans="1:1">
      <c r="A61" t="s">
        <v>51</v>
      </c>
    </row>
    <row r="62" spans="1:1">
      <c r="A62" t="s">
        <v>52</v>
      </c>
    </row>
    <row r="65" spans="1:1">
      <c r="A65" s="12" t="s">
        <v>53</v>
      </c>
    </row>
    <row r="66" spans="1:1">
      <c r="A66" s="13" t="s">
        <v>54</v>
      </c>
    </row>
    <row r="67" spans="1:1">
      <c r="A67" s="14" t="s">
        <v>55</v>
      </c>
    </row>
    <row r="68" spans="1:1">
      <c r="A68" s="14" t="s">
        <v>56</v>
      </c>
    </row>
    <row r="69" spans="1:1">
      <c r="A69" s="13" t="s">
        <v>57</v>
      </c>
    </row>
    <row r="72" spans="1:1">
      <c r="A72" s="12" t="s">
        <v>58</v>
      </c>
    </row>
    <row r="73" spans="1:1">
      <c r="A73" t="s">
        <v>59</v>
      </c>
    </row>
    <row r="74" spans="1:1">
      <c r="A74" t="s">
        <v>60</v>
      </c>
    </row>
    <row r="75" spans="1:1">
      <c r="A75" t="s">
        <v>61</v>
      </c>
    </row>
    <row r="76" spans="1:1">
      <c r="A76" t="s">
        <v>62</v>
      </c>
    </row>
    <row r="80" spans="1:1">
      <c r="A80" s="12" t="s">
        <v>63</v>
      </c>
    </row>
    <row r="81" spans="1:1">
      <c r="A81" t="s">
        <v>64</v>
      </c>
    </row>
    <row r="82" spans="1:1">
      <c r="A82" t="s">
        <v>65</v>
      </c>
    </row>
    <row r="83" spans="1:1">
      <c r="A83" t="s">
        <v>66</v>
      </c>
    </row>
    <row r="84" spans="1:1">
      <c r="A84" t="s">
        <v>67</v>
      </c>
    </row>
    <row r="85" spans="1:1">
      <c r="A85" t="s">
        <v>69</v>
      </c>
    </row>
    <row r="86" spans="1:1">
      <c r="A86" t="s">
        <v>68</v>
      </c>
    </row>
    <row r="90" spans="1:1">
      <c r="A90" s="12" t="s">
        <v>70</v>
      </c>
    </row>
    <row r="91" spans="1:1">
      <c r="A91" t="s">
        <v>71</v>
      </c>
    </row>
    <row r="92" spans="1:1">
      <c r="A92" t="s">
        <v>72</v>
      </c>
    </row>
    <row r="93" spans="1:1">
      <c r="A93" t="s">
        <v>73</v>
      </c>
    </row>
    <row r="94" spans="1:1">
      <c r="A94" t="s">
        <v>74</v>
      </c>
    </row>
    <row r="97" spans="1:1">
      <c r="A97" s="12" t="s">
        <v>79</v>
      </c>
    </row>
    <row r="98" spans="1:1">
      <c r="A98" t="s">
        <v>75</v>
      </c>
    </row>
    <row r="99" spans="1:1">
      <c r="A99" t="s">
        <v>76</v>
      </c>
    </row>
    <row r="100" spans="1:1">
      <c r="A100" t="s">
        <v>77</v>
      </c>
    </row>
    <row r="101" spans="1:1">
      <c r="A101" t="s">
        <v>78</v>
      </c>
    </row>
    <row r="104" spans="1:1">
      <c r="A104" s="12" t="s">
        <v>83</v>
      </c>
    </row>
    <row r="105" spans="1:1">
      <c r="A105" t="s">
        <v>80</v>
      </c>
    </row>
    <row r="106" spans="1:1">
      <c r="A106" t="s">
        <v>81</v>
      </c>
    </row>
    <row r="107" spans="1:1">
      <c r="A107" t="s">
        <v>82</v>
      </c>
    </row>
    <row r="108" spans="1:1">
      <c r="A108" t="s">
        <v>78</v>
      </c>
    </row>
    <row r="110" spans="1:1">
      <c r="A110" s="12" t="s">
        <v>84</v>
      </c>
    </row>
    <row r="111" spans="1:1">
      <c r="A111" t="s">
        <v>85</v>
      </c>
    </row>
    <row r="112" spans="1:1">
      <c r="A112" t="s">
        <v>86</v>
      </c>
    </row>
    <row r="113" spans="1:1">
      <c r="A113" t="s">
        <v>87</v>
      </c>
    </row>
    <row r="114" spans="1:1">
      <c r="A114" t="s">
        <v>88</v>
      </c>
    </row>
    <row r="117" spans="1:1">
      <c r="A117" s="12" t="s">
        <v>89</v>
      </c>
    </row>
    <row r="118" spans="1:1">
      <c r="A118" t="s">
        <v>90</v>
      </c>
    </row>
    <row r="119" spans="1:1">
      <c r="A119" t="s">
        <v>91</v>
      </c>
    </row>
    <row r="120" spans="1:1">
      <c r="A120" t="s">
        <v>92</v>
      </c>
    </row>
    <row r="124" spans="1:1">
      <c r="A124" s="12" t="s">
        <v>93</v>
      </c>
    </row>
    <row r="125" spans="1:1">
      <c r="A125" t="s">
        <v>94</v>
      </c>
    </row>
    <row r="126" spans="1:1">
      <c r="A126" t="s">
        <v>95</v>
      </c>
    </row>
    <row r="127" spans="1:1">
      <c r="A127" t="s">
        <v>96</v>
      </c>
    </row>
    <row r="128" spans="1:1">
      <c r="A128" t="s">
        <v>97</v>
      </c>
    </row>
    <row r="129" spans="1:1">
      <c r="A129" t="s">
        <v>98</v>
      </c>
    </row>
    <row r="132" spans="1:1">
      <c r="A132" t="s">
        <v>539</v>
      </c>
    </row>
    <row r="135" spans="1:1">
      <c r="A135" s="12" t="s">
        <v>99</v>
      </c>
    </row>
    <row r="136" spans="1:1">
      <c r="A136" t="s">
        <v>100</v>
      </c>
    </row>
    <row r="137" spans="1:1">
      <c r="A137" t="s">
        <v>101</v>
      </c>
    </row>
    <row r="138" spans="1:1">
      <c r="A138" t="s">
        <v>102</v>
      </c>
    </row>
    <row r="141" spans="1:1">
      <c r="A141" s="12" t="s">
        <v>458</v>
      </c>
    </row>
    <row r="142" spans="1:1">
      <c r="A142" t="s">
        <v>451</v>
      </c>
    </row>
    <row r="143" spans="1:1">
      <c r="A143" t="s">
        <v>452</v>
      </c>
    </row>
    <row r="144" spans="1:1">
      <c r="A144" t="s">
        <v>453</v>
      </c>
    </row>
    <row r="145" spans="1:1">
      <c r="A145" t="s">
        <v>454</v>
      </c>
    </row>
    <row r="146" spans="1:1">
      <c r="A146" t="s">
        <v>455</v>
      </c>
    </row>
    <row r="147" spans="1:1">
      <c r="A147" t="s">
        <v>457</v>
      </c>
    </row>
    <row r="149" spans="1:1">
      <c r="A149" s="12" t="s">
        <v>533</v>
      </c>
    </row>
    <row r="150" spans="1:1">
      <c r="A150" t="s">
        <v>534</v>
      </c>
    </row>
    <row r="151" spans="1:1">
      <c r="A151" t="s">
        <v>535</v>
      </c>
    </row>
    <row r="152" spans="1:1">
      <c r="A152" t="s">
        <v>536</v>
      </c>
    </row>
    <row r="153" spans="1:1">
      <c r="A153" t="s">
        <v>537</v>
      </c>
    </row>
    <row r="154" spans="1:1">
      <c r="A154" t="s">
        <v>538</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BF407-D76F-4D40-AE27-BB6E68B3545A}">
  <dimension ref="A1:Q56"/>
  <sheetViews>
    <sheetView workbookViewId="0">
      <selection activeCell="E27" sqref="E27"/>
    </sheetView>
  </sheetViews>
  <sheetFormatPr defaultRowHeight="15"/>
  <sheetData>
    <row r="1" spans="1:13">
      <c r="B1" s="181" t="s">
        <v>284</v>
      </c>
      <c r="C1" s="181"/>
      <c r="D1" s="181"/>
      <c r="E1" s="181"/>
      <c r="F1" s="181"/>
      <c r="I1" s="181" t="s">
        <v>260</v>
      </c>
      <c r="J1" s="181"/>
      <c r="K1" s="181"/>
      <c r="L1" s="181"/>
      <c r="M1" s="181"/>
    </row>
    <row r="2" spans="1:13">
      <c r="B2" s="38" t="s">
        <v>261</v>
      </c>
      <c r="C2" s="38" t="s">
        <v>262</v>
      </c>
      <c r="D2" s="38" t="s">
        <v>263</v>
      </c>
      <c r="E2" s="38" t="s">
        <v>264</v>
      </c>
      <c r="F2" s="38" t="s">
        <v>265</v>
      </c>
      <c r="I2" s="38" t="s">
        <v>261</v>
      </c>
      <c r="J2" s="38" t="s">
        <v>262</v>
      </c>
      <c r="K2" s="38" t="s">
        <v>263</v>
      </c>
      <c r="L2" s="38" t="s">
        <v>264</v>
      </c>
      <c r="M2" s="38" t="s">
        <v>265</v>
      </c>
    </row>
    <row r="3" spans="1:13">
      <c r="A3" t="s">
        <v>266</v>
      </c>
      <c r="B3" s="41">
        <v>31</v>
      </c>
      <c r="C3" s="41">
        <v>38</v>
      </c>
      <c r="D3" s="41">
        <v>24</v>
      </c>
      <c r="E3" s="77">
        <v>55</v>
      </c>
      <c r="F3" s="41">
        <v>35</v>
      </c>
      <c r="H3" t="s">
        <v>266</v>
      </c>
      <c r="I3" s="41">
        <v>61</v>
      </c>
      <c r="J3" s="41">
        <v>72</v>
      </c>
      <c r="K3" s="41">
        <v>45</v>
      </c>
      <c r="L3" s="41">
        <v>55</v>
      </c>
      <c r="M3" s="41">
        <v>66</v>
      </c>
    </row>
    <row r="4" spans="1:13">
      <c r="A4" t="s">
        <v>267</v>
      </c>
      <c r="B4" s="41">
        <v>36</v>
      </c>
      <c r="C4" s="41">
        <v>43</v>
      </c>
      <c r="D4" s="41">
        <v>28</v>
      </c>
      <c r="E4" s="41">
        <v>24</v>
      </c>
      <c r="F4" s="41">
        <v>31</v>
      </c>
      <c r="H4" t="s">
        <v>267</v>
      </c>
      <c r="I4" s="41">
        <v>69</v>
      </c>
      <c r="J4" s="41">
        <v>78</v>
      </c>
      <c r="K4" s="41">
        <v>60</v>
      </c>
      <c r="L4" s="41">
        <v>49</v>
      </c>
      <c r="M4" s="41">
        <v>56</v>
      </c>
    </row>
    <row r="5" spans="1:13">
      <c r="A5" t="s">
        <v>268</v>
      </c>
      <c r="B5" s="77">
        <v>59</v>
      </c>
      <c r="C5" s="41">
        <v>33</v>
      </c>
      <c r="D5" s="41">
        <v>36</v>
      </c>
      <c r="E5" s="41">
        <v>32</v>
      </c>
      <c r="F5" s="41">
        <v>26</v>
      </c>
      <c r="H5" t="s">
        <v>268</v>
      </c>
      <c r="I5" s="41">
        <v>59</v>
      </c>
      <c r="J5" s="41">
        <v>66</v>
      </c>
      <c r="K5" s="41">
        <v>63</v>
      </c>
      <c r="L5" s="41">
        <v>61</v>
      </c>
      <c r="M5" s="41">
        <v>47</v>
      </c>
    </row>
    <row r="6" spans="1:13">
      <c r="B6" s="78"/>
      <c r="C6" s="38"/>
      <c r="D6" s="38"/>
      <c r="E6" s="38"/>
      <c r="F6" s="38"/>
      <c r="I6" s="38"/>
    </row>
    <row r="7" spans="1:13">
      <c r="A7" t="s">
        <v>285</v>
      </c>
      <c r="B7" s="78"/>
      <c r="C7" s="38"/>
      <c r="D7" s="38"/>
      <c r="E7" s="38"/>
      <c r="F7" s="38"/>
      <c r="I7" s="38"/>
    </row>
    <row r="8" spans="1:13">
      <c r="B8" s="38" t="s">
        <v>261</v>
      </c>
      <c r="C8" s="38" t="s">
        <v>262</v>
      </c>
      <c r="D8" s="38" t="s">
        <v>263</v>
      </c>
      <c r="E8" s="38" t="s">
        <v>264</v>
      </c>
      <c r="F8" s="38" t="s">
        <v>265</v>
      </c>
      <c r="I8" s="38"/>
    </row>
    <row r="9" spans="1:13">
      <c r="A9" t="s">
        <v>266</v>
      </c>
      <c r="B9" s="41">
        <v>275</v>
      </c>
      <c r="C9" s="41">
        <v>303</v>
      </c>
      <c r="D9" s="41">
        <v>238</v>
      </c>
      <c r="E9" s="77">
        <v>55</v>
      </c>
      <c r="F9" s="41">
        <v>285</v>
      </c>
      <c r="I9" s="38"/>
    </row>
    <row r="10" spans="1:13">
      <c r="A10" t="s">
        <v>267</v>
      </c>
      <c r="B10" s="41">
        <v>293</v>
      </c>
      <c r="C10" s="41">
        <v>318</v>
      </c>
      <c r="D10" s="41">
        <v>270</v>
      </c>
      <c r="E10" s="41">
        <v>250</v>
      </c>
      <c r="F10" s="41">
        <v>265</v>
      </c>
      <c r="I10" s="38"/>
    </row>
    <row r="11" spans="1:13">
      <c r="A11" t="s">
        <v>268</v>
      </c>
      <c r="B11" s="77">
        <v>59</v>
      </c>
      <c r="C11" s="41">
        <v>283</v>
      </c>
      <c r="D11" s="41">
        <v>275</v>
      </c>
      <c r="E11" s="41">
        <v>268</v>
      </c>
      <c r="F11" s="41">
        <v>240</v>
      </c>
      <c r="I11" s="38"/>
    </row>
    <row r="12" spans="1:13">
      <c r="B12" s="78"/>
      <c r="C12" s="38"/>
      <c r="D12" s="38"/>
      <c r="E12" s="38"/>
      <c r="F12" s="38"/>
      <c r="I12" s="38"/>
    </row>
    <row r="13" spans="1:13">
      <c r="A13" t="s">
        <v>286</v>
      </c>
      <c r="B13" s="78"/>
      <c r="C13" s="38"/>
      <c r="D13" s="38"/>
      <c r="E13" s="38"/>
      <c r="F13" s="38"/>
      <c r="I13" s="38"/>
    </row>
    <row r="14" spans="1:13">
      <c r="B14" s="38" t="s">
        <v>261</v>
      </c>
      <c r="C14" s="38" t="s">
        <v>262</v>
      </c>
      <c r="D14" s="38" t="s">
        <v>263</v>
      </c>
      <c r="E14" s="38" t="s">
        <v>264</v>
      </c>
      <c r="F14" s="38" t="s">
        <v>265</v>
      </c>
      <c r="I14" s="84"/>
    </row>
    <row r="15" spans="1:13">
      <c r="A15" t="s">
        <v>266</v>
      </c>
      <c r="B15" s="79">
        <f>B3+B9*$K$29</f>
        <v>58.5</v>
      </c>
      <c r="C15" s="63">
        <f t="shared" ref="C15:F17" si="0">C3+C9*$K$29</f>
        <v>68.3</v>
      </c>
      <c r="D15" s="63">
        <f t="shared" si="0"/>
        <v>47.8</v>
      </c>
      <c r="E15" s="63">
        <f t="shared" si="0"/>
        <v>60.5</v>
      </c>
      <c r="F15" s="64">
        <f t="shared" si="0"/>
        <v>63.5</v>
      </c>
      <c r="I15" s="38"/>
    </row>
    <row r="16" spans="1:13">
      <c r="A16" t="s">
        <v>267</v>
      </c>
      <c r="B16" s="80">
        <f>B4+B10*$K$29</f>
        <v>65.3</v>
      </c>
      <c r="C16" s="38">
        <f t="shared" si="0"/>
        <v>74.8</v>
      </c>
      <c r="D16" s="38">
        <f t="shared" si="0"/>
        <v>55</v>
      </c>
      <c r="E16" s="38">
        <f t="shared" si="0"/>
        <v>49</v>
      </c>
      <c r="F16" s="60">
        <f t="shared" si="0"/>
        <v>57.5</v>
      </c>
      <c r="I16" s="38"/>
    </row>
    <row r="17" spans="1:17">
      <c r="A17" t="s">
        <v>268</v>
      </c>
      <c r="B17" s="81">
        <f>B5+B11*$K$29</f>
        <v>64.900000000000006</v>
      </c>
      <c r="C17" s="51">
        <f t="shared" si="0"/>
        <v>61.3</v>
      </c>
      <c r="D17" s="51">
        <f t="shared" si="0"/>
        <v>63.5</v>
      </c>
      <c r="E17" s="51">
        <f t="shared" si="0"/>
        <v>58.8</v>
      </c>
      <c r="F17" s="82">
        <f t="shared" si="0"/>
        <v>50</v>
      </c>
      <c r="I17" s="38"/>
    </row>
    <row r="18" spans="1:17">
      <c r="A18" t="s">
        <v>287</v>
      </c>
      <c r="B18" s="80"/>
      <c r="C18" s="38"/>
      <c r="D18" s="38"/>
      <c r="E18" s="38"/>
      <c r="F18" s="60"/>
      <c r="I18" s="38"/>
    </row>
    <row r="19" spans="1:17">
      <c r="A19" t="s">
        <v>266</v>
      </c>
      <c r="B19" s="79">
        <f>MIN(B15,I3)</f>
        <v>58.5</v>
      </c>
      <c r="C19" s="63">
        <f t="shared" ref="C19:F21" si="1">MIN(C15,J3)</f>
        <v>68.3</v>
      </c>
      <c r="D19" s="63">
        <f t="shared" si="1"/>
        <v>45</v>
      </c>
      <c r="E19" s="63">
        <f t="shared" si="1"/>
        <v>55</v>
      </c>
      <c r="F19" s="64">
        <f t="shared" si="1"/>
        <v>63.5</v>
      </c>
      <c r="I19" s="38"/>
    </row>
    <row r="20" spans="1:17">
      <c r="A20" t="s">
        <v>267</v>
      </c>
      <c r="B20" s="80">
        <f t="shared" ref="B20:B21" si="2">MIN(B16,I4)</f>
        <v>65.3</v>
      </c>
      <c r="C20" s="38">
        <f t="shared" si="1"/>
        <v>74.8</v>
      </c>
      <c r="D20" s="38">
        <f t="shared" si="1"/>
        <v>55</v>
      </c>
      <c r="E20" s="38">
        <f t="shared" si="1"/>
        <v>49</v>
      </c>
      <c r="F20" s="60">
        <f t="shared" si="1"/>
        <v>56</v>
      </c>
      <c r="I20" s="38"/>
    </row>
    <row r="21" spans="1:17">
      <c r="A21" t="s">
        <v>268</v>
      </c>
      <c r="B21" s="81">
        <f t="shared" si="2"/>
        <v>59</v>
      </c>
      <c r="C21" s="51">
        <f t="shared" si="1"/>
        <v>61.3</v>
      </c>
      <c r="D21" s="51">
        <f t="shared" si="1"/>
        <v>63</v>
      </c>
      <c r="E21" s="51">
        <f t="shared" si="1"/>
        <v>58.8</v>
      </c>
      <c r="F21" s="82">
        <f t="shared" si="1"/>
        <v>47</v>
      </c>
      <c r="I21" s="38"/>
    </row>
    <row r="22" spans="1:17">
      <c r="B22" s="38"/>
      <c r="G22" t="b">
        <v>1</v>
      </c>
      <c r="I22" s="38"/>
    </row>
    <row r="23" spans="1:17">
      <c r="B23" s="181" t="s">
        <v>288</v>
      </c>
      <c r="C23" s="181"/>
      <c r="D23" s="181"/>
      <c r="E23" s="181"/>
      <c r="F23" s="181"/>
      <c r="G23" s="38" t="s">
        <v>225</v>
      </c>
      <c r="I23" s="38"/>
      <c r="K23" s="38"/>
      <c r="M23" s="181"/>
      <c r="N23" s="181"/>
      <c r="O23" s="181"/>
      <c r="P23" s="181"/>
      <c r="Q23" s="181"/>
    </row>
    <row r="24" spans="1:17">
      <c r="B24" s="38" t="s">
        <v>261</v>
      </c>
      <c r="C24" s="38" t="s">
        <v>262</v>
      </c>
      <c r="D24" s="38" t="s">
        <v>263</v>
      </c>
      <c r="E24" s="38" t="s">
        <v>264</v>
      </c>
      <c r="F24" s="38" t="s">
        <v>265</v>
      </c>
      <c r="G24" s="38" t="s">
        <v>269</v>
      </c>
      <c r="I24" s="38"/>
      <c r="K24" s="38"/>
      <c r="M24" s="38"/>
      <c r="N24" s="38"/>
      <c r="O24" s="38"/>
      <c r="P24" s="38"/>
      <c r="Q24" s="38"/>
    </row>
    <row r="25" spans="1:17">
      <c r="A25" t="s">
        <v>266</v>
      </c>
      <c r="B25" s="66">
        <v>6</v>
      </c>
      <c r="C25" s="66">
        <v>0</v>
      </c>
      <c r="D25" s="66">
        <v>9</v>
      </c>
      <c r="E25" s="66">
        <v>0</v>
      </c>
      <c r="F25" s="66">
        <v>0</v>
      </c>
      <c r="G25" s="38">
        <f>SUM(B25:F25)</f>
        <v>15</v>
      </c>
      <c r="H25" s="38" t="s">
        <v>144</v>
      </c>
      <c r="I25" s="41">
        <v>15</v>
      </c>
      <c r="J25" s="38"/>
      <c r="M25" s="38"/>
      <c r="N25" s="38"/>
      <c r="O25" s="38"/>
      <c r="P25" s="38"/>
      <c r="Q25" s="38"/>
    </row>
    <row r="26" spans="1:17">
      <c r="A26" t="s">
        <v>267</v>
      </c>
      <c r="B26" s="66">
        <v>5</v>
      </c>
      <c r="C26" s="66">
        <v>0</v>
      </c>
      <c r="D26" s="66">
        <v>0</v>
      </c>
      <c r="E26" s="66">
        <v>10</v>
      </c>
      <c r="F26" s="66">
        <v>5</v>
      </c>
      <c r="G26" s="38">
        <f>SUM(B26:F26)</f>
        <v>20</v>
      </c>
      <c r="H26" s="38" t="s">
        <v>144</v>
      </c>
      <c r="I26" s="41">
        <v>20</v>
      </c>
      <c r="J26" s="38"/>
      <c r="M26" s="38"/>
      <c r="N26" s="38"/>
      <c r="O26" s="38"/>
      <c r="P26" s="38"/>
      <c r="Q26" s="38"/>
    </row>
    <row r="27" spans="1:17">
      <c r="A27" t="s">
        <v>268</v>
      </c>
      <c r="B27" s="66">
        <v>0</v>
      </c>
      <c r="C27" s="66">
        <v>12</v>
      </c>
      <c r="D27" s="66">
        <v>0</v>
      </c>
      <c r="E27" s="66">
        <v>0</v>
      </c>
      <c r="F27" s="66">
        <v>3</v>
      </c>
      <c r="G27" s="38">
        <f>SUM(B27:F27)</f>
        <v>15</v>
      </c>
      <c r="H27" s="38" t="s">
        <v>144</v>
      </c>
      <c r="I27" s="41">
        <v>15</v>
      </c>
      <c r="J27" s="38"/>
      <c r="K27" s="38"/>
      <c r="M27" s="38"/>
      <c r="N27" s="38"/>
      <c r="O27" s="38"/>
      <c r="P27" s="38"/>
      <c r="Q27" s="38"/>
    </row>
    <row r="28" spans="1:17">
      <c r="B28" s="38">
        <f>SUM(B25:B27)</f>
        <v>11</v>
      </c>
      <c r="C28" s="38">
        <f t="shared" ref="C28:E28" si="3">SUM(C25:C27)+SUM(N25:N27)</f>
        <v>12</v>
      </c>
      <c r="D28" s="38">
        <f t="shared" si="3"/>
        <v>9</v>
      </c>
      <c r="E28" s="38">
        <f t="shared" si="3"/>
        <v>10</v>
      </c>
      <c r="F28" s="38">
        <f>SUM(F25:F27)+SUM(Q25:Q27)</f>
        <v>8</v>
      </c>
      <c r="I28" s="38"/>
      <c r="K28" s="38"/>
    </row>
    <row r="29" spans="1:17">
      <c r="A29" s="38" t="s">
        <v>225</v>
      </c>
      <c r="B29" s="76" t="s">
        <v>270</v>
      </c>
      <c r="C29" s="76" t="s">
        <v>270</v>
      </c>
      <c r="D29" s="76" t="s">
        <v>270</v>
      </c>
      <c r="E29" s="76" t="s">
        <v>270</v>
      </c>
      <c r="F29" s="76" t="s">
        <v>270</v>
      </c>
      <c r="I29" s="38" t="s">
        <v>271</v>
      </c>
      <c r="K29" s="59">
        <v>0.1</v>
      </c>
    </row>
    <row r="30" spans="1:17">
      <c r="A30" s="38" t="s">
        <v>272</v>
      </c>
      <c r="B30" s="41">
        <v>11</v>
      </c>
      <c r="C30" s="41">
        <v>12</v>
      </c>
      <c r="D30" s="41">
        <v>9</v>
      </c>
      <c r="E30" s="41">
        <v>10</v>
      </c>
      <c r="F30" s="41">
        <v>8</v>
      </c>
      <c r="I30" s="83">
        <f>SUMPRODUCT(B19:F21,B25:F27)</f>
        <v>2729.1</v>
      </c>
    </row>
    <row r="32" spans="1:17">
      <c r="A32" t="s">
        <v>289</v>
      </c>
    </row>
    <row r="33" spans="1:6">
      <c r="B33" s="38" t="s">
        <v>261</v>
      </c>
      <c r="C33" s="38" t="s">
        <v>262</v>
      </c>
      <c r="D33" s="38" t="s">
        <v>263</v>
      </c>
      <c r="E33" s="38" t="s">
        <v>264</v>
      </c>
      <c r="F33" s="38" t="s">
        <v>265</v>
      </c>
    </row>
    <row r="34" spans="1:6">
      <c r="A34" t="s">
        <v>266</v>
      </c>
      <c r="B34" s="79" t="str">
        <f>IF(B25&gt;0,IF(B19=B15,"Ship","Rail"),"")</f>
        <v>Ship</v>
      </c>
      <c r="C34" s="63" t="str">
        <f t="shared" ref="C34:F34" si="4">IF(C25&gt;0,IF(C19=C15,"Ship","Rail"),"")</f>
        <v/>
      </c>
      <c r="D34" s="63" t="str">
        <f t="shared" si="4"/>
        <v>Rail</v>
      </c>
      <c r="E34" s="63" t="str">
        <f t="shared" si="4"/>
        <v/>
      </c>
      <c r="F34" s="64" t="str">
        <f t="shared" si="4"/>
        <v/>
      </c>
    </row>
    <row r="35" spans="1:6">
      <c r="A35" t="s">
        <v>267</v>
      </c>
      <c r="B35" s="80" t="str">
        <f t="shared" ref="B35:F36" si="5">IF(B26&gt;0,IF(B20=B16,"Ship","Rail"),"")</f>
        <v>Ship</v>
      </c>
      <c r="C35" s="38" t="str">
        <f t="shared" si="5"/>
        <v/>
      </c>
      <c r="D35" s="38" t="str">
        <f t="shared" si="5"/>
        <v/>
      </c>
      <c r="E35" s="38" t="str">
        <f t="shared" si="5"/>
        <v>Ship</v>
      </c>
      <c r="F35" s="60" t="str">
        <f t="shared" si="5"/>
        <v>Rail</v>
      </c>
    </row>
    <row r="36" spans="1:6">
      <c r="A36" t="s">
        <v>268</v>
      </c>
      <c r="B36" s="81" t="str">
        <f t="shared" si="5"/>
        <v/>
      </c>
      <c r="C36" s="51" t="str">
        <f t="shared" si="5"/>
        <v>Ship</v>
      </c>
      <c r="D36" s="51" t="str">
        <f t="shared" si="5"/>
        <v/>
      </c>
      <c r="E36" s="51" t="str">
        <f t="shared" si="5"/>
        <v/>
      </c>
      <c r="F36" s="82" t="str">
        <f t="shared" si="5"/>
        <v>Rail</v>
      </c>
    </row>
    <row r="41" spans="1:6">
      <c r="A41" t="s">
        <v>71</v>
      </c>
    </row>
    <row r="42" spans="1:6">
      <c r="A42" t="s">
        <v>72</v>
      </c>
    </row>
    <row r="43" spans="1:6">
      <c r="A43" t="s">
        <v>73</v>
      </c>
    </row>
    <row r="44" spans="1:6">
      <c r="A44" t="s">
        <v>74</v>
      </c>
    </row>
    <row r="46" spans="1:6">
      <c r="A46" t="s">
        <v>273</v>
      </c>
      <c r="E46" t="s">
        <v>274</v>
      </c>
    </row>
    <row r="47" spans="1:6">
      <c r="A47" t="s">
        <v>275</v>
      </c>
    </row>
    <row r="48" spans="1:6">
      <c r="A48" t="s">
        <v>276</v>
      </c>
    </row>
    <row r="50" spans="1:4">
      <c r="A50" t="s">
        <v>277</v>
      </c>
      <c r="D50" t="s">
        <v>278</v>
      </c>
    </row>
    <row r="51" spans="1:4">
      <c r="A51" t="s">
        <v>279</v>
      </c>
    </row>
    <row r="52" spans="1:4">
      <c r="A52" t="s">
        <v>280</v>
      </c>
    </row>
    <row r="53" spans="1:4">
      <c r="A53" t="s">
        <v>281</v>
      </c>
    </row>
    <row r="54" spans="1:4">
      <c r="A54" t="s">
        <v>282</v>
      </c>
    </row>
    <row r="56" spans="1:4">
      <c r="A56" t="s">
        <v>283</v>
      </c>
    </row>
  </sheetData>
  <mergeCells count="4">
    <mergeCell ref="B1:F1"/>
    <mergeCell ref="I1:M1"/>
    <mergeCell ref="B23:F23"/>
    <mergeCell ref="M23:Q2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8D95B-D502-4CDC-9FC8-33915C40CD78}">
  <dimension ref="A1:R41"/>
  <sheetViews>
    <sheetView workbookViewId="0">
      <selection activeCell="E27" sqref="E27"/>
    </sheetView>
  </sheetViews>
  <sheetFormatPr defaultRowHeight="15"/>
  <sheetData>
    <row r="1" spans="1:18">
      <c r="C1" s="38"/>
      <c r="D1" s="38"/>
      <c r="E1" s="38"/>
      <c r="F1" s="38"/>
      <c r="G1" s="38"/>
      <c r="H1" s="38"/>
      <c r="I1" s="38"/>
      <c r="J1" s="38"/>
      <c r="K1" s="38"/>
      <c r="L1" s="38"/>
      <c r="M1" s="38" t="s">
        <v>290</v>
      </c>
      <c r="N1" s="38"/>
      <c r="O1" s="38"/>
      <c r="P1" s="38"/>
    </row>
    <row r="2" spans="1:18">
      <c r="C2" s="38" t="s">
        <v>291</v>
      </c>
      <c r="D2" s="38" t="s">
        <v>292</v>
      </c>
      <c r="E2" s="38" t="s">
        <v>293</v>
      </c>
      <c r="F2" s="38" t="s">
        <v>293</v>
      </c>
      <c r="G2" s="38" t="s">
        <v>294</v>
      </c>
      <c r="H2" s="38" t="s">
        <v>291</v>
      </c>
      <c r="I2" s="38" t="s">
        <v>295</v>
      </c>
      <c r="J2" s="38" t="s">
        <v>296</v>
      </c>
      <c r="K2" s="38" t="s">
        <v>296</v>
      </c>
      <c r="L2" s="38" t="s">
        <v>295</v>
      </c>
      <c r="M2" s="38" t="s">
        <v>297</v>
      </c>
      <c r="N2" s="38"/>
      <c r="O2" s="38"/>
      <c r="P2" s="38"/>
    </row>
    <row r="3" spans="1:18">
      <c r="C3" s="38" t="s">
        <v>298</v>
      </c>
      <c r="D3" s="38" t="s">
        <v>299</v>
      </c>
      <c r="E3" s="38" t="s">
        <v>300</v>
      </c>
      <c r="F3" s="38" t="s">
        <v>301</v>
      </c>
      <c r="G3" s="38" t="s">
        <v>302</v>
      </c>
      <c r="H3" s="38" t="s">
        <v>303</v>
      </c>
      <c r="I3" s="38" t="s">
        <v>304</v>
      </c>
      <c r="J3" s="38" t="s">
        <v>299</v>
      </c>
      <c r="K3" s="38" t="s">
        <v>305</v>
      </c>
      <c r="L3" s="38" t="s">
        <v>306</v>
      </c>
      <c r="M3" s="38" t="s">
        <v>300</v>
      </c>
      <c r="N3" s="38"/>
      <c r="O3" s="38"/>
      <c r="P3" s="38"/>
    </row>
    <row r="4" spans="1:18">
      <c r="B4" s="38" t="s">
        <v>307</v>
      </c>
      <c r="C4" s="40">
        <f>300*0.6</f>
        <v>180</v>
      </c>
      <c r="D4" s="40">
        <f t="shared" ref="D4:M4" si="0">300*0.6</f>
        <v>180</v>
      </c>
      <c r="E4" s="40">
        <f t="shared" si="0"/>
        <v>180</v>
      </c>
      <c r="F4" s="40">
        <f t="shared" si="0"/>
        <v>180</v>
      </c>
      <c r="G4" s="40">
        <f t="shared" si="0"/>
        <v>180</v>
      </c>
      <c r="H4" s="40">
        <f t="shared" si="0"/>
        <v>180</v>
      </c>
      <c r="I4" s="40">
        <f t="shared" si="0"/>
        <v>180</v>
      </c>
      <c r="J4" s="40">
        <f t="shared" si="0"/>
        <v>180</v>
      </c>
      <c r="K4" s="40">
        <f t="shared" si="0"/>
        <v>180</v>
      </c>
      <c r="L4" s="40">
        <f t="shared" si="0"/>
        <v>180</v>
      </c>
      <c r="M4" s="40">
        <f t="shared" si="0"/>
        <v>180</v>
      </c>
      <c r="N4" s="38"/>
      <c r="O4" s="38"/>
      <c r="P4" s="38"/>
    </row>
    <row r="5" spans="1:18">
      <c r="B5" s="38" t="s">
        <v>308</v>
      </c>
      <c r="C5" s="40">
        <v>160</v>
      </c>
      <c r="D5" s="40">
        <v>150</v>
      </c>
      <c r="E5" s="40">
        <v>100</v>
      </c>
      <c r="F5" s="40">
        <v>60</v>
      </c>
      <c r="G5" s="40">
        <v>120</v>
      </c>
      <c r="H5" s="40">
        <f>140</f>
        <v>140</v>
      </c>
      <c r="I5" s="40">
        <v>175</v>
      </c>
      <c r="J5" s="40">
        <v>60</v>
      </c>
      <c r="K5" s="40">
        <v>40</v>
      </c>
      <c r="L5" s="40">
        <v>160</v>
      </c>
      <c r="M5" s="40">
        <v>90</v>
      </c>
      <c r="N5" s="38"/>
      <c r="O5" s="38"/>
      <c r="P5" s="38"/>
    </row>
    <row r="6" spans="1:18">
      <c r="B6" s="38" t="s">
        <v>309</v>
      </c>
      <c r="C6" s="61">
        <f t="shared" ref="C6:M6" si="1">SUMPRODUCT(CostOfMaterial,C11:C17)</f>
        <v>30</v>
      </c>
      <c r="D6" s="61">
        <f t="shared" si="1"/>
        <v>90</v>
      </c>
      <c r="E6" s="61">
        <f t="shared" si="1"/>
        <v>19.5</v>
      </c>
      <c r="F6" s="61">
        <f t="shared" si="1"/>
        <v>6.5</v>
      </c>
      <c r="G6" s="61">
        <f t="shared" si="1"/>
        <v>6.75</v>
      </c>
      <c r="H6" s="61">
        <f t="shared" si="1"/>
        <v>24.75</v>
      </c>
      <c r="I6" s="61">
        <f t="shared" si="1"/>
        <v>39</v>
      </c>
      <c r="J6" s="61">
        <f t="shared" si="1"/>
        <v>3.75</v>
      </c>
      <c r="K6" s="61">
        <f t="shared" si="1"/>
        <v>1.25</v>
      </c>
      <c r="L6" s="61">
        <f t="shared" si="1"/>
        <v>18</v>
      </c>
      <c r="M6" s="61">
        <f t="shared" si="1"/>
        <v>3.375</v>
      </c>
      <c r="N6" s="38"/>
      <c r="O6" s="38"/>
      <c r="P6" s="38"/>
    </row>
    <row r="7" spans="1:18">
      <c r="B7" s="38" t="s">
        <v>310</v>
      </c>
      <c r="C7" s="85">
        <f>C4-C5-C6</f>
        <v>-10</v>
      </c>
      <c r="D7" s="86">
        <f t="shared" ref="D7:M7" si="2">D4-D5-D6</f>
        <v>-60</v>
      </c>
      <c r="E7" s="86">
        <f t="shared" si="2"/>
        <v>60.5</v>
      </c>
      <c r="F7" s="86">
        <f t="shared" si="2"/>
        <v>113.5</v>
      </c>
      <c r="G7" s="86">
        <f t="shared" si="2"/>
        <v>53.25</v>
      </c>
      <c r="H7" s="86">
        <f t="shared" si="2"/>
        <v>15.25</v>
      </c>
      <c r="I7" s="86">
        <f t="shared" si="2"/>
        <v>-34</v>
      </c>
      <c r="J7" s="86">
        <f t="shared" si="2"/>
        <v>116.25</v>
      </c>
      <c r="K7" s="86">
        <f t="shared" si="2"/>
        <v>138.75</v>
      </c>
      <c r="L7" s="86">
        <f>L4-L5-L6</f>
        <v>2</v>
      </c>
      <c r="M7" s="87">
        <f t="shared" si="2"/>
        <v>86.625</v>
      </c>
      <c r="N7" s="38"/>
      <c r="O7" s="38"/>
      <c r="P7" s="38"/>
    </row>
    <row r="8" spans="1:18">
      <c r="C8" s="38"/>
      <c r="D8" s="38"/>
      <c r="E8" s="38"/>
      <c r="F8" s="38"/>
      <c r="G8" s="38"/>
      <c r="H8" s="38"/>
      <c r="I8" s="38"/>
      <c r="J8" s="38"/>
      <c r="K8" s="38"/>
      <c r="L8" s="38"/>
      <c r="M8" s="38"/>
      <c r="N8" s="38"/>
      <c r="O8" s="38"/>
      <c r="P8" s="38"/>
    </row>
    <row r="9" spans="1:18">
      <c r="B9" s="38" t="s">
        <v>311</v>
      </c>
      <c r="C9" s="38"/>
      <c r="D9" s="38"/>
      <c r="E9" s="38"/>
      <c r="F9" s="38"/>
      <c r="G9" s="38"/>
      <c r="H9" s="38"/>
      <c r="I9" s="38"/>
      <c r="J9" s="38"/>
      <c r="K9" s="38"/>
      <c r="L9" s="38"/>
      <c r="M9" s="38"/>
      <c r="N9" s="38" t="s">
        <v>312</v>
      </c>
      <c r="O9" s="38"/>
      <c r="P9" s="38" t="s">
        <v>312</v>
      </c>
    </row>
    <row r="10" spans="1:18">
      <c r="B10" s="38" t="s">
        <v>312</v>
      </c>
      <c r="C10" s="181" t="s">
        <v>313</v>
      </c>
      <c r="D10" s="181"/>
      <c r="E10" s="181"/>
      <c r="F10" s="181"/>
      <c r="G10" s="181"/>
      <c r="H10" s="181"/>
      <c r="I10" s="181"/>
      <c r="J10" s="181"/>
      <c r="K10" s="181"/>
      <c r="L10" s="181"/>
      <c r="M10" s="181"/>
      <c r="N10" s="38" t="s">
        <v>141</v>
      </c>
      <c r="O10" s="38"/>
      <c r="P10" s="38" t="s">
        <v>142</v>
      </c>
      <c r="Q10" s="38" t="s">
        <v>314</v>
      </c>
      <c r="R10" s="38" t="s">
        <v>315</v>
      </c>
    </row>
    <row r="11" spans="1:18">
      <c r="A11" s="38" t="s">
        <v>291</v>
      </c>
      <c r="B11" s="88">
        <v>9</v>
      </c>
      <c r="C11" s="41">
        <v>3</v>
      </c>
      <c r="D11" s="41">
        <v>0</v>
      </c>
      <c r="E11" s="41">
        <v>0</v>
      </c>
      <c r="F11" s="41">
        <v>0</v>
      </c>
      <c r="G11" s="41">
        <v>0</v>
      </c>
      <c r="H11" s="41">
        <v>2.5</v>
      </c>
      <c r="I11" s="41">
        <v>0</v>
      </c>
      <c r="J11" s="41">
        <v>0</v>
      </c>
      <c r="K11" s="41">
        <v>0</v>
      </c>
      <c r="L11" s="41">
        <v>0</v>
      </c>
      <c r="M11" s="41">
        <v>0</v>
      </c>
      <c r="N11" s="38">
        <f t="shared" ref="N11:N17" si="3">SUMPRODUCT(C11:M11,ItemsProduced)</f>
        <v>38266.666666666664</v>
      </c>
      <c r="O11" s="38" t="s">
        <v>144</v>
      </c>
      <c r="P11" s="89">
        <v>45000</v>
      </c>
      <c r="Q11" s="90">
        <f>P11-N11</f>
        <v>6733.3333333333358</v>
      </c>
      <c r="R11">
        <f>Q11*B11</f>
        <v>60600.000000000022</v>
      </c>
    </row>
    <row r="12" spans="1:18">
      <c r="A12" s="38" t="s">
        <v>316</v>
      </c>
      <c r="B12" s="88">
        <v>1.5</v>
      </c>
      <c r="C12" s="41">
        <v>2</v>
      </c>
      <c r="D12" s="41">
        <v>0</v>
      </c>
      <c r="E12" s="41">
        <v>0</v>
      </c>
      <c r="F12" s="41">
        <v>0</v>
      </c>
      <c r="G12" s="41">
        <v>1.5</v>
      </c>
      <c r="H12" s="41">
        <v>1.5</v>
      </c>
      <c r="I12" s="41">
        <v>2</v>
      </c>
      <c r="J12" s="41">
        <v>0</v>
      </c>
      <c r="K12" s="41">
        <v>0</v>
      </c>
      <c r="L12" s="41">
        <v>0</v>
      </c>
      <c r="M12" s="41">
        <v>0</v>
      </c>
      <c r="N12" s="38">
        <f t="shared" si="3"/>
        <v>28000</v>
      </c>
      <c r="O12" s="38" t="s">
        <v>144</v>
      </c>
      <c r="P12" s="89">
        <f>28000</f>
        <v>28000</v>
      </c>
      <c r="Q12" s="90">
        <f t="shared" ref="Q12:Q17" si="4">P12-N12</f>
        <v>0</v>
      </c>
      <c r="R12">
        <f t="shared" ref="R12:R17" si="5">Q12*B12</f>
        <v>0</v>
      </c>
    </row>
    <row r="13" spans="1:18">
      <c r="A13" s="38" t="s">
        <v>292</v>
      </c>
      <c r="B13" s="88">
        <v>60</v>
      </c>
      <c r="C13" s="41">
        <v>0</v>
      </c>
      <c r="D13" s="41">
        <v>1.5</v>
      </c>
      <c r="E13" s="41">
        <v>0</v>
      </c>
      <c r="F13" s="41">
        <v>0</v>
      </c>
      <c r="G13" s="41">
        <v>0</v>
      </c>
      <c r="H13" s="41">
        <v>0</v>
      </c>
      <c r="I13" s="41">
        <v>0</v>
      </c>
      <c r="J13" s="41">
        <v>0</v>
      </c>
      <c r="K13" s="41">
        <v>0</v>
      </c>
      <c r="L13" s="41">
        <v>0</v>
      </c>
      <c r="M13" s="41">
        <v>0</v>
      </c>
      <c r="N13" s="38">
        <f t="shared" si="3"/>
        <v>0</v>
      </c>
      <c r="O13" s="38" t="s">
        <v>144</v>
      </c>
      <c r="P13" s="89">
        <v>9000</v>
      </c>
      <c r="Q13" s="90">
        <f t="shared" si="4"/>
        <v>9000</v>
      </c>
      <c r="R13">
        <f t="shared" si="5"/>
        <v>540000</v>
      </c>
    </row>
    <row r="14" spans="1:18">
      <c r="A14" s="38" t="s">
        <v>293</v>
      </c>
      <c r="B14" s="88">
        <v>13</v>
      </c>
      <c r="C14" s="41">
        <v>0</v>
      </c>
      <c r="D14" s="41">
        <v>0</v>
      </c>
      <c r="E14" s="41">
        <v>1.5</v>
      </c>
      <c r="F14" s="41">
        <v>0.5</v>
      </c>
      <c r="G14" s="41">
        <v>0</v>
      </c>
      <c r="H14" s="41">
        <v>0</v>
      </c>
      <c r="I14" s="41">
        <v>0</v>
      </c>
      <c r="J14" s="41">
        <v>0</v>
      </c>
      <c r="K14" s="41">
        <v>0</v>
      </c>
      <c r="L14" s="41">
        <v>0</v>
      </c>
      <c r="M14" s="41">
        <v>0</v>
      </c>
      <c r="N14" s="38">
        <f t="shared" si="3"/>
        <v>18000</v>
      </c>
      <c r="O14" s="38" t="s">
        <v>144</v>
      </c>
      <c r="P14" s="89">
        <v>18000</v>
      </c>
      <c r="Q14" s="90">
        <f t="shared" si="4"/>
        <v>0</v>
      </c>
      <c r="R14">
        <f t="shared" si="5"/>
        <v>0</v>
      </c>
    </row>
    <row r="15" spans="1:18">
      <c r="A15" s="38" t="s">
        <v>317</v>
      </c>
      <c r="B15" s="88">
        <v>2.25</v>
      </c>
      <c r="C15" s="41">
        <v>0</v>
      </c>
      <c r="D15" s="41">
        <v>0</v>
      </c>
      <c r="E15" s="41">
        <v>0</v>
      </c>
      <c r="F15" s="41"/>
      <c r="G15" s="41">
        <v>2</v>
      </c>
      <c r="H15" s="41">
        <v>0</v>
      </c>
      <c r="I15" s="41">
        <v>0</v>
      </c>
      <c r="J15" s="41">
        <v>0</v>
      </c>
      <c r="K15" s="41">
        <v>0</v>
      </c>
      <c r="L15" s="41">
        <v>0</v>
      </c>
      <c r="M15" s="41">
        <v>1.5</v>
      </c>
      <c r="N15" s="38">
        <f t="shared" si="3"/>
        <v>30000</v>
      </c>
      <c r="O15" s="38" t="s">
        <v>144</v>
      </c>
      <c r="P15" s="89">
        <v>30000</v>
      </c>
      <c r="Q15" s="90">
        <f t="shared" si="4"/>
        <v>0</v>
      </c>
      <c r="R15">
        <f t="shared" si="5"/>
        <v>0</v>
      </c>
    </row>
    <row r="16" spans="1:18">
      <c r="A16" s="38" t="s">
        <v>295</v>
      </c>
      <c r="B16" s="88">
        <v>12</v>
      </c>
      <c r="C16" s="41">
        <v>0</v>
      </c>
      <c r="D16" s="41">
        <v>0</v>
      </c>
      <c r="E16" s="41">
        <v>0</v>
      </c>
      <c r="F16" s="41">
        <v>0</v>
      </c>
      <c r="G16" s="41">
        <v>0</v>
      </c>
      <c r="H16" s="41">
        <v>0</v>
      </c>
      <c r="I16" s="41">
        <v>3</v>
      </c>
      <c r="J16" s="41">
        <v>0</v>
      </c>
      <c r="K16" s="41">
        <v>0</v>
      </c>
      <c r="L16" s="41">
        <v>1.5</v>
      </c>
      <c r="M16" s="41">
        <v>0</v>
      </c>
      <c r="N16" s="38">
        <f t="shared" si="3"/>
        <v>20000</v>
      </c>
      <c r="O16" s="38" t="s">
        <v>144</v>
      </c>
      <c r="P16" s="89">
        <v>20000</v>
      </c>
      <c r="Q16" s="90">
        <f t="shared" si="4"/>
        <v>0</v>
      </c>
      <c r="R16">
        <f t="shared" si="5"/>
        <v>0</v>
      </c>
    </row>
    <row r="17" spans="1:18">
      <c r="A17" s="38" t="s">
        <v>296</v>
      </c>
      <c r="B17" s="88">
        <v>2.5</v>
      </c>
      <c r="C17" s="41">
        <v>0</v>
      </c>
      <c r="D17" s="41">
        <v>0</v>
      </c>
      <c r="E17" s="41">
        <v>0</v>
      </c>
      <c r="F17" s="41">
        <v>0</v>
      </c>
      <c r="G17" s="41">
        <v>0</v>
      </c>
      <c r="H17" s="41">
        <v>0</v>
      </c>
      <c r="I17" s="41">
        <v>0</v>
      </c>
      <c r="J17" s="41">
        <v>1.5</v>
      </c>
      <c r="K17" s="41">
        <v>0.5</v>
      </c>
      <c r="L17" s="41">
        <v>0</v>
      </c>
      <c r="M17" s="41">
        <v>0</v>
      </c>
      <c r="N17" s="38">
        <f t="shared" si="3"/>
        <v>30000</v>
      </c>
      <c r="O17" s="38" t="s">
        <v>144</v>
      </c>
      <c r="P17" s="89">
        <v>30000</v>
      </c>
      <c r="Q17" s="90">
        <f t="shared" si="4"/>
        <v>0</v>
      </c>
      <c r="R17">
        <f t="shared" si="5"/>
        <v>0</v>
      </c>
    </row>
    <row r="18" spans="1:18">
      <c r="C18" s="38"/>
      <c r="D18" s="38"/>
      <c r="E18" s="38"/>
      <c r="F18" s="38"/>
      <c r="G18" s="38"/>
      <c r="H18" s="38"/>
      <c r="I18" s="38"/>
      <c r="J18" s="38"/>
      <c r="K18" s="38"/>
      <c r="L18" s="38"/>
      <c r="M18" s="38"/>
      <c r="N18" s="38"/>
      <c r="O18" s="38"/>
      <c r="P18" s="38"/>
      <c r="R18" s="35">
        <f>SUM(R11:R17)</f>
        <v>600600</v>
      </c>
    </row>
    <row r="19" spans="1:18">
      <c r="C19" s="38"/>
      <c r="D19" s="38"/>
      <c r="E19" s="38"/>
      <c r="F19" s="38"/>
      <c r="G19" s="38"/>
      <c r="H19" s="38"/>
      <c r="I19" s="38"/>
      <c r="J19" s="38"/>
      <c r="K19" s="38"/>
      <c r="L19" s="38"/>
      <c r="M19" s="38" t="s">
        <v>290</v>
      </c>
      <c r="N19" s="38"/>
      <c r="O19" s="38"/>
      <c r="P19" s="38"/>
    </row>
    <row r="20" spans="1:18">
      <c r="C20" s="38" t="s">
        <v>291</v>
      </c>
      <c r="D20" s="38" t="s">
        <v>292</v>
      </c>
      <c r="E20" s="38" t="s">
        <v>293</v>
      </c>
      <c r="F20" s="38" t="s">
        <v>293</v>
      </c>
      <c r="G20" s="38" t="s">
        <v>294</v>
      </c>
      <c r="H20" s="38" t="s">
        <v>291</v>
      </c>
      <c r="I20" s="38" t="s">
        <v>295</v>
      </c>
      <c r="J20" s="38" t="s">
        <v>296</v>
      </c>
      <c r="K20" s="38" t="s">
        <v>296</v>
      </c>
      <c r="L20" s="38" t="s">
        <v>295</v>
      </c>
      <c r="M20" s="38" t="s">
        <v>297</v>
      </c>
      <c r="N20" s="38"/>
      <c r="O20" s="38"/>
      <c r="P20" s="38" t="s">
        <v>225</v>
      </c>
    </row>
    <row r="21" spans="1:18">
      <c r="C21" s="38" t="s">
        <v>298</v>
      </c>
      <c r="D21" s="38" t="s">
        <v>299</v>
      </c>
      <c r="E21" s="38" t="s">
        <v>300</v>
      </c>
      <c r="F21" s="38" t="s">
        <v>301</v>
      </c>
      <c r="G21" s="38" t="s">
        <v>302</v>
      </c>
      <c r="H21" s="38" t="s">
        <v>303</v>
      </c>
      <c r="I21" s="38" t="s">
        <v>304</v>
      </c>
      <c r="J21" s="38" t="s">
        <v>299</v>
      </c>
      <c r="K21" s="38" t="s">
        <v>305</v>
      </c>
      <c r="L21" s="38" t="s">
        <v>306</v>
      </c>
      <c r="M21" s="38" t="s">
        <v>300</v>
      </c>
      <c r="N21" s="38"/>
      <c r="O21" s="38"/>
      <c r="P21" s="38" t="s">
        <v>318</v>
      </c>
    </row>
    <row r="22" spans="1:18">
      <c r="B22" t="s">
        <v>319</v>
      </c>
      <c r="C22" s="91">
        <v>4200</v>
      </c>
      <c r="D22" s="92">
        <v>0</v>
      </c>
      <c r="E22" s="92">
        <v>0</v>
      </c>
      <c r="F22" s="92">
        <v>36000</v>
      </c>
      <c r="G22" s="92">
        <v>2800</v>
      </c>
      <c r="H22" s="92">
        <v>10266.666666666666</v>
      </c>
      <c r="I22" s="92">
        <v>0</v>
      </c>
      <c r="J22" s="92">
        <v>0</v>
      </c>
      <c r="K22" s="92">
        <v>60000</v>
      </c>
      <c r="L22" s="92">
        <v>13333.333333333332</v>
      </c>
      <c r="M22" s="93">
        <v>16266.666666666666</v>
      </c>
      <c r="N22" s="38"/>
      <c r="O22" s="38"/>
      <c r="P22" s="94">
        <f>SUMPRODUCT(NetContrib,ItemsProduced)</f>
        <v>14110433.333333334</v>
      </c>
    </row>
    <row r="23" spans="1:18">
      <c r="C23" s="38" t="s">
        <v>144</v>
      </c>
      <c r="D23" s="38" t="s">
        <v>144</v>
      </c>
      <c r="E23" s="38" t="s">
        <v>144</v>
      </c>
      <c r="F23" s="38" t="s">
        <v>144</v>
      </c>
      <c r="G23" s="38" t="s">
        <v>144</v>
      </c>
      <c r="H23" s="38" t="s">
        <v>144</v>
      </c>
      <c r="I23" s="38" t="s">
        <v>144</v>
      </c>
      <c r="J23" s="38" t="s">
        <v>144</v>
      </c>
      <c r="K23" s="38" t="s">
        <v>144</v>
      </c>
      <c r="L23" s="38" t="s">
        <v>144</v>
      </c>
      <c r="M23" s="38" t="s">
        <v>144</v>
      </c>
      <c r="N23" s="38"/>
      <c r="O23" s="38" t="s">
        <v>320</v>
      </c>
      <c r="P23" s="61">
        <v>8960000</v>
      </c>
    </row>
    <row r="24" spans="1:18">
      <c r="B24" t="s">
        <v>321</v>
      </c>
      <c r="C24" s="41">
        <f>7000*99999999999</f>
        <v>699999999993000</v>
      </c>
      <c r="D24" s="41">
        <f>7000*99999999999</f>
        <v>699999999993000</v>
      </c>
      <c r="E24" s="41">
        <f>7000*99999999999</f>
        <v>699999999993000</v>
      </c>
      <c r="F24" s="41">
        <f>7000*99999999999</f>
        <v>699999999993000</v>
      </c>
      <c r="G24" s="38"/>
      <c r="H24" s="41">
        <f>5000*99999999999</f>
        <v>499999999995000</v>
      </c>
      <c r="I24" s="41">
        <f>5500*99999999999</f>
        <v>549999999994500</v>
      </c>
      <c r="J24" s="38"/>
      <c r="K24" s="38"/>
      <c r="L24" s="41">
        <f>6000*99999999999</f>
        <v>599999999994000</v>
      </c>
      <c r="M24" s="38"/>
      <c r="N24" s="38"/>
      <c r="O24" s="38" t="s">
        <v>322</v>
      </c>
      <c r="P24" s="61">
        <f>P16*12*0</f>
        <v>0</v>
      </c>
    </row>
    <row r="25" spans="1:18">
      <c r="C25" s="38" t="s">
        <v>123</v>
      </c>
      <c r="D25" s="38" t="s">
        <v>123</v>
      </c>
      <c r="E25" s="38" t="s">
        <v>123</v>
      </c>
      <c r="F25" s="38" t="s">
        <v>123</v>
      </c>
      <c r="G25" s="38" t="s">
        <v>123</v>
      </c>
      <c r="H25" s="38" t="s">
        <v>123</v>
      </c>
      <c r="I25" s="38" t="s">
        <v>123</v>
      </c>
      <c r="J25" s="38" t="s">
        <v>123</v>
      </c>
      <c r="K25" s="38" t="s">
        <v>123</v>
      </c>
      <c r="L25" s="38" t="s">
        <v>123</v>
      </c>
      <c r="M25" s="38" t="s">
        <v>123</v>
      </c>
      <c r="N25" s="38"/>
      <c r="O25" s="38" t="s">
        <v>148</v>
      </c>
      <c r="P25" s="95">
        <f>P22-P23-P24</f>
        <v>5150433.333333334</v>
      </c>
    </row>
    <row r="26" spans="1:18">
      <c r="B26" t="s">
        <v>114</v>
      </c>
      <c r="C26" s="41">
        <f>4200</f>
        <v>4200</v>
      </c>
      <c r="D26" s="38"/>
      <c r="E26" s="38"/>
      <c r="F26" s="38"/>
      <c r="G26" s="41">
        <v>2800</v>
      </c>
      <c r="H26" s="41">
        <v>3000</v>
      </c>
      <c r="I26" s="38"/>
      <c r="J26" s="38"/>
      <c r="K26" s="38"/>
      <c r="L26" s="38"/>
      <c r="M26" s="38"/>
      <c r="N26" s="38"/>
      <c r="O26" s="38"/>
      <c r="P26" s="38"/>
    </row>
    <row r="27" spans="1:18">
      <c r="C27" s="38"/>
      <c r="D27" s="38"/>
      <c r="E27" s="38"/>
      <c r="F27" s="38"/>
      <c r="G27" s="38"/>
      <c r="H27" s="38"/>
      <c r="I27" s="38"/>
      <c r="J27" s="38"/>
      <c r="K27" s="38"/>
      <c r="L27" s="38"/>
      <c r="M27" s="38"/>
      <c r="N27" s="38"/>
      <c r="O27" s="38"/>
      <c r="P27" s="38"/>
    </row>
    <row r="28" spans="1:18">
      <c r="C28" s="38"/>
      <c r="D28" s="38"/>
      <c r="E28" s="38"/>
      <c r="F28" s="38"/>
      <c r="G28" s="38"/>
      <c r="H28" s="38"/>
      <c r="I28" s="38"/>
      <c r="J28" s="38"/>
      <c r="K28" s="38" t="s">
        <v>323</v>
      </c>
      <c r="L28" s="38"/>
      <c r="M28" s="38"/>
      <c r="N28" s="38"/>
      <c r="O28" s="38"/>
      <c r="P28" s="38"/>
    </row>
    <row r="29" spans="1:18">
      <c r="C29" s="38"/>
      <c r="D29" s="38"/>
      <c r="E29" s="38"/>
      <c r="F29" s="38"/>
      <c r="G29" s="38"/>
      <c r="H29" s="38"/>
      <c r="I29" s="38"/>
      <c r="J29" s="38"/>
      <c r="K29" s="38" t="s">
        <v>324</v>
      </c>
      <c r="L29" s="38"/>
      <c r="M29" s="38"/>
      <c r="N29" s="38"/>
      <c r="O29" s="38"/>
      <c r="P29" s="38"/>
    </row>
    <row r="30" spans="1:18">
      <c r="C30" s="38"/>
      <c r="D30" s="38"/>
      <c r="E30" s="38"/>
      <c r="F30" s="38"/>
      <c r="G30" s="38"/>
      <c r="H30" s="38"/>
      <c r="I30" s="38"/>
      <c r="J30" s="38"/>
      <c r="K30" s="38" t="s">
        <v>325</v>
      </c>
      <c r="L30" s="38"/>
      <c r="M30" s="38"/>
      <c r="N30" s="38"/>
      <c r="O30" s="38"/>
      <c r="P30" s="38"/>
    </row>
    <row r="31" spans="1:18">
      <c r="C31" s="38"/>
      <c r="D31" s="38"/>
      <c r="E31" s="38"/>
      <c r="F31" s="38"/>
      <c r="G31" s="38"/>
      <c r="H31" s="38"/>
      <c r="I31" s="38"/>
      <c r="J31" s="38"/>
      <c r="K31" s="38"/>
      <c r="L31" s="38"/>
      <c r="M31" s="38"/>
      <c r="N31" s="38"/>
      <c r="O31" s="38"/>
      <c r="P31" s="38"/>
    </row>
    <row r="32" spans="1:18">
      <c r="A32" t="s">
        <v>90</v>
      </c>
      <c r="C32" s="38"/>
      <c r="D32" s="38"/>
      <c r="E32" s="38"/>
      <c r="F32" s="38"/>
      <c r="G32" s="38"/>
      <c r="H32" s="38"/>
      <c r="I32" s="38"/>
      <c r="J32" s="38"/>
      <c r="K32" s="38"/>
      <c r="L32" s="38"/>
      <c r="M32" s="38"/>
      <c r="N32" s="38"/>
      <c r="O32" s="38"/>
      <c r="P32" s="38"/>
    </row>
    <row r="33" spans="1:16">
      <c r="A33" t="s">
        <v>91</v>
      </c>
      <c r="C33" s="38"/>
      <c r="D33" s="38"/>
      <c r="E33" s="38"/>
      <c r="F33" s="38"/>
      <c r="G33" s="38"/>
      <c r="H33" s="38"/>
      <c r="I33" s="38"/>
      <c r="J33" s="38"/>
      <c r="K33" s="38"/>
      <c r="L33" s="38"/>
      <c r="M33" s="38"/>
      <c r="N33" s="38"/>
      <c r="O33" s="38"/>
      <c r="P33" s="38"/>
    </row>
    <row r="34" spans="1:16">
      <c r="A34" t="s">
        <v>92</v>
      </c>
      <c r="C34" s="38"/>
      <c r="D34" s="38"/>
      <c r="E34" s="38"/>
      <c r="F34" s="38"/>
      <c r="G34" s="38"/>
      <c r="H34" s="38"/>
      <c r="I34" s="38"/>
      <c r="J34" s="38"/>
      <c r="K34" s="38"/>
      <c r="L34" s="38"/>
      <c r="M34" s="38"/>
      <c r="N34" s="38"/>
      <c r="O34" s="38"/>
      <c r="P34" s="38"/>
    </row>
    <row r="35" spans="1:16">
      <c r="A35" t="s">
        <v>326</v>
      </c>
      <c r="C35" s="38"/>
      <c r="D35" s="38"/>
      <c r="E35" s="38"/>
      <c r="F35" s="38"/>
      <c r="G35" s="38"/>
      <c r="H35" s="38"/>
      <c r="I35" s="38"/>
      <c r="J35" s="38"/>
      <c r="K35" s="38"/>
      <c r="L35" s="38"/>
      <c r="M35" s="38"/>
      <c r="N35" s="38"/>
      <c r="O35" s="38"/>
      <c r="P35" s="38"/>
    </row>
    <row r="36" spans="1:16">
      <c r="A36" t="s">
        <v>327</v>
      </c>
      <c r="C36" s="38"/>
      <c r="D36" s="38"/>
      <c r="E36" s="38"/>
      <c r="F36" s="38"/>
      <c r="G36" s="38"/>
      <c r="H36" s="38"/>
      <c r="I36" s="38"/>
      <c r="J36" s="38"/>
      <c r="K36" s="38"/>
      <c r="L36" s="38"/>
      <c r="M36" s="38"/>
      <c r="N36" s="38"/>
      <c r="O36" s="38"/>
      <c r="P36" s="38"/>
    </row>
    <row r="37" spans="1:16">
      <c r="A37" t="s">
        <v>328</v>
      </c>
      <c r="C37" s="38"/>
      <c r="D37" s="38"/>
      <c r="E37" s="38"/>
      <c r="F37" s="38"/>
      <c r="G37" s="38"/>
      <c r="H37" s="38"/>
      <c r="I37" s="38"/>
      <c r="J37" s="38"/>
      <c r="K37" s="38"/>
      <c r="L37" s="38"/>
      <c r="M37" s="38"/>
      <c r="N37" s="38"/>
      <c r="O37" s="38"/>
      <c r="P37" s="38"/>
    </row>
    <row r="38" spans="1:16">
      <c r="A38" t="s">
        <v>329</v>
      </c>
      <c r="C38" s="38"/>
      <c r="D38" s="38"/>
      <c r="E38" s="38"/>
      <c r="F38" s="38"/>
      <c r="G38" s="38"/>
      <c r="H38" s="38"/>
      <c r="I38" s="38"/>
      <c r="J38" s="38"/>
      <c r="K38" s="38"/>
      <c r="L38" s="38"/>
      <c r="M38" s="38"/>
      <c r="N38" s="38"/>
      <c r="O38" s="38"/>
      <c r="P38" s="38"/>
    </row>
    <row r="39" spans="1:16">
      <c r="A39" t="s">
        <v>330</v>
      </c>
      <c r="C39" s="38"/>
      <c r="D39" s="38"/>
      <c r="E39" s="38"/>
      <c r="F39" s="38"/>
      <c r="G39" s="38"/>
      <c r="H39" s="38"/>
      <c r="I39" s="38"/>
      <c r="J39" s="38"/>
      <c r="K39" s="38"/>
      <c r="L39" s="38"/>
      <c r="M39" s="38"/>
      <c r="N39" s="38"/>
      <c r="O39" s="38"/>
      <c r="P39" s="38"/>
    </row>
    <row r="40" spans="1:16">
      <c r="A40" t="s">
        <v>331</v>
      </c>
      <c r="C40" s="38"/>
      <c r="D40" s="38"/>
      <c r="E40" s="38"/>
      <c r="F40" s="38"/>
      <c r="G40" s="38"/>
      <c r="H40" s="38"/>
      <c r="I40" s="38"/>
      <c r="J40" s="38"/>
      <c r="K40" s="38"/>
      <c r="L40" s="38"/>
      <c r="M40" s="38"/>
      <c r="N40" s="38"/>
      <c r="O40" s="38"/>
      <c r="P40" s="38"/>
    </row>
    <row r="41" spans="1:16">
      <c r="C41" s="38"/>
      <c r="D41" s="38"/>
      <c r="E41" s="38"/>
      <c r="F41" s="38"/>
      <c r="G41" s="38"/>
      <c r="H41" s="38"/>
      <c r="I41" s="38"/>
      <c r="J41" s="38"/>
      <c r="K41" s="38"/>
      <c r="L41" s="38"/>
      <c r="M41" s="38"/>
      <c r="N41" s="38"/>
      <c r="O41" s="38"/>
      <c r="P41" s="38"/>
    </row>
  </sheetData>
  <mergeCells count="1">
    <mergeCell ref="C10:M1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E4173-9CAA-46C4-A469-3CFF865896CC}">
  <dimension ref="A1:L27"/>
  <sheetViews>
    <sheetView workbookViewId="0">
      <selection activeCell="E27" sqref="E27"/>
    </sheetView>
  </sheetViews>
  <sheetFormatPr defaultRowHeight="15"/>
  <cols>
    <col min="2" max="2" width="17.28515625" bestFit="1" customWidth="1"/>
    <col min="10" max="10" width="11.5703125" bestFit="1" customWidth="1"/>
  </cols>
  <sheetData>
    <row r="1" spans="1:12">
      <c r="B1" s="96" t="s">
        <v>332</v>
      </c>
      <c r="C1" s="183" t="s">
        <v>333</v>
      </c>
      <c r="D1" s="183"/>
      <c r="E1" s="183"/>
      <c r="F1" s="184"/>
      <c r="G1" s="38"/>
      <c r="K1" s="38"/>
      <c r="L1" s="38"/>
    </row>
    <row r="2" spans="1:12">
      <c r="B2" s="80"/>
      <c r="C2" s="38" t="s">
        <v>334</v>
      </c>
      <c r="D2" s="38" t="s">
        <v>335</v>
      </c>
      <c r="E2" s="38" t="s">
        <v>336</v>
      </c>
      <c r="F2" s="60" t="s">
        <v>337</v>
      </c>
      <c r="G2" s="38"/>
      <c r="K2" s="38"/>
      <c r="L2" s="38"/>
    </row>
    <row r="3" spans="1:12">
      <c r="B3" s="97" t="s">
        <v>338</v>
      </c>
      <c r="C3" s="98">
        <v>6.5</v>
      </c>
      <c r="D3" s="98">
        <v>6.5</v>
      </c>
      <c r="E3" s="98">
        <v>6.5</v>
      </c>
      <c r="F3" s="88">
        <v>5</v>
      </c>
      <c r="G3" s="38"/>
      <c r="K3" s="38"/>
      <c r="L3" s="38"/>
    </row>
    <row r="4" spans="1:12">
      <c r="A4" t="s">
        <v>339</v>
      </c>
      <c r="B4" s="97" t="s">
        <v>340</v>
      </c>
      <c r="C4" s="98">
        <v>6.75</v>
      </c>
      <c r="D4" s="98">
        <v>5.75</v>
      </c>
      <c r="E4" s="98">
        <v>6.25</v>
      </c>
      <c r="F4" s="88">
        <v>6.25</v>
      </c>
      <c r="G4" s="38"/>
      <c r="K4" s="38"/>
      <c r="L4" s="38"/>
    </row>
    <row r="5" spans="1:12">
      <c r="B5" s="99" t="s">
        <v>341</v>
      </c>
      <c r="C5" s="100">
        <v>7</v>
      </c>
      <c r="D5" s="100">
        <v>7.5</v>
      </c>
      <c r="E5" s="100">
        <v>7.5</v>
      </c>
      <c r="F5" s="101">
        <v>7.25</v>
      </c>
      <c r="G5" s="38"/>
      <c r="K5" s="38"/>
      <c r="L5" s="38"/>
    </row>
    <row r="6" spans="1:12">
      <c r="B6" s="38"/>
      <c r="C6" s="38"/>
      <c r="D6" s="38"/>
      <c r="E6" s="38"/>
      <c r="F6" s="38"/>
      <c r="G6" s="38"/>
      <c r="H6" s="38"/>
      <c r="I6" s="38"/>
      <c r="J6" s="38"/>
      <c r="K6" s="38"/>
      <c r="L6" s="38"/>
    </row>
    <row r="7" spans="1:12">
      <c r="B7" s="38"/>
      <c r="C7" s="38"/>
      <c r="D7" s="38"/>
      <c r="E7" s="38"/>
      <c r="F7" s="38"/>
      <c r="G7" s="38"/>
      <c r="H7" s="38"/>
      <c r="I7" s="38"/>
      <c r="J7" s="38" t="s">
        <v>342</v>
      </c>
      <c r="K7" s="38"/>
      <c r="L7" s="38"/>
    </row>
    <row r="8" spans="1:12">
      <c r="B8" s="102" t="s">
        <v>343</v>
      </c>
      <c r="C8" s="183" t="s">
        <v>333</v>
      </c>
      <c r="D8" s="183"/>
      <c r="E8" s="183"/>
      <c r="F8" s="184"/>
      <c r="G8" s="38" t="s">
        <v>225</v>
      </c>
      <c r="H8" s="38"/>
      <c r="I8" s="38" t="s">
        <v>344</v>
      </c>
      <c r="J8" s="38" t="s">
        <v>344</v>
      </c>
      <c r="K8" s="38"/>
      <c r="L8" s="38"/>
    </row>
    <row r="9" spans="1:12">
      <c r="B9" s="80"/>
      <c r="C9" s="38" t="s">
        <v>334</v>
      </c>
      <c r="D9" s="38" t="s">
        <v>335</v>
      </c>
      <c r="E9" s="38" t="s">
        <v>336</v>
      </c>
      <c r="F9" s="60" t="s">
        <v>337</v>
      </c>
      <c r="G9" s="38" t="s">
        <v>345</v>
      </c>
      <c r="H9" s="38"/>
      <c r="I9" s="38" t="s">
        <v>339</v>
      </c>
      <c r="J9" s="38" t="s">
        <v>339</v>
      </c>
      <c r="K9" s="38"/>
      <c r="L9" s="38" t="s">
        <v>346</v>
      </c>
    </row>
    <row r="10" spans="1:12">
      <c r="B10" s="97" t="s">
        <v>338</v>
      </c>
      <c r="C10" s="103">
        <v>50</v>
      </c>
      <c r="D10" s="103">
        <v>50</v>
      </c>
      <c r="E10" s="103">
        <v>50</v>
      </c>
      <c r="F10" s="104">
        <v>250</v>
      </c>
      <c r="G10" s="48">
        <f>SUM(C10:F10)</f>
        <v>400</v>
      </c>
      <c r="H10" s="38" t="s">
        <v>123</v>
      </c>
      <c r="I10" s="38">
        <f>RequiredSurveys*J10</f>
        <v>400</v>
      </c>
      <c r="J10" s="59">
        <v>0.2</v>
      </c>
      <c r="K10" s="38" t="s">
        <v>144</v>
      </c>
      <c r="L10" s="38">
        <v>650</v>
      </c>
    </row>
    <row r="11" spans="1:12">
      <c r="A11" t="s">
        <v>339</v>
      </c>
      <c r="B11" s="97" t="s">
        <v>340</v>
      </c>
      <c r="C11" s="103">
        <v>50</v>
      </c>
      <c r="D11" s="103">
        <v>600</v>
      </c>
      <c r="E11" s="103">
        <v>300</v>
      </c>
      <c r="F11" s="104">
        <v>50</v>
      </c>
      <c r="G11" s="48">
        <f t="shared" ref="G11:G12" si="0">SUM(C11:F11)</f>
        <v>1000</v>
      </c>
      <c r="H11" s="38" t="s">
        <v>123</v>
      </c>
      <c r="I11" s="38">
        <f>RequiredSurveys*J11</f>
        <v>1000</v>
      </c>
      <c r="J11" s="59">
        <v>0.5</v>
      </c>
      <c r="K11" s="38"/>
      <c r="L11" s="38"/>
    </row>
    <row r="12" spans="1:12">
      <c r="B12" s="99" t="s">
        <v>341</v>
      </c>
      <c r="C12" s="105">
        <v>400</v>
      </c>
      <c r="D12" s="105">
        <v>50</v>
      </c>
      <c r="E12" s="105">
        <v>50</v>
      </c>
      <c r="F12" s="106">
        <v>100</v>
      </c>
      <c r="G12" s="48">
        <f t="shared" si="0"/>
        <v>600</v>
      </c>
      <c r="H12" s="38" t="s">
        <v>123</v>
      </c>
      <c r="I12" s="38">
        <f>RequiredSurveys*J12</f>
        <v>600</v>
      </c>
      <c r="J12" s="59">
        <v>0.3</v>
      </c>
      <c r="K12" s="38"/>
      <c r="L12" s="38"/>
    </row>
    <row r="13" spans="1:12">
      <c r="B13" s="38" t="s">
        <v>347</v>
      </c>
      <c r="C13" s="48">
        <f>SUM(C10:C12)</f>
        <v>500</v>
      </c>
      <c r="D13" s="48">
        <f t="shared" ref="D13:F13" si="1">SUM(D10:D12)</f>
        <v>700</v>
      </c>
      <c r="E13" s="48">
        <f t="shared" si="1"/>
        <v>400</v>
      </c>
      <c r="F13" s="48">
        <f t="shared" si="1"/>
        <v>400</v>
      </c>
      <c r="K13" s="38"/>
      <c r="L13" s="38"/>
    </row>
    <row r="14" spans="1:12">
      <c r="B14" s="38"/>
      <c r="C14" s="38" t="s">
        <v>123</v>
      </c>
      <c r="D14" s="38" t="s">
        <v>123</v>
      </c>
      <c r="E14" s="38" t="s">
        <v>123</v>
      </c>
      <c r="F14" s="38" t="s">
        <v>123</v>
      </c>
      <c r="I14" t="s">
        <v>348</v>
      </c>
      <c r="J14" s="38">
        <f>SUM(NumberToSurvey)</f>
        <v>2000</v>
      </c>
      <c r="K14" s="38"/>
      <c r="L14" s="38"/>
    </row>
    <row r="15" spans="1:12">
      <c r="B15" s="39" t="s">
        <v>349</v>
      </c>
      <c r="C15" s="38">
        <f>RequiredSurveys*C16</f>
        <v>500</v>
      </c>
      <c r="D15" s="38">
        <f>RequiredSurveys*D16</f>
        <v>700</v>
      </c>
      <c r="E15" s="38">
        <f>RequiredSurveys*E16</f>
        <v>400</v>
      </c>
      <c r="F15" s="38">
        <f>RequiredSurveys*F16</f>
        <v>400</v>
      </c>
      <c r="J15" s="38" t="s">
        <v>270</v>
      </c>
      <c r="K15" s="38"/>
      <c r="L15" s="38"/>
    </row>
    <row r="16" spans="1:12">
      <c r="B16" s="39" t="s">
        <v>350</v>
      </c>
      <c r="C16" s="59">
        <v>0.25</v>
      </c>
      <c r="D16" s="107">
        <v>0.35</v>
      </c>
      <c r="E16" s="59">
        <v>0.2</v>
      </c>
      <c r="F16" s="59">
        <v>0.2</v>
      </c>
      <c r="I16" t="s">
        <v>351</v>
      </c>
      <c r="J16" s="41">
        <v>2000</v>
      </c>
      <c r="K16" s="38"/>
      <c r="L16" s="38"/>
    </row>
    <row r="17" spans="1:12">
      <c r="B17" s="38"/>
      <c r="C17" s="38" t="s">
        <v>352</v>
      </c>
      <c r="D17" s="38"/>
      <c r="E17" s="38"/>
      <c r="F17" s="38"/>
      <c r="K17" s="38"/>
      <c r="L17" s="38"/>
    </row>
    <row r="18" spans="1:12">
      <c r="B18" s="38" t="s">
        <v>353</v>
      </c>
      <c r="C18" s="38">
        <v>600</v>
      </c>
      <c r="D18" s="38"/>
      <c r="E18" s="38"/>
      <c r="F18" s="38"/>
      <c r="I18" t="s">
        <v>354</v>
      </c>
      <c r="J18" s="108">
        <f>SUMPRODUCT(CostOfSurvey,NumberToSurvey)</f>
        <v>12475</v>
      </c>
      <c r="K18" s="38"/>
      <c r="L18" s="38"/>
    </row>
    <row r="19" spans="1:12">
      <c r="B19" s="38"/>
      <c r="C19" s="76"/>
      <c r="D19" s="38"/>
      <c r="K19" s="38"/>
      <c r="L19" s="38"/>
    </row>
    <row r="20" spans="1:12">
      <c r="I20" s="38" t="s">
        <v>355</v>
      </c>
      <c r="J20" s="59">
        <v>0.15</v>
      </c>
      <c r="K20" s="38"/>
      <c r="L20" s="38"/>
    </row>
    <row r="21" spans="1:12">
      <c r="A21" t="s">
        <v>94</v>
      </c>
      <c r="I21" s="38" t="s">
        <v>356</v>
      </c>
      <c r="J21" s="109">
        <f>J18*(1+J20)</f>
        <v>14346.249999999998</v>
      </c>
      <c r="K21" s="38"/>
      <c r="L21" s="38"/>
    </row>
    <row r="22" spans="1:12">
      <c r="A22" t="s">
        <v>95</v>
      </c>
      <c r="K22" s="38"/>
      <c r="L22" s="38"/>
    </row>
    <row r="23" spans="1:12">
      <c r="A23" t="s">
        <v>96</v>
      </c>
      <c r="K23" s="38"/>
      <c r="L23" s="38"/>
    </row>
    <row r="24" spans="1:12">
      <c r="A24" t="s">
        <v>97</v>
      </c>
      <c r="K24" s="38"/>
      <c r="L24" s="38"/>
    </row>
    <row r="25" spans="1:12">
      <c r="A25" t="s">
        <v>98</v>
      </c>
      <c r="K25" s="38"/>
      <c r="L25" s="38"/>
    </row>
    <row r="26" spans="1:12">
      <c r="K26" s="38"/>
      <c r="L26" s="38"/>
    </row>
    <row r="27" spans="1:12">
      <c r="K27" s="38"/>
      <c r="L27" s="38"/>
    </row>
  </sheetData>
  <mergeCells count="2">
    <mergeCell ref="C1:F1"/>
    <mergeCell ref="C8:F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9E001-3622-44C2-901B-B7CA6FC14C67}">
  <dimension ref="A1:P24"/>
  <sheetViews>
    <sheetView workbookViewId="0">
      <selection activeCell="E27" sqref="E27"/>
    </sheetView>
  </sheetViews>
  <sheetFormatPr defaultRowHeight="15"/>
  <sheetData>
    <row r="1" spans="1:16">
      <c r="A1" s="38" t="s">
        <v>357</v>
      </c>
      <c r="B1" s="38" t="s">
        <v>358</v>
      </c>
      <c r="C1" s="38" t="s">
        <v>359</v>
      </c>
      <c r="D1" s="38"/>
    </row>
    <row r="2" spans="1:16">
      <c r="A2" s="38">
        <v>1</v>
      </c>
      <c r="B2" s="41">
        <v>2</v>
      </c>
      <c r="C2" s="41">
        <v>1</v>
      </c>
      <c r="D2" s="38"/>
    </row>
    <row r="3" spans="1:16">
      <c r="A3" s="38">
        <v>2</v>
      </c>
      <c r="B3" s="41">
        <v>3</v>
      </c>
      <c r="C3" s="41">
        <v>3</v>
      </c>
      <c r="D3" s="38"/>
    </row>
    <row r="4" spans="1:16">
      <c r="A4" s="38">
        <v>3</v>
      </c>
      <c r="B4" s="41">
        <v>2</v>
      </c>
      <c r="C4" s="41">
        <v>4</v>
      </c>
      <c r="D4" s="38"/>
    </row>
    <row r="5" spans="1:16">
      <c r="A5" s="38" t="s">
        <v>360</v>
      </c>
      <c r="B5" s="110">
        <v>20</v>
      </c>
      <c r="C5" s="110">
        <v>30</v>
      </c>
    </row>
    <row r="6" spans="1:16">
      <c r="A6" s="38" t="s">
        <v>361</v>
      </c>
      <c r="B6" s="38"/>
      <c r="C6" s="38"/>
    </row>
    <row r="7" spans="1:16">
      <c r="K7" s="38" t="s">
        <v>362</v>
      </c>
      <c r="L7" s="38" t="s">
        <v>363</v>
      </c>
      <c r="M7" s="38" t="s">
        <v>364</v>
      </c>
      <c r="N7" s="38" t="s">
        <v>365</v>
      </c>
      <c r="O7" s="38" t="s">
        <v>366</v>
      </c>
      <c r="P7" s="38" t="s">
        <v>367</v>
      </c>
    </row>
    <row r="8" spans="1:16">
      <c r="A8" t="s">
        <v>141</v>
      </c>
      <c r="B8" s="38" t="s">
        <v>358</v>
      </c>
      <c r="C8" s="38" t="s">
        <v>359</v>
      </c>
      <c r="D8" t="s">
        <v>368</v>
      </c>
      <c r="F8" s="38" t="s">
        <v>369</v>
      </c>
      <c r="K8" s="38">
        <v>0</v>
      </c>
      <c r="L8" s="38">
        <v>0</v>
      </c>
      <c r="M8" s="38">
        <f>K8*2+L8*1</f>
        <v>0</v>
      </c>
      <c r="N8" s="38">
        <f>K8*3+L8*3</f>
        <v>0</v>
      </c>
      <c r="O8" s="38">
        <f>K8*2+L8*4</f>
        <v>0</v>
      </c>
      <c r="P8" s="110">
        <f>K8*20+L8*30</f>
        <v>0</v>
      </c>
    </row>
    <row r="9" spans="1:16">
      <c r="B9" s="41">
        <f>B2*$B$14</f>
        <v>6</v>
      </c>
      <c r="C9" s="41">
        <f>C2*$C$14</f>
        <v>4</v>
      </c>
      <c r="D9" s="38">
        <f>SUM(B9:C9)</f>
        <v>10</v>
      </c>
      <c r="E9" s="38" t="s">
        <v>144</v>
      </c>
      <c r="F9" s="38">
        <v>10</v>
      </c>
      <c r="K9" s="38">
        <v>0</v>
      </c>
      <c r="L9" s="38">
        <v>1</v>
      </c>
      <c r="M9" s="38">
        <f t="shared" ref="M9:M14" si="0">K9*2+L9*1</f>
        <v>1</v>
      </c>
      <c r="N9" s="38">
        <f t="shared" ref="N9:N14" si="1">K9*3+L9*3</f>
        <v>3</v>
      </c>
      <c r="O9" s="38">
        <f t="shared" ref="O9:O14" si="2">K9*2+L9*4</f>
        <v>4</v>
      </c>
      <c r="P9" s="110">
        <f t="shared" ref="P9:P14" si="3">K9*20+L9*30</f>
        <v>30</v>
      </c>
    </row>
    <row r="10" spans="1:16">
      <c r="B10" s="41">
        <f t="shared" ref="B10:B11" si="4">B3*$B$14</f>
        <v>9</v>
      </c>
      <c r="C10" s="41">
        <f t="shared" ref="C10:C11" si="5">C3*$C$14</f>
        <v>12</v>
      </c>
      <c r="D10" s="38">
        <f t="shared" ref="D10:D11" si="6">SUM(B10:C10)</f>
        <v>21</v>
      </c>
      <c r="E10" s="38" t="s">
        <v>144</v>
      </c>
      <c r="F10" s="38">
        <v>20</v>
      </c>
      <c r="K10" s="38">
        <v>1</v>
      </c>
      <c r="L10" s="38">
        <v>1</v>
      </c>
      <c r="M10" s="38">
        <f t="shared" si="0"/>
        <v>3</v>
      </c>
      <c r="N10" s="38">
        <f t="shared" si="1"/>
        <v>6</v>
      </c>
      <c r="O10" s="38">
        <f t="shared" si="2"/>
        <v>6</v>
      </c>
      <c r="P10" s="110">
        <f t="shared" si="3"/>
        <v>50</v>
      </c>
    </row>
    <row r="11" spans="1:16">
      <c r="B11" s="41">
        <f t="shared" si="4"/>
        <v>6</v>
      </c>
      <c r="C11" s="41">
        <f t="shared" si="5"/>
        <v>16</v>
      </c>
      <c r="D11" s="38">
        <f t="shared" si="6"/>
        <v>22</v>
      </c>
      <c r="E11" s="38" t="s">
        <v>144</v>
      </c>
      <c r="F11" s="38">
        <v>20</v>
      </c>
      <c r="K11" s="38">
        <v>1</v>
      </c>
      <c r="L11" s="38">
        <v>2</v>
      </c>
      <c r="M11" s="38">
        <f t="shared" si="0"/>
        <v>4</v>
      </c>
      <c r="N11" s="38">
        <f t="shared" si="1"/>
        <v>9</v>
      </c>
      <c r="O11" s="38">
        <f t="shared" si="2"/>
        <v>10</v>
      </c>
      <c r="P11" s="110">
        <f t="shared" si="3"/>
        <v>80</v>
      </c>
    </row>
    <row r="12" spans="1:16">
      <c r="K12" s="38">
        <v>2</v>
      </c>
      <c r="L12" s="38">
        <v>2</v>
      </c>
      <c r="M12" s="38">
        <f t="shared" si="0"/>
        <v>6</v>
      </c>
      <c r="N12" s="38">
        <f t="shared" si="1"/>
        <v>12</v>
      </c>
      <c r="O12" s="38">
        <f t="shared" si="2"/>
        <v>12</v>
      </c>
      <c r="P12" s="110">
        <f t="shared" si="3"/>
        <v>100</v>
      </c>
    </row>
    <row r="13" spans="1:16">
      <c r="K13" s="38">
        <v>2</v>
      </c>
      <c r="L13" s="38">
        <v>3</v>
      </c>
      <c r="M13" s="38">
        <f t="shared" si="0"/>
        <v>7</v>
      </c>
      <c r="N13" s="38">
        <f t="shared" si="1"/>
        <v>15</v>
      </c>
      <c r="O13" s="38">
        <f t="shared" si="2"/>
        <v>16</v>
      </c>
      <c r="P13" s="110">
        <f t="shared" si="3"/>
        <v>130</v>
      </c>
    </row>
    <row r="14" spans="1:16">
      <c r="A14" t="s">
        <v>3</v>
      </c>
      <c r="B14" s="66">
        <v>3</v>
      </c>
      <c r="C14" s="66">
        <v>4</v>
      </c>
      <c r="D14" s="38" t="s">
        <v>6</v>
      </c>
      <c r="E14" s="35">
        <f>SUMPRODUCT(B5:C5,B14:C14)</f>
        <v>180</v>
      </c>
      <c r="K14" s="38">
        <v>2</v>
      </c>
      <c r="L14" s="38">
        <v>4</v>
      </c>
      <c r="M14" s="38">
        <f t="shared" si="0"/>
        <v>8</v>
      </c>
      <c r="N14" s="38">
        <f t="shared" si="1"/>
        <v>18</v>
      </c>
      <c r="O14" s="38">
        <f t="shared" si="2"/>
        <v>20</v>
      </c>
      <c r="P14" s="110">
        <f t="shared" si="3"/>
        <v>160</v>
      </c>
    </row>
    <row r="15" spans="1:16">
      <c r="K15" s="38"/>
      <c r="L15" s="38"/>
      <c r="M15" s="38"/>
      <c r="N15" s="38"/>
      <c r="O15" s="38"/>
      <c r="P15" s="110"/>
    </row>
    <row r="16" spans="1:16">
      <c r="K16" s="38"/>
      <c r="L16" s="38"/>
      <c r="M16" s="38"/>
      <c r="N16" s="38"/>
      <c r="O16" s="38"/>
      <c r="P16" s="110"/>
    </row>
    <row r="21" spans="1:1">
      <c r="A21" t="s">
        <v>75</v>
      </c>
    </row>
    <row r="22" spans="1:1">
      <c r="A22" t="s">
        <v>76</v>
      </c>
    </row>
    <row r="23" spans="1:1">
      <c r="A23" t="s">
        <v>77</v>
      </c>
    </row>
    <row r="24" spans="1:1">
      <c r="A24" t="s">
        <v>78</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6A66B-CD02-47AA-9D3E-7C43CA289CD5}">
  <dimension ref="A2:P23"/>
  <sheetViews>
    <sheetView workbookViewId="0">
      <selection activeCell="E27" sqref="E27"/>
    </sheetView>
  </sheetViews>
  <sheetFormatPr defaultRowHeight="15"/>
  <sheetData>
    <row r="2" spans="2:16">
      <c r="B2" s="38" t="s">
        <v>370</v>
      </c>
      <c r="C2" s="38" t="s">
        <v>358</v>
      </c>
      <c r="D2" s="38" t="s">
        <v>359</v>
      </c>
      <c r="E2" s="38"/>
    </row>
    <row r="3" spans="2:16">
      <c r="B3" s="38">
        <v>1</v>
      </c>
      <c r="C3" s="41">
        <v>5</v>
      </c>
      <c r="D3" s="41">
        <v>3</v>
      </c>
      <c r="E3" s="38"/>
      <c r="K3" t="s">
        <v>362</v>
      </c>
      <c r="L3" t="s">
        <v>363</v>
      </c>
      <c r="M3" t="s">
        <v>371</v>
      </c>
      <c r="N3" t="s">
        <v>372</v>
      </c>
      <c r="O3" t="s">
        <v>373</v>
      </c>
      <c r="P3" t="s">
        <v>374</v>
      </c>
    </row>
    <row r="4" spans="2:16">
      <c r="B4" s="38">
        <v>2</v>
      </c>
      <c r="C4" s="41">
        <v>2</v>
      </c>
      <c r="D4" s="41">
        <v>2</v>
      </c>
      <c r="E4" s="38"/>
      <c r="K4">
        <v>7</v>
      </c>
      <c r="L4">
        <v>7</v>
      </c>
      <c r="M4">
        <f>K4*5+L4*3</f>
        <v>56</v>
      </c>
      <c r="N4">
        <f>K4*2+L4*2</f>
        <v>28</v>
      </c>
      <c r="O4">
        <f>K4*7+L4*9</f>
        <v>112</v>
      </c>
      <c r="P4">
        <f>K4*60+L4*50</f>
        <v>770</v>
      </c>
    </row>
    <row r="5" spans="2:16">
      <c r="B5" s="38">
        <v>3</v>
      </c>
      <c r="C5" s="41">
        <v>7</v>
      </c>
      <c r="D5" s="41">
        <v>9</v>
      </c>
      <c r="E5" s="38"/>
      <c r="K5">
        <v>8</v>
      </c>
      <c r="L5">
        <v>9</v>
      </c>
      <c r="M5">
        <f t="shared" ref="M5:M9" si="0">K5*5+L5*3</f>
        <v>67</v>
      </c>
      <c r="N5">
        <f t="shared" ref="N5:N9" si="1">K5*2+L5*2</f>
        <v>34</v>
      </c>
      <c r="O5">
        <f t="shared" ref="O5:O9" si="2">K5*7+L5*9</f>
        <v>137</v>
      </c>
      <c r="P5">
        <f t="shared" ref="P5:P9" si="3">K5*60+L5*50</f>
        <v>930</v>
      </c>
    </row>
    <row r="6" spans="2:16">
      <c r="B6" s="38" t="s">
        <v>164</v>
      </c>
      <c r="C6" s="110">
        <v>60</v>
      </c>
      <c r="D6" s="110">
        <v>50</v>
      </c>
      <c r="K6">
        <v>9</v>
      </c>
      <c r="L6">
        <v>8</v>
      </c>
      <c r="M6">
        <f t="shared" si="0"/>
        <v>69</v>
      </c>
      <c r="N6">
        <f t="shared" si="1"/>
        <v>34</v>
      </c>
      <c r="O6">
        <f t="shared" si="2"/>
        <v>135</v>
      </c>
      <c r="P6">
        <f t="shared" si="3"/>
        <v>940</v>
      </c>
    </row>
    <row r="7" spans="2:16">
      <c r="B7" s="38"/>
      <c r="C7" s="38"/>
      <c r="D7" s="38"/>
      <c r="K7">
        <v>7</v>
      </c>
      <c r="L7">
        <v>8</v>
      </c>
      <c r="M7">
        <f t="shared" si="0"/>
        <v>59</v>
      </c>
      <c r="N7">
        <f t="shared" si="1"/>
        <v>30</v>
      </c>
      <c r="O7">
        <f t="shared" si="2"/>
        <v>121</v>
      </c>
      <c r="P7">
        <f t="shared" si="3"/>
        <v>820</v>
      </c>
    </row>
    <row r="8" spans="2:16">
      <c r="K8">
        <v>8</v>
      </c>
      <c r="L8">
        <v>8</v>
      </c>
      <c r="M8">
        <f t="shared" si="0"/>
        <v>64</v>
      </c>
      <c r="N8">
        <f t="shared" si="1"/>
        <v>32</v>
      </c>
      <c r="O8">
        <f t="shared" si="2"/>
        <v>128</v>
      </c>
      <c r="P8">
        <f t="shared" si="3"/>
        <v>880</v>
      </c>
    </row>
    <row r="9" spans="2:16">
      <c r="B9" t="s">
        <v>141</v>
      </c>
      <c r="C9" s="38" t="s">
        <v>358</v>
      </c>
      <c r="D9" s="38" t="s">
        <v>359</v>
      </c>
      <c r="E9" t="s">
        <v>368</v>
      </c>
      <c r="G9" s="38" t="s">
        <v>369</v>
      </c>
      <c r="K9">
        <v>6</v>
      </c>
      <c r="L9">
        <v>10</v>
      </c>
      <c r="M9">
        <f t="shared" si="0"/>
        <v>60</v>
      </c>
      <c r="N9">
        <f t="shared" si="1"/>
        <v>32</v>
      </c>
      <c r="O9">
        <f t="shared" si="2"/>
        <v>132</v>
      </c>
      <c r="P9">
        <f t="shared" si="3"/>
        <v>860</v>
      </c>
    </row>
    <row r="10" spans="2:16">
      <c r="C10" s="41">
        <f>C3*$C$15</f>
        <v>40</v>
      </c>
      <c r="D10" s="41">
        <f>D3*$D$15</f>
        <v>24</v>
      </c>
      <c r="E10" s="38">
        <f>SUM(C10:D10)</f>
        <v>64</v>
      </c>
      <c r="F10" s="38" t="s">
        <v>123</v>
      </c>
      <c r="G10" s="38">
        <v>60</v>
      </c>
      <c r="H10" t="b">
        <f>IF(E10&gt;=G10,TRUE,FALSE)</f>
        <v>1</v>
      </c>
    </row>
    <row r="11" spans="2:16">
      <c r="C11" s="41">
        <f t="shared" ref="C11:C12" si="4">C4*$C$15</f>
        <v>16</v>
      </c>
      <c r="D11" s="41">
        <f t="shared" ref="D11:D12" si="5">D4*$D$15</f>
        <v>16</v>
      </c>
      <c r="E11" s="38">
        <f t="shared" ref="E11:E12" si="6">SUM(C11:D11)</f>
        <v>32</v>
      </c>
      <c r="F11" s="38" t="s">
        <v>123</v>
      </c>
      <c r="G11" s="38">
        <v>30</v>
      </c>
      <c r="H11" t="b">
        <f t="shared" ref="H11:H12" si="7">IF(E11&gt;=G11,TRUE,FALSE)</f>
        <v>1</v>
      </c>
    </row>
    <row r="12" spans="2:16">
      <c r="C12" s="41">
        <f t="shared" si="4"/>
        <v>56</v>
      </c>
      <c r="D12" s="41">
        <f t="shared" si="5"/>
        <v>72</v>
      </c>
      <c r="E12" s="38">
        <f t="shared" si="6"/>
        <v>128</v>
      </c>
      <c r="F12" s="38" t="s">
        <v>123</v>
      </c>
      <c r="G12" s="38">
        <v>126</v>
      </c>
      <c r="H12" t="b">
        <f t="shared" si="7"/>
        <v>1</v>
      </c>
    </row>
    <row r="15" spans="2:16">
      <c r="B15" t="s">
        <v>3</v>
      </c>
      <c r="C15" s="66">
        <v>8</v>
      </c>
      <c r="D15" s="66">
        <v>8</v>
      </c>
      <c r="E15" s="38" t="s">
        <v>374</v>
      </c>
      <c r="F15" s="35">
        <f>SUMPRODUCT(C6:D6,C15:D15)</f>
        <v>880</v>
      </c>
    </row>
    <row r="20" spans="1:1">
      <c r="A20" t="s">
        <v>80</v>
      </c>
    </row>
    <row r="21" spans="1:1">
      <c r="A21" t="s">
        <v>81</v>
      </c>
    </row>
    <row r="22" spans="1:1">
      <c r="A22" t="s">
        <v>82</v>
      </c>
    </row>
    <row r="23" spans="1:1">
      <c r="A23" t="s">
        <v>78</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BD03E-8D8B-431E-83BA-43CD62AF2EDA}">
  <dimension ref="A2:H23"/>
  <sheetViews>
    <sheetView workbookViewId="0">
      <selection activeCell="E27" sqref="E27"/>
    </sheetView>
  </sheetViews>
  <sheetFormatPr defaultRowHeight="15"/>
  <cols>
    <col min="2" max="2" width="10.140625" bestFit="1" customWidth="1"/>
    <col min="3" max="5" width="11" bestFit="1" customWidth="1"/>
  </cols>
  <sheetData>
    <row r="2" spans="2:8">
      <c r="B2" s="38"/>
      <c r="C2" s="38" t="s">
        <v>375</v>
      </c>
      <c r="D2" s="38" t="s">
        <v>376</v>
      </c>
      <c r="E2" s="38" t="s">
        <v>377</v>
      </c>
      <c r="F2" s="38" t="s">
        <v>378</v>
      </c>
    </row>
    <row r="3" spans="2:8">
      <c r="B3" s="38" t="s">
        <v>379</v>
      </c>
      <c r="C3" s="40">
        <v>600</v>
      </c>
      <c r="D3" s="40">
        <v>800</v>
      </c>
      <c r="E3" s="40">
        <v>700</v>
      </c>
      <c r="F3" s="38">
        <v>400</v>
      </c>
    </row>
    <row r="4" spans="2:8">
      <c r="B4" s="38" t="s">
        <v>380</v>
      </c>
      <c r="C4" s="40">
        <v>400</v>
      </c>
      <c r="D4" s="40">
        <v>900</v>
      </c>
      <c r="E4" s="40">
        <v>600</v>
      </c>
      <c r="F4" s="38">
        <v>500</v>
      </c>
    </row>
    <row r="5" spans="2:8">
      <c r="B5" s="38" t="s">
        <v>381</v>
      </c>
      <c r="C5" s="38">
        <v>300</v>
      </c>
      <c r="D5" s="38">
        <v>200</v>
      </c>
      <c r="E5" s="38">
        <v>400</v>
      </c>
      <c r="F5" s="38"/>
    </row>
    <row r="7" spans="2:8">
      <c r="B7" s="38" t="s">
        <v>382</v>
      </c>
      <c r="C7" s="38" t="s">
        <v>375</v>
      </c>
      <c r="D7" s="38" t="s">
        <v>376</v>
      </c>
      <c r="E7" s="38" t="s">
        <v>377</v>
      </c>
      <c r="F7" s="38" t="s">
        <v>225</v>
      </c>
      <c r="G7" s="38"/>
      <c r="H7" s="38" t="s">
        <v>378</v>
      </c>
    </row>
    <row r="8" spans="2:8">
      <c r="B8" s="38" t="s">
        <v>379</v>
      </c>
      <c r="C8" s="66">
        <v>0</v>
      </c>
      <c r="D8" s="66">
        <v>200</v>
      </c>
      <c r="E8" s="66">
        <v>200</v>
      </c>
      <c r="F8" s="38">
        <f>SUM(C8:E8)</f>
        <v>400</v>
      </c>
      <c r="G8" s="76" t="s">
        <v>144</v>
      </c>
      <c r="H8" s="38">
        <v>400</v>
      </c>
    </row>
    <row r="9" spans="2:8">
      <c r="B9" s="38" t="s">
        <v>380</v>
      </c>
      <c r="C9" s="66">
        <v>300</v>
      </c>
      <c r="D9" s="66">
        <v>0</v>
      </c>
      <c r="E9" s="66">
        <v>200</v>
      </c>
      <c r="F9" s="38">
        <f>SUM(C9:E9)</f>
        <v>500</v>
      </c>
      <c r="G9" s="76" t="s">
        <v>144</v>
      </c>
      <c r="H9" s="38">
        <v>500</v>
      </c>
    </row>
    <row r="10" spans="2:8">
      <c r="B10" s="38"/>
      <c r="C10" s="76">
        <f>SUM(C8:C9)</f>
        <v>300</v>
      </c>
      <c r="D10" s="76">
        <f t="shared" ref="D10:E10" si="0">SUM(D8:D9)</f>
        <v>200</v>
      </c>
      <c r="E10" s="76">
        <f t="shared" si="0"/>
        <v>400</v>
      </c>
      <c r="F10" s="38"/>
      <c r="G10" s="38"/>
      <c r="H10" s="38"/>
    </row>
    <row r="11" spans="2:8">
      <c r="B11" s="38"/>
      <c r="C11" s="76" t="s">
        <v>270</v>
      </c>
      <c r="D11" s="76" t="s">
        <v>270</v>
      </c>
      <c r="E11" s="76" t="s">
        <v>270</v>
      </c>
      <c r="F11" s="38"/>
      <c r="G11" s="38"/>
      <c r="H11" s="38"/>
    </row>
    <row r="12" spans="2:8">
      <c r="B12" s="38" t="s">
        <v>381</v>
      </c>
      <c r="C12" s="38">
        <v>300</v>
      </c>
      <c r="D12" s="38">
        <v>200</v>
      </c>
      <c r="E12" s="38">
        <v>400</v>
      </c>
      <c r="F12" s="38"/>
      <c r="G12" s="38" t="s">
        <v>374</v>
      </c>
      <c r="H12" s="38"/>
    </row>
    <row r="13" spans="2:8">
      <c r="G13" s="61">
        <f>SUMPRODUCT(C3:E4,C8:E9)</f>
        <v>540000</v>
      </c>
    </row>
    <row r="20" spans="1:1">
      <c r="A20" t="s">
        <v>85</v>
      </c>
    </row>
    <row r="21" spans="1:1">
      <c r="A21" t="s">
        <v>86</v>
      </c>
    </row>
    <row r="22" spans="1:1">
      <c r="A22" t="s">
        <v>87</v>
      </c>
    </row>
    <row r="23" spans="1:1">
      <c r="A23" t="s">
        <v>88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51469-BB96-4AA5-A886-30A88C8EE46C}">
  <dimension ref="A1:L36"/>
  <sheetViews>
    <sheetView workbookViewId="0">
      <selection activeCell="E27" sqref="E27"/>
    </sheetView>
  </sheetViews>
  <sheetFormatPr defaultRowHeight="15"/>
  <cols>
    <col min="1" max="1" width="15.85546875" customWidth="1"/>
    <col min="7" max="7" width="20.7109375" bestFit="1" customWidth="1"/>
    <col min="8" max="8" width="30.7109375" bestFit="1" customWidth="1"/>
    <col min="9" max="9" width="21.7109375" bestFit="1" customWidth="1"/>
    <col min="10" max="10" width="21.5703125" bestFit="1" customWidth="1"/>
  </cols>
  <sheetData>
    <row r="1" spans="1:12">
      <c r="A1" s="119"/>
      <c r="B1" s="119" t="s">
        <v>507</v>
      </c>
      <c r="C1" s="119" t="s">
        <v>508</v>
      </c>
      <c r="D1" s="119" t="s">
        <v>509</v>
      </c>
      <c r="E1" s="119" t="s">
        <v>510</v>
      </c>
      <c r="F1" s="120"/>
      <c r="G1" s="119"/>
      <c r="H1" s="119"/>
      <c r="I1" s="119"/>
      <c r="J1" s="119"/>
      <c r="K1" s="119"/>
      <c r="L1" s="119"/>
    </row>
    <row r="2" spans="1:12">
      <c r="A2" s="119" t="s">
        <v>511</v>
      </c>
      <c r="B2" s="121">
        <v>980</v>
      </c>
      <c r="C2" s="121">
        <v>920</v>
      </c>
      <c r="D2" s="121">
        <v>750</v>
      </c>
      <c r="E2" s="121">
        <v>800</v>
      </c>
      <c r="F2" s="120"/>
      <c r="G2" s="119"/>
      <c r="H2" s="119" t="s">
        <v>512</v>
      </c>
      <c r="I2" s="122">
        <v>0.02</v>
      </c>
      <c r="J2" s="119"/>
      <c r="K2" s="119"/>
      <c r="L2" s="119"/>
    </row>
    <row r="3" spans="1:12">
      <c r="A3" s="119" t="s">
        <v>513</v>
      </c>
      <c r="B3" s="121">
        <v>1000</v>
      </c>
      <c r="C3" s="121">
        <v>1000</v>
      </c>
      <c r="D3" s="121">
        <v>1000</v>
      </c>
      <c r="E3" s="121">
        <v>1000</v>
      </c>
      <c r="F3" s="120"/>
      <c r="G3" s="119"/>
      <c r="H3" s="119" t="s">
        <v>514</v>
      </c>
      <c r="I3" s="127">
        <v>9540492</v>
      </c>
      <c r="J3" s="119"/>
      <c r="K3" s="119"/>
      <c r="L3" s="119"/>
    </row>
    <row r="4" spans="1:12">
      <c r="A4" s="119" t="s">
        <v>515</v>
      </c>
      <c r="B4" s="123">
        <v>0.04</v>
      </c>
      <c r="C4" s="123">
        <v>0.02</v>
      </c>
      <c r="D4" s="123">
        <v>0</v>
      </c>
      <c r="E4" s="123">
        <v>0.03</v>
      </c>
      <c r="F4" s="120"/>
      <c r="G4" s="119"/>
      <c r="H4" s="119" t="s">
        <v>516</v>
      </c>
      <c r="I4" s="121">
        <v>0</v>
      </c>
      <c r="J4" s="119"/>
      <c r="K4" s="119"/>
      <c r="L4" s="119"/>
    </row>
    <row r="5" spans="1:12">
      <c r="A5" s="119"/>
      <c r="B5" s="119"/>
      <c r="C5" s="119"/>
      <c r="D5" s="119"/>
      <c r="E5" s="119"/>
      <c r="F5" s="120"/>
      <c r="G5" s="119"/>
      <c r="H5" s="119"/>
      <c r="I5" s="119"/>
      <c r="J5" s="119"/>
      <c r="K5" s="119"/>
      <c r="L5" s="119"/>
    </row>
    <row r="6" spans="1:12">
      <c r="A6" s="119"/>
      <c r="B6" s="185" t="s">
        <v>517</v>
      </c>
      <c r="C6" s="185"/>
      <c r="D6" s="185"/>
      <c r="E6" s="185"/>
      <c r="F6" s="120"/>
      <c r="G6" s="119"/>
      <c r="H6" s="119"/>
      <c r="I6" s="119"/>
      <c r="J6" s="119"/>
      <c r="K6" s="119"/>
      <c r="L6" s="119"/>
    </row>
    <row r="7" spans="1:12">
      <c r="A7" s="119"/>
      <c r="B7" s="119" t="s">
        <v>507</v>
      </c>
      <c r="C7" s="119" t="s">
        <v>508</v>
      </c>
      <c r="D7" s="119" t="s">
        <v>509</v>
      </c>
      <c r="E7" s="119" t="s">
        <v>510</v>
      </c>
      <c r="F7" s="120" t="s">
        <v>518</v>
      </c>
      <c r="G7" s="119" t="s">
        <v>519</v>
      </c>
      <c r="H7" s="119" t="s">
        <v>520</v>
      </c>
      <c r="I7" s="119" t="s">
        <v>521</v>
      </c>
      <c r="J7" s="119" t="s">
        <v>522</v>
      </c>
      <c r="K7" s="119"/>
      <c r="L7" s="119"/>
    </row>
    <row r="8" spans="1:12">
      <c r="A8" s="119">
        <v>2018</v>
      </c>
      <c r="B8" s="119">
        <v>-980</v>
      </c>
      <c r="C8" s="119">
        <v>-920</v>
      </c>
      <c r="D8" s="119">
        <v>-750</v>
      </c>
      <c r="E8" s="119">
        <v>-800</v>
      </c>
      <c r="F8" s="120">
        <v>-117810474</v>
      </c>
      <c r="G8" s="126">
        <v>127350966</v>
      </c>
      <c r="H8" s="124">
        <v>-8000000</v>
      </c>
      <c r="I8" s="119"/>
      <c r="J8" s="125">
        <v>1540492</v>
      </c>
      <c r="K8" s="120" t="s">
        <v>123</v>
      </c>
      <c r="L8" s="120">
        <v>0</v>
      </c>
    </row>
    <row r="9" spans="1:12">
      <c r="A9" s="119">
        <v>2019</v>
      </c>
      <c r="B9" s="119">
        <v>1040</v>
      </c>
      <c r="C9" s="119">
        <v>20</v>
      </c>
      <c r="D9" s="119">
        <v>0</v>
      </c>
      <c r="E9" s="119">
        <v>30</v>
      </c>
      <c r="F9" s="120">
        <v>21353513.120000001</v>
      </c>
      <c r="G9" s="119"/>
      <c r="H9" s="124">
        <v>-12000000</v>
      </c>
      <c r="I9" s="125">
        <v>30810</v>
      </c>
      <c r="J9" s="125">
        <v>10924815</v>
      </c>
      <c r="K9" s="120" t="s">
        <v>123</v>
      </c>
      <c r="L9" s="120">
        <v>0</v>
      </c>
    </row>
    <row r="10" spans="1:12">
      <c r="A10" s="119">
        <v>2020</v>
      </c>
      <c r="B10" s="119"/>
      <c r="C10" s="119">
        <v>20</v>
      </c>
      <c r="D10" s="119">
        <v>0</v>
      </c>
      <c r="E10" s="119">
        <v>30</v>
      </c>
      <c r="F10" s="120">
        <v>1856689.193</v>
      </c>
      <c r="G10" s="119"/>
      <c r="H10" s="124">
        <v>-13000000</v>
      </c>
      <c r="I10" s="125">
        <v>218496</v>
      </c>
      <c r="J10" s="125">
        <v>0</v>
      </c>
      <c r="K10" s="120" t="s">
        <v>123</v>
      </c>
      <c r="L10" s="120">
        <v>0</v>
      </c>
    </row>
    <row r="11" spans="1:12">
      <c r="A11" s="119">
        <v>2021</v>
      </c>
      <c r="B11" s="119"/>
      <c r="C11" s="119">
        <v>1020</v>
      </c>
      <c r="D11" s="119">
        <v>0</v>
      </c>
      <c r="E11" s="119">
        <v>30</v>
      </c>
      <c r="F11" s="120">
        <v>28386176.960000001</v>
      </c>
      <c r="G11" s="119"/>
      <c r="H11" s="124">
        <v>-14000000</v>
      </c>
      <c r="I11" s="125">
        <v>0</v>
      </c>
      <c r="J11" s="125">
        <v>14386177</v>
      </c>
      <c r="K11" s="120" t="s">
        <v>123</v>
      </c>
      <c r="L11" s="120">
        <v>0</v>
      </c>
    </row>
    <row r="12" spans="1:12">
      <c r="A12" s="119">
        <v>2022</v>
      </c>
      <c r="B12" s="119"/>
      <c r="C12" s="119"/>
      <c r="D12" s="119">
        <v>0</v>
      </c>
      <c r="E12" s="119">
        <v>30</v>
      </c>
      <c r="F12" s="120">
        <v>1326099.4369999999</v>
      </c>
      <c r="G12" s="119"/>
      <c r="H12" s="124">
        <v>-16000000</v>
      </c>
      <c r="I12" s="125">
        <v>287724</v>
      </c>
      <c r="J12" s="125">
        <v>0</v>
      </c>
      <c r="K12" s="120" t="s">
        <v>123</v>
      </c>
      <c r="L12" s="120">
        <v>0</v>
      </c>
    </row>
    <row r="13" spans="1:12">
      <c r="A13" s="119">
        <v>2023</v>
      </c>
      <c r="B13" s="119"/>
      <c r="C13" s="119"/>
      <c r="D13" s="119">
        <v>1000</v>
      </c>
      <c r="E13" s="119">
        <v>30</v>
      </c>
      <c r="F13" s="120">
        <v>54217681.369999997</v>
      </c>
      <c r="G13" s="119"/>
      <c r="H13" s="124">
        <v>-17000000</v>
      </c>
      <c r="I13" s="125">
        <v>0</v>
      </c>
      <c r="J13" s="125">
        <v>37217681</v>
      </c>
      <c r="K13" s="120" t="s">
        <v>123</v>
      </c>
      <c r="L13" s="120">
        <v>0</v>
      </c>
    </row>
    <row r="14" spans="1:12">
      <c r="A14" s="119">
        <v>2024</v>
      </c>
      <c r="B14" s="119"/>
      <c r="C14" s="119"/>
      <c r="D14" s="119"/>
      <c r="E14" s="119">
        <v>30</v>
      </c>
      <c r="F14" s="120">
        <v>1326099.4369999999</v>
      </c>
      <c r="G14" s="119"/>
      <c r="H14" s="124">
        <v>-20000000</v>
      </c>
      <c r="I14" s="125">
        <v>744354</v>
      </c>
      <c r="J14" s="125">
        <v>19288134</v>
      </c>
      <c r="K14" s="120" t="s">
        <v>123</v>
      </c>
      <c r="L14" s="120">
        <v>0</v>
      </c>
    </row>
    <row r="15" spans="1:12">
      <c r="A15" s="119">
        <v>2025</v>
      </c>
      <c r="B15" s="119"/>
      <c r="C15" s="119"/>
      <c r="D15" s="119"/>
      <c r="E15" s="119">
        <v>30</v>
      </c>
      <c r="F15" s="120">
        <v>1326099.4369999999</v>
      </c>
      <c r="G15" s="119"/>
      <c r="H15" s="124">
        <v>-21000000</v>
      </c>
      <c r="I15" s="125">
        <v>385763</v>
      </c>
      <c r="J15" s="125">
        <v>-3</v>
      </c>
      <c r="K15" s="120" t="s">
        <v>123</v>
      </c>
      <c r="L15" s="120">
        <v>0</v>
      </c>
    </row>
    <row r="16" spans="1:12">
      <c r="A16" s="119">
        <v>2026</v>
      </c>
      <c r="B16" s="119"/>
      <c r="C16" s="119"/>
      <c r="D16" s="119"/>
      <c r="E16" s="119">
        <v>1030</v>
      </c>
      <c r="F16" s="120">
        <v>45529414.009999998</v>
      </c>
      <c r="G16" s="119"/>
      <c r="H16" s="124">
        <v>-22000000</v>
      </c>
      <c r="I16" s="125">
        <v>0</v>
      </c>
      <c r="J16" s="125">
        <v>23529411</v>
      </c>
      <c r="K16" s="120" t="s">
        <v>123</v>
      </c>
      <c r="L16" s="120">
        <v>0</v>
      </c>
    </row>
    <row r="17" spans="1:12">
      <c r="A17" s="119">
        <v>2027</v>
      </c>
      <c r="B17" s="119"/>
      <c r="C17" s="119"/>
      <c r="D17" s="119"/>
      <c r="E17" s="119"/>
      <c r="F17" s="120">
        <v>0</v>
      </c>
      <c r="G17" s="119"/>
      <c r="H17" s="124">
        <v>-24000000</v>
      </c>
      <c r="I17" s="125">
        <v>470588</v>
      </c>
      <c r="J17" s="125">
        <v>-1</v>
      </c>
      <c r="K17" s="120" t="s">
        <v>123</v>
      </c>
      <c r="L17" s="120">
        <v>0</v>
      </c>
    </row>
    <row r="18" spans="1:12">
      <c r="A18" s="119"/>
      <c r="B18" s="119"/>
      <c r="C18" s="119"/>
      <c r="D18" s="119"/>
      <c r="E18" s="119"/>
      <c r="F18" s="120"/>
      <c r="G18" s="119"/>
      <c r="H18" s="119"/>
      <c r="I18" s="119"/>
      <c r="J18" s="119"/>
      <c r="K18" s="119"/>
      <c r="L18" s="119"/>
    </row>
    <row r="19" spans="1:12">
      <c r="A19" s="119" t="s">
        <v>523</v>
      </c>
      <c r="B19" s="128">
        <v>18746.946080000002</v>
      </c>
      <c r="C19" s="128">
        <v>26529.48777</v>
      </c>
      <c r="D19" s="128">
        <v>52891.58193</v>
      </c>
      <c r="E19" s="128">
        <v>44203.314570000002</v>
      </c>
      <c r="F19" s="120"/>
      <c r="G19" s="119"/>
      <c r="H19" s="119"/>
      <c r="I19" s="119"/>
      <c r="J19" s="119"/>
      <c r="K19" s="119"/>
      <c r="L19" s="119"/>
    </row>
    <row r="20" spans="1:12">
      <c r="A20" s="119"/>
      <c r="B20" s="119"/>
      <c r="C20" s="119"/>
      <c r="D20" s="119"/>
      <c r="E20" s="119"/>
      <c r="F20" s="120"/>
      <c r="G20" s="119"/>
      <c r="H20" s="119"/>
      <c r="I20" s="119"/>
      <c r="J20" s="119"/>
      <c r="K20" s="119"/>
      <c r="L20" s="119"/>
    </row>
    <row r="21" spans="1:12">
      <c r="A21" s="119"/>
      <c r="B21" s="119"/>
      <c r="C21" s="119"/>
      <c r="D21" s="119"/>
      <c r="E21" s="119"/>
      <c r="F21" s="120"/>
      <c r="G21" s="119"/>
      <c r="H21" s="119"/>
      <c r="I21" s="119"/>
      <c r="J21" s="119"/>
      <c r="K21" s="119"/>
      <c r="L21" s="119"/>
    </row>
    <row r="22" spans="1:12">
      <c r="A22" s="119"/>
      <c r="B22" s="119"/>
      <c r="C22" s="119"/>
      <c r="D22" s="119"/>
      <c r="E22" s="119"/>
      <c r="F22" s="120"/>
      <c r="G22" s="119"/>
      <c r="H22" s="119"/>
      <c r="I22" s="119"/>
      <c r="J22" s="119"/>
      <c r="K22" s="119"/>
      <c r="L22" s="119"/>
    </row>
    <row r="23" spans="1:12">
      <c r="A23" s="119"/>
      <c r="B23" s="119"/>
      <c r="C23" s="119"/>
      <c r="D23" s="119"/>
      <c r="E23" s="119"/>
      <c r="F23" s="120"/>
      <c r="G23" s="119"/>
      <c r="H23" s="119"/>
      <c r="I23" s="119"/>
      <c r="J23" s="119"/>
      <c r="K23" s="119"/>
      <c r="L23" s="119"/>
    </row>
    <row r="24" spans="1:12">
      <c r="A24" s="119"/>
      <c r="B24" s="119"/>
      <c r="C24" s="119"/>
      <c r="D24" s="119"/>
      <c r="E24" s="119"/>
      <c r="F24" s="120"/>
      <c r="G24" s="119"/>
      <c r="H24" s="119"/>
      <c r="I24" s="119"/>
      <c r="J24" s="119"/>
      <c r="K24" s="119"/>
      <c r="L24" s="119"/>
    </row>
    <row r="25" spans="1:12">
      <c r="A25" s="119"/>
      <c r="B25" s="119"/>
      <c r="C25" s="119"/>
      <c r="D25" s="119"/>
      <c r="E25" s="119"/>
      <c r="F25" s="120"/>
      <c r="G25" s="119"/>
      <c r="H25" s="119"/>
      <c r="I25" s="119"/>
      <c r="J25" s="119"/>
      <c r="K25" s="119"/>
      <c r="L25" s="119"/>
    </row>
    <row r="26" spans="1:12">
      <c r="A26" s="119"/>
      <c r="B26" s="119"/>
      <c r="C26" s="119"/>
      <c r="D26" s="119"/>
      <c r="E26" s="119"/>
      <c r="F26" s="120"/>
      <c r="G26" s="119"/>
      <c r="H26" s="119"/>
      <c r="I26" s="119"/>
      <c r="J26" s="119"/>
      <c r="K26" s="119"/>
      <c r="L26" s="119"/>
    </row>
    <row r="27" spans="1:12">
      <c r="A27" s="119"/>
      <c r="B27" s="119"/>
      <c r="C27" s="119"/>
      <c r="D27" s="119"/>
      <c r="E27" s="119"/>
      <c r="F27" s="120"/>
      <c r="G27" s="119"/>
      <c r="H27" s="119"/>
      <c r="I27" s="119"/>
      <c r="J27" s="119"/>
      <c r="K27" s="119"/>
      <c r="L27" s="119"/>
    </row>
    <row r="28" spans="1:12">
      <c r="A28" s="119"/>
      <c r="B28" s="119"/>
      <c r="C28" s="119"/>
      <c r="D28" s="119"/>
      <c r="E28" s="119"/>
      <c r="F28" s="120"/>
      <c r="G28" s="119"/>
      <c r="H28" s="119"/>
      <c r="I28" s="119"/>
      <c r="J28" s="119"/>
      <c r="K28" s="119"/>
      <c r="L28" s="119"/>
    </row>
    <row r="29" spans="1:12">
      <c r="A29" s="119"/>
      <c r="B29" s="119"/>
      <c r="C29" s="119"/>
      <c r="D29" s="119"/>
      <c r="E29" s="119"/>
      <c r="F29" s="120"/>
      <c r="G29" s="119"/>
      <c r="H29" s="119"/>
      <c r="I29" s="119"/>
      <c r="J29" s="119"/>
      <c r="K29" s="119"/>
      <c r="L29" s="119"/>
    </row>
    <row r="30" spans="1:12">
      <c r="A30" s="119"/>
      <c r="B30" s="119"/>
      <c r="C30" s="119"/>
      <c r="D30" s="119"/>
      <c r="E30" s="119"/>
      <c r="F30" s="120"/>
      <c r="G30" s="119"/>
      <c r="H30" s="119"/>
      <c r="I30" s="119"/>
      <c r="J30" s="119"/>
      <c r="K30" s="119"/>
      <c r="L30" s="119"/>
    </row>
    <row r="31" spans="1:12">
      <c r="A31" s="119"/>
      <c r="B31" s="119"/>
      <c r="C31" s="119"/>
      <c r="D31" s="119"/>
      <c r="E31" s="119"/>
      <c r="F31" s="120"/>
      <c r="G31" s="119"/>
      <c r="H31" s="119"/>
      <c r="I31" s="119"/>
      <c r="J31" s="119"/>
      <c r="K31" s="119"/>
      <c r="L31" s="119"/>
    </row>
    <row r="32" spans="1:12">
      <c r="A32" s="119"/>
      <c r="B32" s="119"/>
      <c r="C32" s="119"/>
      <c r="D32" s="119"/>
      <c r="E32" s="119"/>
      <c r="F32" s="120"/>
      <c r="G32" s="119"/>
      <c r="H32" s="119"/>
      <c r="I32" s="119"/>
      <c r="J32" s="119"/>
      <c r="K32" s="119"/>
      <c r="L32" s="119"/>
    </row>
    <row r="33" spans="1:12">
      <c r="A33" s="119"/>
      <c r="B33" s="119"/>
      <c r="C33" s="119"/>
      <c r="D33" s="119"/>
      <c r="E33" s="119"/>
      <c r="F33" s="120"/>
      <c r="G33" s="119"/>
      <c r="H33" s="119"/>
      <c r="I33" s="119"/>
      <c r="J33" s="119"/>
      <c r="K33" s="119"/>
      <c r="L33" s="119"/>
    </row>
    <row r="34" spans="1:12">
      <c r="A34" s="119"/>
      <c r="B34" s="119"/>
      <c r="C34" s="119"/>
      <c r="D34" s="119"/>
      <c r="E34" s="119"/>
      <c r="F34" s="120"/>
      <c r="G34" s="119"/>
      <c r="H34" s="119"/>
      <c r="I34" s="119"/>
      <c r="J34" s="119"/>
      <c r="K34" s="119"/>
      <c r="L34" s="119"/>
    </row>
    <row r="35" spans="1:12">
      <c r="A35" s="119"/>
      <c r="B35" s="119"/>
      <c r="C35" s="119"/>
      <c r="D35" s="119"/>
      <c r="E35" s="119"/>
      <c r="F35" s="120"/>
      <c r="G35" s="119"/>
      <c r="H35" s="119"/>
      <c r="I35" s="119"/>
      <c r="J35" s="119"/>
      <c r="K35" s="119"/>
      <c r="L35" s="119"/>
    </row>
    <row r="36" spans="1:12">
      <c r="A36" s="119"/>
      <c r="B36" s="119"/>
      <c r="C36" s="119"/>
      <c r="D36" s="119"/>
      <c r="E36" s="119"/>
      <c r="F36" s="120"/>
      <c r="G36" s="119"/>
      <c r="H36" s="119"/>
      <c r="I36" s="119"/>
      <c r="J36" s="119"/>
      <c r="K36" s="119"/>
      <c r="L36" s="119"/>
    </row>
  </sheetData>
  <mergeCells count="1">
    <mergeCell ref="B6:E6"/>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1A811-FA69-43E2-A98C-2E656D5D2D05}">
  <dimension ref="A1:A58"/>
  <sheetViews>
    <sheetView topLeftCell="A20" workbookViewId="0">
      <selection activeCell="N25" sqref="N25"/>
    </sheetView>
  </sheetViews>
  <sheetFormatPr defaultRowHeight="15"/>
  <sheetData>
    <row r="1" spans="1:1">
      <c r="A1" s="117">
        <v>5.17</v>
      </c>
    </row>
    <row r="2" spans="1:1">
      <c r="A2" t="s">
        <v>540</v>
      </c>
    </row>
    <row r="3" spans="1:1">
      <c r="A3" t="s">
        <v>541</v>
      </c>
    </row>
    <row r="4" spans="1:1">
      <c r="A4" t="s">
        <v>542</v>
      </c>
    </row>
    <row r="6" spans="1:1">
      <c r="A6" s="117">
        <v>5.18</v>
      </c>
    </row>
    <row r="7" spans="1:1">
      <c r="A7" t="s">
        <v>543</v>
      </c>
    </row>
    <row r="10" spans="1:1">
      <c r="A10" s="12" t="s">
        <v>569</v>
      </c>
    </row>
    <row r="11" spans="1:1">
      <c r="A11" t="s">
        <v>561</v>
      </c>
    </row>
    <row r="12" spans="1:1">
      <c r="A12" t="s">
        <v>568</v>
      </c>
    </row>
    <row r="15" spans="1:1">
      <c r="A15" s="12" t="s">
        <v>570</v>
      </c>
    </row>
    <row r="16" spans="1:1">
      <c r="A16" s="14" t="s">
        <v>571</v>
      </c>
    </row>
    <row r="17" spans="1:1">
      <c r="A17" s="14" t="s">
        <v>572</v>
      </c>
    </row>
    <row r="18" spans="1:1">
      <c r="A18" s="14" t="s">
        <v>573</v>
      </c>
    </row>
    <row r="19" spans="1:1">
      <c r="A19" s="14" t="s">
        <v>574</v>
      </c>
    </row>
    <row r="20" spans="1:1">
      <c r="A20" s="14" t="s">
        <v>575</v>
      </c>
    </row>
    <row r="23" spans="1:1">
      <c r="A23" s="117" t="s">
        <v>618</v>
      </c>
    </row>
    <row r="24" spans="1:1">
      <c r="A24" t="s">
        <v>617</v>
      </c>
    </row>
    <row r="26" spans="1:1">
      <c r="A26" s="12" t="s">
        <v>623</v>
      </c>
    </row>
    <row r="27" spans="1:1">
      <c r="A27" t="s">
        <v>622</v>
      </c>
    </row>
    <row r="29" spans="1:1">
      <c r="A29" s="12" t="s">
        <v>682</v>
      </c>
    </row>
    <row r="30" spans="1:1">
      <c r="A30" t="s">
        <v>681</v>
      </c>
    </row>
    <row r="33" spans="1:1">
      <c r="A33" s="12" t="s">
        <v>690</v>
      </c>
    </row>
    <row r="34" spans="1:1">
      <c r="A34" t="s">
        <v>689</v>
      </c>
    </row>
    <row r="36" spans="1:1">
      <c r="A36" s="12" t="s">
        <v>701</v>
      </c>
    </row>
    <row r="37" spans="1:1">
      <c r="A37" t="s">
        <v>705</v>
      </c>
    </row>
    <row r="38" spans="1:1">
      <c r="A38" t="s">
        <v>704</v>
      </c>
    </row>
    <row r="39" spans="1:1">
      <c r="A39" t="s">
        <v>700</v>
      </c>
    </row>
    <row r="41" spans="1:1">
      <c r="A41" s="12" t="s">
        <v>714</v>
      </c>
    </row>
    <row r="42" spans="1:1">
      <c r="A42" t="s">
        <v>712</v>
      </c>
    </row>
    <row r="43" spans="1:1">
      <c r="A43" t="s">
        <v>713</v>
      </c>
    </row>
    <row r="45" spans="1:1">
      <c r="A45" s="12" t="s">
        <v>728</v>
      </c>
    </row>
    <row r="46" spans="1:1">
      <c r="A46" s="14" t="s">
        <v>723</v>
      </c>
    </row>
    <row r="47" spans="1:1">
      <c r="A47" s="14" t="s">
        <v>724</v>
      </c>
    </row>
    <row r="48" spans="1:1">
      <c r="A48" s="14" t="s">
        <v>725</v>
      </c>
    </row>
    <row r="49" spans="1:1">
      <c r="A49" s="14" t="s">
        <v>726</v>
      </c>
    </row>
    <row r="51" spans="1:1">
      <c r="A51" s="117" t="s">
        <v>731</v>
      </c>
    </row>
    <row r="52" spans="1:1">
      <c r="A52" t="s">
        <v>729</v>
      </c>
    </row>
    <row r="53" spans="1:1">
      <c r="A53" t="s">
        <v>730</v>
      </c>
    </row>
    <row r="54" spans="1:1">
      <c r="A54" t="s">
        <v>732</v>
      </c>
    </row>
    <row r="56" spans="1:1">
      <c r="A56" s="12" t="s">
        <v>741</v>
      </c>
    </row>
    <row r="57" spans="1:1">
      <c r="A57" s="14" t="s">
        <v>735</v>
      </c>
    </row>
    <row r="58" spans="1:1">
      <c r="A58" s="14" t="s">
        <v>737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8A43C-630B-4009-81FC-F5BDE81B3DB3}">
  <dimension ref="A1:K22"/>
  <sheetViews>
    <sheetView workbookViewId="0">
      <selection activeCell="E27" sqref="E27"/>
    </sheetView>
  </sheetViews>
  <sheetFormatPr defaultRowHeight="15"/>
  <sheetData>
    <row r="1" spans="1:11" ht="18">
      <c r="A1" s="15" t="s">
        <v>103</v>
      </c>
      <c r="B1" s="16"/>
      <c r="C1" s="17"/>
      <c r="D1" s="17"/>
      <c r="E1" s="17"/>
      <c r="F1" s="17"/>
      <c r="G1" s="17"/>
      <c r="H1" s="17"/>
      <c r="I1" s="17"/>
      <c r="J1" s="17"/>
      <c r="K1" s="17"/>
    </row>
    <row r="2" spans="1:11" ht="15.75" thickBot="1">
      <c r="A2" s="17"/>
      <c r="B2" s="16"/>
      <c r="C2" s="17"/>
      <c r="D2" s="17"/>
      <c r="E2" s="17"/>
      <c r="F2" s="17"/>
      <c r="G2" s="17"/>
      <c r="H2" s="17"/>
      <c r="I2" s="17"/>
      <c r="J2" s="17"/>
      <c r="K2" s="17"/>
    </row>
    <row r="3" spans="1:11" ht="15.75" thickBot="1">
      <c r="A3" s="17"/>
      <c r="B3" s="16"/>
      <c r="C3" s="17" t="s">
        <v>104</v>
      </c>
      <c r="D3" s="17" t="s">
        <v>105</v>
      </c>
      <c r="E3" s="17"/>
      <c r="F3" s="17"/>
      <c r="G3" s="17"/>
      <c r="H3" s="17"/>
      <c r="I3" s="18" t="s">
        <v>106</v>
      </c>
      <c r="J3" s="19" t="s">
        <v>107</v>
      </c>
      <c r="K3" s="17"/>
    </row>
    <row r="4" spans="1:11">
      <c r="A4" s="17"/>
      <c r="B4" s="16" t="s">
        <v>108</v>
      </c>
      <c r="C4" s="20">
        <v>1</v>
      </c>
      <c r="D4" s="20">
        <v>2</v>
      </c>
      <c r="E4" s="17"/>
      <c r="F4" s="17"/>
      <c r="G4" s="17"/>
      <c r="H4" s="17"/>
      <c r="I4" s="21" t="s">
        <v>109</v>
      </c>
      <c r="J4" s="22" t="s">
        <v>110</v>
      </c>
      <c r="K4" s="17"/>
    </row>
    <row r="5" spans="1:11">
      <c r="A5" s="17"/>
      <c r="B5" s="16"/>
      <c r="C5" s="17"/>
      <c r="D5" s="17"/>
      <c r="E5" s="17"/>
      <c r="F5" s="17"/>
      <c r="G5" s="17"/>
      <c r="H5" s="17"/>
      <c r="I5" s="23" t="s">
        <v>111</v>
      </c>
      <c r="J5" s="24" t="s">
        <v>112</v>
      </c>
      <c r="K5" s="17"/>
    </row>
    <row r="6" spans="1:11">
      <c r="A6" s="17"/>
      <c r="B6" s="16"/>
      <c r="C6" s="17"/>
      <c r="D6" s="25"/>
      <c r="E6" s="17" t="s">
        <v>113</v>
      </c>
      <c r="F6" s="17"/>
      <c r="G6" s="17" t="s">
        <v>114</v>
      </c>
      <c r="H6" s="17"/>
      <c r="I6" s="23" t="s">
        <v>115</v>
      </c>
      <c r="J6" s="24" t="s">
        <v>116</v>
      </c>
      <c r="K6" s="17"/>
    </row>
    <row r="7" spans="1:11">
      <c r="A7" s="17"/>
      <c r="B7" s="16"/>
      <c r="C7" s="182" t="s">
        <v>117</v>
      </c>
      <c r="D7" s="182"/>
      <c r="E7" s="17" t="s">
        <v>118</v>
      </c>
      <c r="F7" s="17"/>
      <c r="G7" s="17" t="s">
        <v>119</v>
      </c>
      <c r="H7" s="17"/>
      <c r="I7" s="23" t="s">
        <v>120</v>
      </c>
      <c r="J7" s="24" t="s">
        <v>121</v>
      </c>
      <c r="K7" s="17"/>
    </row>
    <row r="8" spans="1:11">
      <c r="A8" s="17"/>
      <c r="B8" s="16" t="s">
        <v>122</v>
      </c>
      <c r="C8" s="26">
        <v>0</v>
      </c>
      <c r="D8" s="26">
        <v>0.01</v>
      </c>
      <c r="E8" s="27">
        <f>SUMPRODUCT(C8:D8,AdvertisingUnits)</f>
        <v>2.9999999999999995E-2</v>
      </c>
      <c r="F8" s="17" t="s">
        <v>123</v>
      </c>
      <c r="G8" s="26">
        <v>0.03</v>
      </c>
      <c r="H8" s="17"/>
      <c r="I8" s="23" t="s">
        <v>124</v>
      </c>
      <c r="J8" s="24" t="s">
        <v>125</v>
      </c>
      <c r="K8" s="17"/>
    </row>
    <row r="9" spans="1:11" ht="15.75" thickBot="1">
      <c r="A9" s="17"/>
      <c r="B9" s="16" t="s">
        <v>126</v>
      </c>
      <c r="C9" s="26">
        <v>0.03</v>
      </c>
      <c r="D9" s="26">
        <v>0.02</v>
      </c>
      <c r="E9" s="27">
        <f>SUMPRODUCT(C9:D9,AdvertisingUnits)</f>
        <v>0.17999999999999994</v>
      </c>
      <c r="F9" s="17" t="s">
        <v>123</v>
      </c>
      <c r="G9" s="26">
        <v>0.18</v>
      </c>
      <c r="H9" s="17"/>
      <c r="I9" s="28" t="s">
        <v>127</v>
      </c>
      <c r="J9" s="29" t="s">
        <v>128</v>
      </c>
      <c r="K9" s="17"/>
    </row>
    <row r="10" spans="1:11">
      <c r="A10" s="17"/>
      <c r="B10" s="16" t="s">
        <v>129</v>
      </c>
      <c r="C10" s="26">
        <v>-0.01</v>
      </c>
      <c r="D10" s="26">
        <v>0.04</v>
      </c>
      <c r="E10" s="27">
        <f>SUMPRODUCT(C10:D10,AdvertisingUnits)</f>
        <v>7.9999999999999988E-2</v>
      </c>
      <c r="F10" s="17" t="s">
        <v>123</v>
      </c>
      <c r="G10" s="26">
        <v>0.04</v>
      </c>
      <c r="H10" s="17"/>
      <c r="I10" s="30"/>
      <c r="J10" s="30"/>
      <c r="K10" s="17"/>
    </row>
    <row r="11" spans="1:11">
      <c r="A11" s="17"/>
      <c r="B11" s="16"/>
      <c r="C11" s="17"/>
      <c r="D11" s="17"/>
      <c r="E11" s="17"/>
      <c r="F11" s="31"/>
      <c r="G11" s="17"/>
      <c r="H11" s="17"/>
      <c r="I11" s="17"/>
      <c r="J11" s="17"/>
      <c r="K11" s="17"/>
    </row>
    <row r="12" spans="1:11">
      <c r="A12" s="17"/>
      <c r="B12" s="16"/>
      <c r="C12" s="17"/>
      <c r="D12" s="17"/>
      <c r="E12" s="17"/>
      <c r="F12" s="31"/>
      <c r="G12" s="17" t="s">
        <v>130</v>
      </c>
      <c r="H12" s="17"/>
      <c r="I12" s="17"/>
      <c r="J12" s="17"/>
      <c r="K12" s="17"/>
    </row>
    <row r="13" spans="1:11" ht="15.75" thickBot="1">
      <c r="A13" s="17"/>
      <c r="B13" s="16"/>
      <c r="C13" s="17" t="s">
        <v>104</v>
      </c>
      <c r="D13" s="17" t="s">
        <v>105</v>
      </c>
      <c r="E13" s="17"/>
      <c r="F13" s="17"/>
      <c r="G13" s="17" t="s">
        <v>131</v>
      </c>
      <c r="H13" s="17"/>
      <c r="I13" s="17"/>
      <c r="J13" s="17"/>
      <c r="K13" s="17"/>
    </row>
    <row r="14" spans="1:11" ht="15.75" thickBot="1">
      <c r="A14" s="17"/>
      <c r="B14" s="16" t="s">
        <v>132</v>
      </c>
      <c r="C14" s="32">
        <v>3.9999999999999987</v>
      </c>
      <c r="D14" s="33">
        <v>2.9999999999999996</v>
      </c>
      <c r="E14" s="17"/>
      <c r="F14" s="17"/>
      <c r="G14" s="34">
        <f>SUMPRODUCT(UnitCost,AdvertisingUnits)</f>
        <v>9.9999999999999982</v>
      </c>
      <c r="H14" s="17"/>
      <c r="I14" s="17"/>
      <c r="J14" s="17"/>
      <c r="K14" s="17"/>
    </row>
    <row r="15" spans="1:11">
      <c r="A15" s="17"/>
      <c r="B15" s="16"/>
      <c r="C15" s="17"/>
      <c r="D15" s="17"/>
      <c r="E15" s="17"/>
      <c r="F15" s="17"/>
      <c r="G15" s="17"/>
      <c r="H15" s="17"/>
      <c r="I15" s="17"/>
      <c r="J15" s="17"/>
      <c r="K15" s="17"/>
    </row>
    <row r="16" spans="1:11">
      <c r="A16" s="17"/>
      <c r="B16" s="16"/>
      <c r="C16" s="17"/>
      <c r="D16" s="17"/>
      <c r="E16" s="17"/>
      <c r="F16" s="17"/>
      <c r="G16" s="17"/>
      <c r="H16" s="17"/>
      <c r="I16" s="17"/>
      <c r="J16" s="17"/>
      <c r="K16" s="17"/>
    </row>
    <row r="17" spans="1:11">
      <c r="A17" s="17"/>
      <c r="B17" s="16"/>
      <c r="C17" s="17"/>
      <c r="D17" s="17"/>
      <c r="E17" s="17"/>
      <c r="F17" s="17"/>
      <c r="G17" s="17"/>
      <c r="H17" s="17"/>
      <c r="I17" s="17"/>
      <c r="J17" s="17"/>
      <c r="K17" s="17"/>
    </row>
    <row r="20" spans="1:11">
      <c r="A20" t="s">
        <v>100</v>
      </c>
    </row>
    <row r="21" spans="1:11">
      <c r="A21" t="s">
        <v>101</v>
      </c>
    </row>
    <row r="22" spans="1:11">
      <c r="A22" t="s">
        <v>102</v>
      </c>
    </row>
  </sheetData>
  <mergeCells count="1">
    <mergeCell ref="C7:D7"/>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AA25C-FB0E-404B-A0F9-315CA67B5C3E}">
  <dimension ref="A1:G56"/>
  <sheetViews>
    <sheetView topLeftCell="A30" workbookViewId="0">
      <selection activeCell="G28" sqref="G28"/>
    </sheetView>
  </sheetViews>
  <sheetFormatPr defaultRowHeight="15"/>
  <cols>
    <col min="1" max="1" width="26.85546875" customWidth="1"/>
    <col min="3" max="3" width="10.140625" bestFit="1" customWidth="1"/>
    <col min="4" max="4" width="20.140625" bestFit="1" customWidth="1"/>
    <col min="5" max="5" width="11.140625" bestFit="1" customWidth="1"/>
  </cols>
  <sheetData>
    <row r="1" spans="1:6">
      <c r="A1" s="114" t="s">
        <v>459</v>
      </c>
      <c r="B1" s="38"/>
      <c r="C1" s="38"/>
      <c r="D1" s="38"/>
      <c r="E1" s="38" t="s">
        <v>460</v>
      </c>
      <c r="F1" s="38"/>
    </row>
    <row r="2" spans="1:6">
      <c r="A2" s="39"/>
      <c r="B2" s="38" t="s">
        <v>461</v>
      </c>
      <c r="C2" s="38" t="s">
        <v>462</v>
      </c>
      <c r="D2" s="38" t="s">
        <v>463</v>
      </c>
      <c r="E2" s="38" t="s">
        <v>464</v>
      </c>
      <c r="F2" s="38"/>
    </row>
    <row r="3" spans="1:6">
      <c r="A3" s="39" t="s">
        <v>465</v>
      </c>
      <c r="B3" s="41">
        <v>1</v>
      </c>
      <c r="C3" s="41">
        <v>0.9</v>
      </c>
      <c r="D3" s="41">
        <v>0.6</v>
      </c>
      <c r="E3" s="38">
        <f>SUMPRODUCT(B3:D3,AcresPlanted)</f>
        <v>537</v>
      </c>
      <c r="F3" s="38"/>
    </row>
    <row r="4" spans="1:6">
      <c r="A4" s="39" t="s">
        <v>466</v>
      </c>
      <c r="B4" s="41">
        <v>1.4</v>
      </c>
      <c r="C4" s="41">
        <v>1.2</v>
      </c>
      <c r="D4" s="41">
        <v>0.7</v>
      </c>
      <c r="E4" s="38">
        <f>SUMPRODUCT(B4:D4,AcresPlanted)</f>
        <v>736</v>
      </c>
      <c r="F4" s="38"/>
    </row>
    <row r="5" spans="1:6">
      <c r="A5" s="39" t="s">
        <v>467</v>
      </c>
      <c r="B5" s="40">
        <v>98</v>
      </c>
      <c r="C5" s="40">
        <v>84</v>
      </c>
      <c r="D5" s="40">
        <v>56</v>
      </c>
      <c r="E5" s="61">
        <f>SUMPRODUCT(B5:D5,AcresPlanted)</f>
        <v>52220</v>
      </c>
      <c r="F5" s="38"/>
    </row>
    <row r="6" spans="1:6">
      <c r="A6" s="39"/>
      <c r="B6" s="38"/>
      <c r="C6" s="38"/>
      <c r="D6" s="38"/>
      <c r="E6" s="38"/>
      <c r="F6" s="38"/>
    </row>
    <row r="7" spans="1:6">
      <c r="A7" s="39" t="s">
        <v>468</v>
      </c>
      <c r="B7" s="115">
        <v>450</v>
      </c>
      <c r="C7" s="115">
        <v>30</v>
      </c>
      <c r="D7" s="115">
        <v>100</v>
      </c>
      <c r="E7" s="38">
        <f>SUM(AcresPlanted)</f>
        <v>580</v>
      </c>
      <c r="F7" s="38"/>
    </row>
    <row r="8" spans="1:6">
      <c r="A8" s="39"/>
      <c r="B8" s="38"/>
      <c r="C8" s="38" t="s">
        <v>123</v>
      </c>
      <c r="D8" s="38" t="s">
        <v>123</v>
      </c>
      <c r="E8" s="38"/>
      <c r="F8" s="38"/>
    </row>
    <row r="9" spans="1:6">
      <c r="A9" s="39"/>
      <c r="B9" s="38"/>
      <c r="C9" s="38">
        <f>C10*B28</f>
        <v>30</v>
      </c>
      <c r="D9" s="38">
        <f>D10*C28</f>
        <v>100</v>
      </c>
      <c r="E9" s="38"/>
      <c r="F9" s="38"/>
    </row>
    <row r="10" spans="1:6">
      <c r="A10" s="39"/>
      <c r="B10" s="38"/>
      <c r="C10" s="41">
        <v>1</v>
      </c>
      <c r="D10" s="41">
        <v>0.05</v>
      </c>
      <c r="E10" s="38"/>
      <c r="F10" s="38"/>
    </row>
    <row r="11" spans="1:6">
      <c r="A11" s="39"/>
      <c r="B11" s="38"/>
      <c r="C11" s="38" t="s">
        <v>469</v>
      </c>
      <c r="D11" s="38" t="s">
        <v>470</v>
      </c>
      <c r="E11" s="38"/>
      <c r="F11" s="38"/>
    </row>
    <row r="12" spans="1:6">
      <c r="A12" s="39"/>
      <c r="B12" s="38"/>
      <c r="C12" s="38"/>
      <c r="D12" s="38"/>
      <c r="E12" s="38"/>
      <c r="F12" s="38"/>
    </row>
    <row r="13" spans="1:6">
      <c r="A13" s="114" t="s">
        <v>471</v>
      </c>
      <c r="B13" s="38"/>
      <c r="C13" s="38"/>
      <c r="D13" s="38" t="s">
        <v>471</v>
      </c>
      <c r="E13" s="38"/>
      <c r="F13" s="38"/>
    </row>
    <row r="14" spans="1:6">
      <c r="A14" s="39"/>
      <c r="B14" s="38" t="s">
        <v>472</v>
      </c>
      <c r="C14" s="38" t="s">
        <v>473</v>
      </c>
      <c r="D14" s="38" t="s">
        <v>464</v>
      </c>
      <c r="E14" s="38"/>
      <c r="F14" s="38"/>
    </row>
    <row r="15" spans="1:6">
      <c r="A15" s="39" t="s">
        <v>474</v>
      </c>
      <c r="B15" s="41">
        <v>10</v>
      </c>
      <c r="C15" s="41">
        <v>0.05</v>
      </c>
      <c r="D15" s="38">
        <f>SUMPRODUCT(B15:C15,TotalLivestock)</f>
        <v>400</v>
      </c>
      <c r="E15" s="38"/>
      <c r="F15" s="38"/>
    </row>
    <row r="16" spans="1:6">
      <c r="A16" s="39" t="s">
        <v>475</v>
      </c>
      <c r="B16" s="41">
        <v>2</v>
      </c>
      <c r="C16" s="41">
        <v>0</v>
      </c>
      <c r="D16" s="38">
        <f>SUMPRODUCT(B16:C16,TotalLivestock)</f>
        <v>60</v>
      </c>
      <c r="E16" s="38"/>
      <c r="F16" s="38"/>
    </row>
    <row r="17" spans="1:6">
      <c r="A17" s="39" t="s">
        <v>476</v>
      </c>
      <c r="B17" s="98">
        <v>11.9</v>
      </c>
      <c r="C17" s="98">
        <v>5.95</v>
      </c>
      <c r="D17" s="95">
        <f>SUMPRODUCT(B17:C17,TotalLivestock)</f>
        <v>12257</v>
      </c>
      <c r="E17" s="38"/>
      <c r="F17" s="38"/>
    </row>
    <row r="18" spans="1:6">
      <c r="A18" s="39"/>
      <c r="B18" s="38"/>
      <c r="C18" s="38"/>
      <c r="D18" s="38"/>
      <c r="E18" s="38"/>
      <c r="F18" s="38"/>
    </row>
    <row r="19" spans="1:6">
      <c r="A19" s="39" t="s">
        <v>477</v>
      </c>
      <c r="B19" s="40">
        <v>49000</v>
      </c>
      <c r="C19" s="40">
        <v>7000</v>
      </c>
      <c r="D19" s="38"/>
      <c r="E19" s="38"/>
      <c r="F19" s="38"/>
    </row>
    <row r="20" spans="1:6">
      <c r="A20" s="39" t="s">
        <v>478</v>
      </c>
      <c r="B20" s="59">
        <v>0.1</v>
      </c>
      <c r="C20" s="59">
        <v>0.25</v>
      </c>
      <c r="D20" s="38"/>
      <c r="E20" s="38"/>
      <c r="F20" s="38"/>
    </row>
    <row r="21" spans="1:6">
      <c r="A21" s="39" t="s">
        <v>479</v>
      </c>
      <c r="B21" s="61">
        <f>B19*(1-B20)</f>
        <v>44100</v>
      </c>
      <c r="C21" s="61">
        <f>C19*(1-C20)</f>
        <v>5250</v>
      </c>
      <c r="D21" s="61">
        <f>SUM(B21:C21)</f>
        <v>49350</v>
      </c>
      <c r="E21" s="38"/>
      <c r="F21" s="38"/>
    </row>
    <row r="22" spans="1:6">
      <c r="A22" s="39"/>
      <c r="B22" s="38"/>
      <c r="C22" s="38"/>
      <c r="D22" s="38"/>
      <c r="E22" s="38"/>
      <c r="F22" s="38" t="s">
        <v>480</v>
      </c>
    </row>
    <row r="23" spans="1:6">
      <c r="A23" s="39" t="s">
        <v>481</v>
      </c>
      <c r="B23" s="40">
        <v>2100</v>
      </c>
      <c r="C23" s="98">
        <v>4.2</v>
      </c>
      <c r="D23" s="95">
        <f>SUMPRODUCT(B23:C23,NewLivestock)</f>
        <v>0</v>
      </c>
      <c r="E23" s="38" t="s">
        <v>144</v>
      </c>
      <c r="F23" s="43">
        <v>28000</v>
      </c>
    </row>
    <row r="24" spans="1:6">
      <c r="A24" s="39" t="s">
        <v>482</v>
      </c>
      <c r="B24" s="61">
        <f>B23*(1-B20)</f>
        <v>1890</v>
      </c>
      <c r="C24" s="95">
        <f>C23*(1-C20)</f>
        <v>3.1500000000000004</v>
      </c>
      <c r="D24" s="95">
        <f>SUMPRODUCT(B24:C24,NewLivestock)</f>
        <v>0</v>
      </c>
      <c r="E24" s="38"/>
      <c r="F24" s="38"/>
    </row>
    <row r="25" spans="1:6">
      <c r="A25" s="39"/>
      <c r="B25" s="38"/>
      <c r="C25" s="38"/>
      <c r="D25" s="38"/>
      <c r="E25" s="38"/>
      <c r="F25" s="38"/>
    </row>
    <row r="26" spans="1:6">
      <c r="A26" s="39" t="s">
        <v>483</v>
      </c>
      <c r="B26" s="41">
        <v>30</v>
      </c>
      <c r="C26" s="43">
        <v>2000</v>
      </c>
      <c r="D26" s="38"/>
      <c r="E26" s="38"/>
      <c r="F26" s="38"/>
    </row>
    <row r="27" spans="1:6">
      <c r="A27" s="39" t="s">
        <v>484</v>
      </c>
      <c r="B27" s="115">
        <v>0</v>
      </c>
      <c r="C27" s="115">
        <v>0</v>
      </c>
      <c r="D27" s="38"/>
      <c r="E27" s="38"/>
      <c r="F27" s="38"/>
    </row>
    <row r="28" spans="1:6">
      <c r="A28" s="39" t="s">
        <v>485</v>
      </c>
      <c r="B28" s="38">
        <f>B26+B27</f>
        <v>30</v>
      </c>
      <c r="C28" s="38">
        <f>C26+C27</f>
        <v>2000</v>
      </c>
      <c r="D28" s="38"/>
      <c r="E28" s="38"/>
      <c r="F28" s="38"/>
    </row>
    <row r="29" spans="1:6">
      <c r="A29" s="39"/>
      <c r="B29" s="38" t="s">
        <v>144</v>
      </c>
      <c r="C29" s="38" t="s">
        <v>144</v>
      </c>
      <c r="D29" s="38"/>
      <c r="E29" s="38"/>
      <c r="F29" s="38"/>
    </row>
    <row r="30" spans="1:6">
      <c r="A30" s="39"/>
      <c r="B30" s="41">
        <v>42</v>
      </c>
      <c r="C30" s="41">
        <v>5000</v>
      </c>
      <c r="D30" s="38"/>
      <c r="E30" s="38"/>
      <c r="F30" s="38"/>
    </row>
    <row r="31" spans="1:6">
      <c r="A31" s="39"/>
      <c r="B31" s="38"/>
      <c r="C31" s="38"/>
      <c r="D31" s="38"/>
      <c r="E31" s="38"/>
      <c r="F31" s="38"/>
    </row>
    <row r="32" spans="1:6">
      <c r="A32" s="114" t="s">
        <v>486</v>
      </c>
      <c r="B32" s="38"/>
      <c r="C32" s="38"/>
      <c r="D32" s="38"/>
      <c r="E32" s="38"/>
      <c r="F32" s="38"/>
    </row>
    <row r="33" spans="1:7">
      <c r="A33" s="39"/>
      <c r="B33" s="38" t="s">
        <v>487</v>
      </c>
      <c r="C33" s="38" t="s">
        <v>488</v>
      </c>
      <c r="D33" s="38" t="s">
        <v>489</v>
      </c>
      <c r="E33" s="38"/>
      <c r="F33" s="38"/>
    </row>
    <row r="34" spans="1:7">
      <c r="A34" s="39" t="s">
        <v>490</v>
      </c>
      <c r="B34" s="110">
        <v>7</v>
      </c>
      <c r="C34" s="116">
        <v>7.7</v>
      </c>
      <c r="D34" s="95">
        <f>SUMPRODUCT(B34:C34,HoursWorked)</f>
        <v>17943.799999999563</v>
      </c>
      <c r="E34" s="38"/>
      <c r="F34" s="38"/>
    </row>
    <row r="35" spans="1:7">
      <c r="A35" s="39"/>
      <c r="B35" s="38"/>
      <c r="C35" s="38"/>
      <c r="D35" s="38"/>
      <c r="E35" s="38"/>
      <c r="F35" s="38"/>
    </row>
    <row r="36" spans="1:7">
      <c r="A36" s="39" t="s">
        <v>491</v>
      </c>
      <c r="B36" s="115">
        <v>1063.0000000000064</v>
      </c>
      <c r="C36" s="115">
        <v>1363.9999999999372</v>
      </c>
      <c r="D36" s="38">
        <f>SUM(HoursWorked)</f>
        <v>2426.9999999999436</v>
      </c>
      <c r="E36" s="38"/>
      <c r="F36" s="38"/>
    </row>
    <row r="37" spans="1:7">
      <c r="A37" s="39"/>
      <c r="B37" s="38"/>
      <c r="C37" s="38"/>
      <c r="D37" s="38"/>
      <c r="E37" s="38"/>
      <c r="F37" s="38"/>
    </row>
    <row r="38" spans="1:7">
      <c r="A38" s="117" t="s">
        <v>464</v>
      </c>
      <c r="B38" s="38" t="s">
        <v>459</v>
      </c>
      <c r="C38" s="38" t="s">
        <v>471</v>
      </c>
      <c r="D38" s="38" t="s">
        <v>492</v>
      </c>
      <c r="E38" s="38" t="s">
        <v>225</v>
      </c>
      <c r="F38" s="38"/>
      <c r="G38" s="38" t="s">
        <v>142</v>
      </c>
    </row>
    <row r="39" spans="1:7">
      <c r="A39" s="39" t="s">
        <v>493</v>
      </c>
      <c r="B39" s="38">
        <f>E3</f>
        <v>537</v>
      </c>
      <c r="C39" s="38">
        <f>6*D15</f>
        <v>2400</v>
      </c>
      <c r="D39" s="38">
        <f>B36</f>
        <v>1063.0000000000064</v>
      </c>
      <c r="E39" s="38">
        <f>SUM(B39:D39)</f>
        <v>4000.0000000000064</v>
      </c>
      <c r="F39" s="38" t="s">
        <v>144</v>
      </c>
      <c r="G39" s="46">
        <v>4000</v>
      </c>
    </row>
    <row r="40" spans="1:7">
      <c r="A40" s="39" t="s">
        <v>494</v>
      </c>
      <c r="B40" s="38">
        <f>E4</f>
        <v>736</v>
      </c>
      <c r="C40" s="38">
        <f>6*D15</f>
        <v>2400</v>
      </c>
      <c r="D40" s="38">
        <f>C36</f>
        <v>1363.9999999999372</v>
      </c>
      <c r="E40" s="38">
        <f t="shared" ref="E40:E45" si="0">SUM(B40:D40)</f>
        <v>4499.9999999999372</v>
      </c>
      <c r="F40" s="38" t="s">
        <v>144</v>
      </c>
      <c r="G40" s="46">
        <v>4500</v>
      </c>
    </row>
    <row r="41" spans="1:7">
      <c r="A41" s="39" t="s">
        <v>495</v>
      </c>
      <c r="B41" s="38">
        <f>E7</f>
        <v>580</v>
      </c>
      <c r="C41" s="38">
        <f>D16</f>
        <v>60</v>
      </c>
      <c r="D41" s="38"/>
      <c r="E41" s="38">
        <f t="shared" si="0"/>
        <v>640</v>
      </c>
      <c r="F41" s="38" t="s">
        <v>144</v>
      </c>
      <c r="G41" s="46">
        <v>640</v>
      </c>
    </row>
    <row r="42" spans="1:7">
      <c r="A42" s="39"/>
      <c r="B42" s="38"/>
      <c r="C42" s="38"/>
      <c r="D42" s="38"/>
      <c r="E42" s="38"/>
      <c r="F42" s="38"/>
    </row>
    <row r="43" spans="1:7">
      <c r="A43" s="39" t="s">
        <v>496</v>
      </c>
      <c r="B43" s="61">
        <f>E5</f>
        <v>52220</v>
      </c>
      <c r="C43" s="95">
        <f>D17</f>
        <v>12257</v>
      </c>
      <c r="D43" s="95">
        <f>D34</f>
        <v>17943.799999999563</v>
      </c>
      <c r="E43" s="95">
        <f t="shared" si="0"/>
        <v>82420.799999999566</v>
      </c>
      <c r="F43" s="38"/>
    </row>
    <row r="44" spans="1:7">
      <c r="A44" s="39" t="s">
        <v>497</v>
      </c>
      <c r="B44" s="95"/>
      <c r="C44" s="95">
        <f>D21+D24</f>
        <v>49350</v>
      </c>
      <c r="D44" s="38"/>
      <c r="E44" s="95">
        <f t="shared" si="0"/>
        <v>49350</v>
      </c>
      <c r="F44" s="38"/>
    </row>
    <row r="45" spans="1:7">
      <c r="A45" s="39" t="s">
        <v>498</v>
      </c>
      <c r="B45" s="38"/>
      <c r="C45" s="95">
        <f>F23-D23</f>
        <v>28000</v>
      </c>
      <c r="D45" s="38"/>
      <c r="E45" s="95">
        <f t="shared" si="0"/>
        <v>28000</v>
      </c>
      <c r="F45" s="38"/>
    </row>
    <row r="46" spans="1:7">
      <c r="A46" s="39" t="s">
        <v>499</v>
      </c>
      <c r="B46" s="38"/>
      <c r="C46" s="38"/>
      <c r="D46" s="38"/>
      <c r="E46" s="110">
        <v>-56000</v>
      </c>
      <c r="F46" s="38"/>
    </row>
    <row r="47" spans="1:7">
      <c r="A47" s="39"/>
      <c r="B47" s="38"/>
      <c r="C47" s="38"/>
      <c r="D47" s="38"/>
      <c r="E47" s="118">
        <f>SUM(E43:E46)</f>
        <v>103770.79999999958</v>
      </c>
      <c r="F47" s="38"/>
    </row>
    <row r="48" spans="1:7">
      <c r="A48" s="39"/>
      <c r="B48" s="38"/>
      <c r="C48" s="38"/>
      <c r="D48" s="38"/>
      <c r="E48" s="38"/>
      <c r="F48" s="38"/>
    </row>
    <row r="49" spans="1:6">
      <c r="A49" s="14" t="s">
        <v>500</v>
      </c>
      <c r="B49" s="38"/>
      <c r="C49" s="38"/>
      <c r="D49" s="38"/>
      <c r="E49" s="38"/>
      <c r="F49" s="38"/>
    </row>
    <row r="50" spans="1:6">
      <c r="A50" s="14" t="s">
        <v>501</v>
      </c>
      <c r="B50" s="38"/>
      <c r="C50" s="38"/>
      <c r="D50" s="38"/>
      <c r="E50" s="38"/>
      <c r="F50" s="38"/>
    </row>
    <row r="51" spans="1:6">
      <c r="A51" s="14" t="s">
        <v>502</v>
      </c>
      <c r="B51" s="38"/>
      <c r="C51" s="38"/>
      <c r="D51" s="38"/>
      <c r="E51" s="38"/>
      <c r="F51" s="38"/>
    </row>
    <row r="52" spans="1:6">
      <c r="A52" s="14" t="s">
        <v>503</v>
      </c>
      <c r="B52" s="38"/>
      <c r="C52" s="38"/>
      <c r="D52" s="38"/>
      <c r="E52" s="38"/>
      <c r="F52" s="38"/>
    </row>
    <row r="53" spans="1:6">
      <c r="A53" s="14" t="s">
        <v>504</v>
      </c>
      <c r="B53" s="38"/>
      <c r="C53" s="38"/>
      <c r="D53" s="38"/>
      <c r="E53" s="38"/>
      <c r="F53" s="38"/>
    </row>
    <row r="54" spans="1:6">
      <c r="A54" s="14" t="s">
        <v>505</v>
      </c>
      <c r="B54" s="38"/>
      <c r="C54" s="38"/>
      <c r="D54" s="38"/>
      <c r="E54" s="38"/>
      <c r="F54" s="38"/>
    </row>
    <row r="55" spans="1:6">
      <c r="A55" s="14" t="s">
        <v>506</v>
      </c>
      <c r="B55" s="38"/>
      <c r="C55" s="38"/>
      <c r="D55" s="38"/>
      <c r="E55" s="38"/>
      <c r="F55" s="38"/>
    </row>
    <row r="56" spans="1:6">
      <c r="A56" s="39"/>
      <c r="B56" s="38"/>
      <c r="C56" s="38"/>
      <c r="D56" s="38"/>
      <c r="E56" s="38"/>
      <c r="F56" s="3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C06B9-BAEA-4F98-8DF6-A4C2618BFCE9}">
  <dimension ref="A1"/>
  <sheetViews>
    <sheetView workbookViewId="0"/>
  </sheetViews>
  <sheetFormatPr defaultRowHeight="15"/>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7C209-32D0-44EB-9D23-947E6C916D49}">
  <dimension ref="A1:X30"/>
  <sheetViews>
    <sheetView workbookViewId="0">
      <selection activeCell="I24" sqref="I24"/>
    </sheetView>
  </sheetViews>
  <sheetFormatPr defaultRowHeight="15"/>
  <cols>
    <col min="12" max="12" width="19.7109375" bestFit="1" customWidth="1"/>
  </cols>
  <sheetData>
    <row r="1" spans="1:24" ht="18">
      <c r="A1" s="15" t="s">
        <v>383</v>
      </c>
      <c r="B1" s="16"/>
      <c r="C1" s="17"/>
      <c r="D1" s="17"/>
      <c r="E1" s="17"/>
      <c r="F1" s="17"/>
      <c r="G1" s="17"/>
      <c r="H1" s="17"/>
      <c r="I1" s="17"/>
      <c r="J1" s="17"/>
      <c r="K1" s="17"/>
      <c r="L1" s="17"/>
      <c r="M1" s="17"/>
      <c r="N1" s="17"/>
    </row>
    <row r="2" spans="1:24" ht="15.75" thickBot="1">
      <c r="A2" s="17"/>
      <c r="B2" s="16"/>
      <c r="C2" s="17">
        <v>1</v>
      </c>
      <c r="D2" s="17">
        <v>2</v>
      </c>
      <c r="E2" s="17">
        <v>3</v>
      </c>
      <c r="F2" s="17">
        <v>4</v>
      </c>
      <c r="G2" s="17">
        <v>5</v>
      </c>
      <c r="H2" s="17"/>
      <c r="I2" s="17"/>
      <c r="J2" s="17"/>
      <c r="K2" s="17"/>
      <c r="L2" s="17"/>
      <c r="M2" s="17"/>
      <c r="N2" s="17"/>
    </row>
    <row r="3" spans="1:24" ht="15.75" thickBot="1">
      <c r="A3" s="17"/>
      <c r="B3" s="16"/>
      <c r="C3" s="17" t="s">
        <v>384</v>
      </c>
      <c r="D3" s="17" t="s">
        <v>385</v>
      </c>
      <c r="E3" s="17" t="s">
        <v>386</v>
      </c>
      <c r="F3" s="17" t="s">
        <v>387</v>
      </c>
      <c r="G3" s="17" t="s">
        <v>388</v>
      </c>
      <c r="H3" s="17"/>
      <c r="I3" s="17"/>
      <c r="J3" s="17"/>
      <c r="K3" s="17"/>
      <c r="L3" s="18" t="s">
        <v>106</v>
      </c>
      <c r="M3" s="19" t="s">
        <v>107</v>
      </c>
      <c r="N3" s="17"/>
      <c r="R3" t="s">
        <v>456</v>
      </c>
    </row>
    <row r="4" spans="1:24">
      <c r="A4" s="17"/>
      <c r="B4" s="16"/>
      <c r="C4" s="17" t="s">
        <v>195</v>
      </c>
      <c r="D4" s="17" t="s">
        <v>195</v>
      </c>
      <c r="E4" s="17" t="s">
        <v>195</v>
      </c>
      <c r="F4" s="17" t="s">
        <v>195</v>
      </c>
      <c r="G4" s="17" t="s">
        <v>195</v>
      </c>
      <c r="H4" s="17"/>
      <c r="I4" s="17"/>
      <c r="J4" s="17"/>
      <c r="K4" s="17"/>
      <c r="L4" s="21" t="s">
        <v>389</v>
      </c>
      <c r="M4" s="22" t="s">
        <v>390</v>
      </c>
      <c r="N4" s="17"/>
      <c r="T4" t="s">
        <v>415</v>
      </c>
      <c r="U4" t="s">
        <v>417</v>
      </c>
      <c r="V4" t="s">
        <v>418</v>
      </c>
      <c r="W4" t="s">
        <v>420</v>
      </c>
      <c r="X4" t="s">
        <v>420</v>
      </c>
    </row>
    <row r="5" spans="1:24">
      <c r="A5" s="17"/>
      <c r="B5" s="16" t="s">
        <v>391</v>
      </c>
      <c r="C5" s="111">
        <f>170*1.02</f>
        <v>173.4</v>
      </c>
      <c r="D5" s="111">
        <f>160*1.02</f>
        <v>163.19999999999999</v>
      </c>
      <c r="E5" s="111">
        <f>175*1.02</f>
        <v>178.5</v>
      </c>
      <c r="F5" s="111">
        <f>180*1.02</f>
        <v>183.6</v>
      </c>
      <c r="G5" s="111">
        <f>195*1.02</f>
        <v>198.9</v>
      </c>
      <c r="H5" s="17"/>
      <c r="I5" s="17"/>
      <c r="J5" s="17"/>
      <c r="K5" s="17"/>
      <c r="L5" s="23" t="s">
        <v>392</v>
      </c>
      <c r="M5" s="24" t="s">
        <v>393</v>
      </c>
      <c r="N5" s="17"/>
      <c r="R5" t="s">
        <v>413</v>
      </c>
      <c r="S5" t="s">
        <v>414</v>
      </c>
      <c r="T5" t="s">
        <v>416</v>
      </c>
      <c r="U5" t="s">
        <v>374</v>
      </c>
      <c r="V5" t="s">
        <v>419</v>
      </c>
      <c r="W5" t="s">
        <v>119</v>
      </c>
      <c r="X5" t="s">
        <v>421</v>
      </c>
    </row>
    <row r="6" spans="1:24">
      <c r="A6" s="17"/>
      <c r="B6" s="16"/>
      <c r="C6" s="17"/>
      <c r="D6" s="17"/>
      <c r="E6" s="17"/>
      <c r="F6" s="17"/>
      <c r="G6" s="17"/>
      <c r="H6" s="17" t="s">
        <v>225</v>
      </c>
      <c r="I6" s="17"/>
      <c r="J6" s="17" t="s">
        <v>114</v>
      </c>
      <c r="K6" s="17"/>
      <c r="L6" s="23" t="s">
        <v>394</v>
      </c>
      <c r="M6" s="24" t="s">
        <v>395</v>
      </c>
      <c r="N6" s="17"/>
      <c r="R6" t="s">
        <v>425</v>
      </c>
      <c r="S6" t="s">
        <v>426</v>
      </c>
      <c r="T6">
        <v>48</v>
      </c>
      <c r="U6">
        <v>0</v>
      </c>
      <c r="V6">
        <v>173.4</v>
      </c>
      <c r="W6">
        <v>1E+30</v>
      </c>
      <c r="X6">
        <v>10.199999999999989</v>
      </c>
    </row>
    <row r="7" spans="1:24">
      <c r="A7" s="17"/>
      <c r="B7" s="16" t="s">
        <v>396</v>
      </c>
      <c r="C7" s="17"/>
      <c r="D7" s="17"/>
      <c r="E7" s="17" t="s">
        <v>397</v>
      </c>
      <c r="F7" s="17"/>
      <c r="G7" s="17"/>
      <c r="H7" s="17" t="s">
        <v>226</v>
      </c>
      <c r="I7" s="17"/>
      <c r="J7" s="17" t="s">
        <v>191</v>
      </c>
      <c r="K7" s="17"/>
      <c r="L7" s="23" t="s">
        <v>398</v>
      </c>
      <c r="M7" s="24" t="s">
        <v>399</v>
      </c>
      <c r="N7" s="17"/>
      <c r="R7" t="s">
        <v>427</v>
      </c>
      <c r="S7" t="s">
        <v>426</v>
      </c>
      <c r="T7">
        <v>31</v>
      </c>
      <c r="U7">
        <v>0</v>
      </c>
      <c r="V7">
        <v>163.20000000000002</v>
      </c>
      <c r="W7">
        <v>10.199999999999989</v>
      </c>
      <c r="X7">
        <v>163.20000000000002</v>
      </c>
    </row>
    <row r="8" spans="1:24">
      <c r="A8" s="17"/>
      <c r="B8" s="16" t="s">
        <v>400</v>
      </c>
      <c r="C8" s="71">
        <v>1</v>
      </c>
      <c r="D8" s="71">
        <v>0</v>
      </c>
      <c r="E8" s="71">
        <v>0</v>
      </c>
      <c r="F8" s="71">
        <v>0</v>
      </c>
      <c r="G8" s="71">
        <v>0</v>
      </c>
      <c r="H8" s="17">
        <f>SUMPRODUCT(C8:G8,NumberWorking)</f>
        <v>48</v>
      </c>
      <c r="I8" s="17" t="s">
        <v>123</v>
      </c>
      <c r="J8" s="71">
        <v>48</v>
      </c>
      <c r="K8" s="17"/>
      <c r="L8" s="23" t="s">
        <v>124</v>
      </c>
      <c r="M8" s="24" t="s">
        <v>401</v>
      </c>
      <c r="N8" s="17"/>
      <c r="R8" t="s">
        <v>428</v>
      </c>
      <c r="S8" t="s">
        <v>426</v>
      </c>
      <c r="T8">
        <v>39</v>
      </c>
      <c r="U8">
        <v>0</v>
      </c>
      <c r="V8">
        <v>178.5</v>
      </c>
      <c r="W8">
        <v>5.1000000000000227</v>
      </c>
      <c r="X8">
        <v>178.5</v>
      </c>
    </row>
    <row r="9" spans="1:24" ht="15.75" thickBot="1">
      <c r="A9" s="17"/>
      <c r="B9" s="16" t="s">
        <v>402</v>
      </c>
      <c r="C9" s="71">
        <v>1</v>
      </c>
      <c r="D9" s="71">
        <v>1</v>
      </c>
      <c r="E9" s="71">
        <v>0</v>
      </c>
      <c r="F9" s="71">
        <v>0</v>
      </c>
      <c r="G9" s="71">
        <v>0</v>
      </c>
      <c r="H9" s="17">
        <f t="shared" ref="H9:H17" si="0">SUMPRODUCT(C9:G9,NumberWorking)</f>
        <v>79</v>
      </c>
      <c r="I9" s="17" t="s">
        <v>123</v>
      </c>
      <c r="J9" s="71">
        <v>79</v>
      </c>
      <c r="K9" s="17"/>
      <c r="L9" s="28" t="s">
        <v>403</v>
      </c>
      <c r="M9" s="29" t="s">
        <v>404</v>
      </c>
      <c r="N9" s="17"/>
      <c r="R9" t="s">
        <v>429</v>
      </c>
      <c r="S9" t="s">
        <v>426</v>
      </c>
      <c r="T9">
        <v>43</v>
      </c>
      <c r="U9">
        <v>0</v>
      </c>
      <c r="V9">
        <v>183.60000000000002</v>
      </c>
      <c r="W9">
        <v>1E+30</v>
      </c>
      <c r="X9">
        <v>5.1000000000000227</v>
      </c>
    </row>
    <row r="10" spans="1:24">
      <c r="A10" s="17"/>
      <c r="B10" s="16" t="s">
        <v>405</v>
      </c>
      <c r="C10" s="71">
        <v>1</v>
      </c>
      <c r="D10" s="71">
        <v>1</v>
      </c>
      <c r="E10" s="71">
        <v>0</v>
      </c>
      <c r="F10" s="71">
        <v>0</v>
      </c>
      <c r="G10" s="71">
        <v>0</v>
      </c>
      <c r="H10" s="17">
        <f t="shared" si="0"/>
        <v>79</v>
      </c>
      <c r="I10" s="17" t="s">
        <v>123</v>
      </c>
      <c r="J10" s="71">
        <v>65</v>
      </c>
      <c r="K10" s="17"/>
      <c r="L10" s="17"/>
      <c r="M10" s="17"/>
      <c r="N10" s="17"/>
      <c r="R10" t="s">
        <v>430</v>
      </c>
      <c r="S10" t="s">
        <v>426</v>
      </c>
      <c r="T10">
        <v>15</v>
      </c>
      <c r="U10">
        <v>0</v>
      </c>
      <c r="V10">
        <v>198.89999999999998</v>
      </c>
      <c r="W10">
        <v>1E+30</v>
      </c>
      <c r="X10">
        <v>198.89999999999998</v>
      </c>
    </row>
    <row r="11" spans="1:24">
      <c r="A11" s="17"/>
      <c r="B11" s="16" t="s">
        <v>406</v>
      </c>
      <c r="C11" s="71">
        <v>1</v>
      </c>
      <c r="D11" s="71">
        <v>1</v>
      </c>
      <c r="E11" s="71">
        <v>1</v>
      </c>
      <c r="F11" s="71">
        <v>0</v>
      </c>
      <c r="G11" s="71">
        <v>0</v>
      </c>
      <c r="H11" s="17">
        <f t="shared" si="0"/>
        <v>118</v>
      </c>
      <c r="I11" s="17" t="s">
        <v>123</v>
      </c>
      <c r="J11" s="71">
        <v>87</v>
      </c>
      <c r="K11" s="17"/>
      <c r="L11" s="17"/>
      <c r="M11" s="17"/>
      <c r="N11" s="17"/>
    </row>
    <row r="12" spans="1:24">
      <c r="A12" s="17"/>
      <c r="B12" s="16" t="s">
        <v>407</v>
      </c>
      <c r="C12" s="71">
        <v>0</v>
      </c>
      <c r="D12" s="71">
        <v>1</v>
      </c>
      <c r="E12" s="71">
        <v>1</v>
      </c>
      <c r="F12" s="71">
        <v>0</v>
      </c>
      <c r="G12" s="71">
        <v>0</v>
      </c>
      <c r="H12" s="17">
        <f t="shared" si="0"/>
        <v>70</v>
      </c>
      <c r="I12" s="17" t="s">
        <v>123</v>
      </c>
      <c r="J12" s="71">
        <v>64</v>
      </c>
      <c r="K12" s="17"/>
      <c r="L12" s="17"/>
      <c r="M12" s="17"/>
      <c r="N12" s="17"/>
    </row>
    <row r="13" spans="1:24">
      <c r="A13" s="17"/>
      <c r="B13" s="16" t="s">
        <v>408</v>
      </c>
      <c r="C13" s="71">
        <v>0</v>
      </c>
      <c r="D13" s="71">
        <v>0</v>
      </c>
      <c r="E13" s="71">
        <v>1</v>
      </c>
      <c r="F13" s="71">
        <v>1</v>
      </c>
      <c r="G13" s="71">
        <v>0</v>
      </c>
      <c r="H13" s="17">
        <f t="shared" si="0"/>
        <v>82</v>
      </c>
      <c r="I13" s="17" t="s">
        <v>123</v>
      </c>
      <c r="J13" s="71">
        <v>73</v>
      </c>
      <c r="K13" s="17"/>
      <c r="L13" s="17"/>
      <c r="M13" s="17"/>
      <c r="N13" s="17"/>
      <c r="T13" t="s">
        <v>415</v>
      </c>
      <c r="U13" t="s">
        <v>422</v>
      </c>
      <c r="V13" t="s">
        <v>423</v>
      </c>
      <c r="W13" t="s">
        <v>420</v>
      </c>
      <c r="X13" t="s">
        <v>420</v>
      </c>
    </row>
    <row r="14" spans="1:24">
      <c r="A14" s="17"/>
      <c r="B14" s="16" t="s">
        <v>409</v>
      </c>
      <c r="C14" s="71">
        <v>0</v>
      </c>
      <c r="D14" s="71">
        <v>0</v>
      </c>
      <c r="E14" s="71">
        <v>1</v>
      </c>
      <c r="F14" s="71">
        <v>1</v>
      </c>
      <c r="G14" s="71">
        <v>0</v>
      </c>
      <c r="H14" s="17">
        <f t="shared" si="0"/>
        <v>82</v>
      </c>
      <c r="I14" s="17" t="s">
        <v>123</v>
      </c>
      <c r="J14" s="71">
        <v>82</v>
      </c>
      <c r="K14" s="17"/>
      <c r="L14" s="17"/>
      <c r="M14" s="17"/>
      <c r="N14" s="17"/>
      <c r="R14" t="s">
        <v>413</v>
      </c>
      <c r="S14" t="s">
        <v>414</v>
      </c>
      <c r="T14" t="s">
        <v>416</v>
      </c>
      <c r="U14" t="s">
        <v>307</v>
      </c>
      <c r="V14" t="s">
        <v>424</v>
      </c>
      <c r="W14" t="s">
        <v>119</v>
      </c>
      <c r="X14" t="s">
        <v>421</v>
      </c>
    </row>
    <row r="15" spans="1:24">
      <c r="A15" s="17"/>
      <c r="B15" s="16" t="s">
        <v>410</v>
      </c>
      <c r="C15" s="71">
        <v>0</v>
      </c>
      <c r="D15" s="71">
        <v>0</v>
      </c>
      <c r="E15" s="71">
        <v>0</v>
      </c>
      <c r="F15" s="71">
        <v>1</v>
      </c>
      <c r="G15" s="71">
        <v>0</v>
      </c>
      <c r="H15" s="17">
        <f t="shared" si="0"/>
        <v>43</v>
      </c>
      <c r="I15" s="17" t="s">
        <v>123</v>
      </c>
      <c r="J15" s="71">
        <v>43</v>
      </c>
      <c r="K15" s="17"/>
      <c r="L15" s="17"/>
      <c r="M15" s="17"/>
      <c r="N15" s="17"/>
      <c r="R15" t="s">
        <v>431</v>
      </c>
      <c r="S15" t="s">
        <v>432</v>
      </c>
      <c r="T15">
        <v>48</v>
      </c>
      <c r="U15">
        <v>10.199999999999989</v>
      </c>
      <c r="V15">
        <v>48</v>
      </c>
      <c r="W15">
        <v>6</v>
      </c>
      <c r="X15">
        <v>48</v>
      </c>
    </row>
    <row r="16" spans="1:24">
      <c r="A16" s="17"/>
      <c r="B16" s="16" t="s">
        <v>411</v>
      </c>
      <c r="C16" s="71">
        <v>0</v>
      </c>
      <c r="D16" s="71">
        <v>0</v>
      </c>
      <c r="E16" s="71">
        <v>0</v>
      </c>
      <c r="F16" s="71">
        <v>1</v>
      </c>
      <c r="G16" s="71">
        <v>1</v>
      </c>
      <c r="H16" s="17">
        <f t="shared" si="0"/>
        <v>58</v>
      </c>
      <c r="I16" s="17" t="s">
        <v>123</v>
      </c>
      <c r="J16" s="71">
        <v>52</v>
      </c>
      <c r="K16" s="17"/>
      <c r="L16" s="17"/>
      <c r="M16" s="17"/>
      <c r="N16" s="17"/>
      <c r="R16" t="s">
        <v>433</v>
      </c>
      <c r="S16" t="s">
        <v>434</v>
      </c>
      <c r="T16">
        <v>79</v>
      </c>
      <c r="U16">
        <v>163.20000000000002</v>
      </c>
      <c r="V16">
        <v>79</v>
      </c>
      <c r="W16">
        <v>1E+30</v>
      </c>
      <c r="X16">
        <v>6</v>
      </c>
    </row>
    <row r="17" spans="1:24">
      <c r="A17" s="17"/>
      <c r="B17" s="16" t="s">
        <v>412</v>
      </c>
      <c r="C17" s="71">
        <v>0</v>
      </c>
      <c r="D17" s="71">
        <v>0</v>
      </c>
      <c r="E17" s="71">
        <v>0</v>
      </c>
      <c r="F17" s="71">
        <v>0</v>
      </c>
      <c r="G17" s="71">
        <v>1</v>
      </c>
      <c r="H17" s="17">
        <f t="shared" si="0"/>
        <v>15</v>
      </c>
      <c r="I17" s="17" t="s">
        <v>123</v>
      </c>
      <c r="J17" s="71">
        <v>15</v>
      </c>
      <c r="K17" s="17"/>
      <c r="L17" s="17"/>
      <c r="M17" s="17"/>
      <c r="N17" s="17"/>
      <c r="R17" t="s">
        <v>435</v>
      </c>
      <c r="S17" t="s">
        <v>436</v>
      </c>
      <c r="T17">
        <v>79</v>
      </c>
      <c r="U17">
        <v>0</v>
      </c>
      <c r="V17">
        <v>65</v>
      </c>
      <c r="W17">
        <v>14</v>
      </c>
      <c r="X17">
        <v>1E+30</v>
      </c>
    </row>
    <row r="18" spans="1:24">
      <c r="A18" s="17"/>
      <c r="B18" s="16"/>
      <c r="C18" s="17"/>
      <c r="D18" s="17"/>
      <c r="E18" s="17"/>
      <c r="F18" s="17"/>
      <c r="G18" s="17"/>
      <c r="H18" s="17"/>
      <c r="I18" s="112"/>
      <c r="J18" s="17"/>
      <c r="K18" s="17"/>
      <c r="L18" s="17"/>
      <c r="M18" s="17"/>
      <c r="N18" s="17"/>
      <c r="R18" t="s">
        <v>437</v>
      </c>
      <c r="S18" t="s">
        <v>438</v>
      </c>
      <c r="T18">
        <v>118</v>
      </c>
      <c r="U18">
        <v>0</v>
      </c>
      <c r="V18">
        <v>87</v>
      </c>
      <c r="W18">
        <v>31</v>
      </c>
      <c r="X18">
        <v>1E+30</v>
      </c>
    </row>
    <row r="19" spans="1:24">
      <c r="A19" s="17"/>
      <c r="B19" s="16"/>
      <c r="C19" s="17" t="s">
        <v>384</v>
      </c>
      <c r="D19" s="17" t="s">
        <v>385</v>
      </c>
      <c r="E19" s="17" t="s">
        <v>386</v>
      </c>
      <c r="F19" s="17" t="s">
        <v>387</v>
      </c>
      <c r="G19" s="17" t="s">
        <v>388</v>
      </c>
      <c r="H19" s="17"/>
      <c r="I19" s="17"/>
      <c r="J19" s="17"/>
      <c r="K19" s="17"/>
      <c r="L19" s="17"/>
      <c r="M19" s="17"/>
      <c r="N19" s="17"/>
      <c r="R19" t="s">
        <v>439</v>
      </c>
      <c r="S19" t="s">
        <v>440</v>
      </c>
      <c r="T19">
        <v>70</v>
      </c>
      <c r="U19">
        <v>0</v>
      </c>
      <c r="V19">
        <v>64</v>
      </c>
      <c r="W19">
        <v>6</v>
      </c>
      <c r="X19">
        <v>1E+30</v>
      </c>
    </row>
    <row r="20" spans="1:24" ht="15.75" thickBot="1">
      <c r="A20" s="17"/>
      <c r="B20" s="16"/>
      <c r="C20" s="17" t="s">
        <v>195</v>
      </c>
      <c r="D20" s="17" t="s">
        <v>195</v>
      </c>
      <c r="E20" s="17" t="s">
        <v>195</v>
      </c>
      <c r="F20" s="17" t="s">
        <v>195</v>
      </c>
      <c r="G20" s="17" t="s">
        <v>195</v>
      </c>
      <c r="H20" s="17"/>
      <c r="I20" s="17"/>
      <c r="J20" s="17" t="s">
        <v>130</v>
      </c>
      <c r="K20" s="17"/>
      <c r="L20" s="17"/>
      <c r="M20" s="17" t="s">
        <v>524</v>
      </c>
      <c r="N20" s="17"/>
      <c r="R20" t="s">
        <v>441</v>
      </c>
      <c r="S20" t="s">
        <v>442</v>
      </c>
      <c r="T20">
        <v>82</v>
      </c>
      <c r="U20">
        <v>0</v>
      </c>
      <c r="V20">
        <v>73</v>
      </c>
      <c r="W20">
        <v>9</v>
      </c>
      <c r="X20">
        <v>1E+30</v>
      </c>
    </row>
    <row r="21" spans="1:24" ht="15.75" thickBot="1">
      <c r="A21" s="17"/>
      <c r="B21" s="16" t="s">
        <v>227</v>
      </c>
      <c r="C21" s="72">
        <v>48</v>
      </c>
      <c r="D21" s="113">
        <v>31</v>
      </c>
      <c r="E21" s="113">
        <v>39</v>
      </c>
      <c r="F21" s="113">
        <v>43</v>
      </c>
      <c r="G21" s="33">
        <v>15</v>
      </c>
      <c r="H21" s="17"/>
      <c r="I21" s="17"/>
      <c r="J21" s="73">
        <f>SUMPRODUCT(CostPerShift,NumberWorking)</f>
        <v>31222.2</v>
      </c>
      <c r="K21" s="17"/>
      <c r="L21" s="17"/>
      <c r="M21" s="17">
        <v>48</v>
      </c>
      <c r="N21" s="17">
        <v>31</v>
      </c>
      <c r="O21">
        <v>39</v>
      </c>
      <c r="P21">
        <v>43</v>
      </c>
      <c r="Q21">
        <v>15</v>
      </c>
      <c r="R21" t="s">
        <v>443</v>
      </c>
      <c r="S21" t="s">
        <v>444</v>
      </c>
      <c r="T21">
        <v>82</v>
      </c>
      <c r="U21">
        <v>178.5</v>
      </c>
      <c r="V21">
        <v>82</v>
      </c>
      <c r="W21">
        <v>1E+30</v>
      </c>
      <c r="X21">
        <v>6</v>
      </c>
    </row>
    <row r="22" spans="1:24">
      <c r="A22" s="17"/>
      <c r="B22" s="16"/>
      <c r="C22" s="17"/>
      <c r="D22" s="17"/>
      <c r="E22" s="17"/>
      <c r="F22" s="17"/>
      <c r="G22" s="17"/>
      <c r="H22" s="17"/>
      <c r="I22" s="17"/>
      <c r="J22" s="17"/>
      <c r="K22" s="17"/>
      <c r="L22" s="17"/>
      <c r="M22" s="17"/>
      <c r="N22" s="17"/>
      <c r="R22" t="s">
        <v>445</v>
      </c>
      <c r="S22" t="s">
        <v>446</v>
      </c>
      <c r="T22">
        <v>43</v>
      </c>
      <c r="U22">
        <v>5.1000000000000227</v>
      </c>
      <c r="V22">
        <v>43</v>
      </c>
      <c r="W22">
        <v>6</v>
      </c>
      <c r="X22">
        <v>6</v>
      </c>
    </row>
    <row r="23" spans="1:24">
      <c r="R23" t="s">
        <v>447</v>
      </c>
      <c r="S23" t="s">
        <v>448</v>
      </c>
      <c r="T23">
        <v>58</v>
      </c>
      <c r="U23">
        <v>0</v>
      </c>
      <c r="V23">
        <v>52</v>
      </c>
      <c r="W23">
        <v>6</v>
      </c>
      <c r="X23">
        <v>1E+30</v>
      </c>
    </row>
    <row r="24" spans="1:24">
      <c r="R24" t="s">
        <v>449</v>
      </c>
      <c r="S24" t="s">
        <v>450</v>
      </c>
      <c r="T24">
        <v>15</v>
      </c>
      <c r="U24">
        <v>198.89999999999998</v>
      </c>
      <c r="V24">
        <v>15</v>
      </c>
      <c r="W24">
        <v>1E+30</v>
      </c>
      <c r="X24">
        <v>6</v>
      </c>
    </row>
    <row r="25" spans="1:24">
      <c r="A25" t="s">
        <v>451</v>
      </c>
    </row>
    <row r="26" spans="1:24">
      <c r="A26" t="s">
        <v>452</v>
      </c>
    </row>
    <row r="27" spans="1:24">
      <c r="A27" t="s">
        <v>453</v>
      </c>
    </row>
    <row r="28" spans="1:24">
      <c r="A28" t="s">
        <v>454</v>
      </c>
    </row>
    <row r="29" spans="1:24">
      <c r="A29" t="s">
        <v>455</v>
      </c>
    </row>
    <row r="30" spans="1:24">
      <c r="A30" t="s">
        <v>457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98707-7525-4047-90C1-EA251C0C078B}">
  <dimension ref="A9:D17"/>
  <sheetViews>
    <sheetView workbookViewId="0">
      <selection activeCell="A9" sqref="A9:B13"/>
    </sheetView>
  </sheetViews>
  <sheetFormatPr defaultRowHeight="15"/>
  <sheetData>
    <row r="9" spans="1:4">
      <c r="A9" t="s">
        <v>29</v>
      </c>
      <c r="B9" t="s">
        <v>528</v>
      </c>
    </row>
    <row r="10" spans="1:4">
      <c r="A10" t="s">
        <v>254</v>
      </c>
      <c r="B10" t="s">
        <v>529</v>
      </c>
    </row>
    <row r="11" spans="1:4">
      <c r="A11" t="s">
        <v>525</v>
      </c>
      <c r="B11" t="s">
        <v>530</v>
      </c>
    </row>
    <row r="12" spans="1:4">
      <c r="A12" t="s">
        <v>526</v>
      </c>
      <c r="B12" t="s">
        <v>531</v>
      </c>
    </row>
    <row r="13" spans="1:4">
      <c r="A13" t="s">
        <v>527</v>
      </c>
      <c r="B13" t="s">
        <v>532</v>
      </c>
    </row>
    <row r="16" spans="1:4">
      <c r="D16" s="129"/>
    </row>
    <row r="17" spans="4:4">
      <c r="D17" s="129"/>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C9B08-F0E7-48D0-9EBD-0C9EA0B55F6B}">
  <dimension ref="A1:K19"/>
  <sheetViews>
    <sheetView workbookViewId="0">
      <selection activeCell="A15" sqref="A15"/>
    </sheetView>
  </sheetViews>
  <sheetFormatPr defaultRowHeight="15"/>
  <cols>
    <col min="3" max="3" width="12.5703125" customWidth="1"/>
    <col min="4" max="4" width="17.140625" customWidth="1"/>
    <col min="9" max="9" width="24.5703125" bestFit="1" customWidth="1"/>
  </cols>
  <sheetData>
    <row r="1" spans="1:11" ht="18">
      <c r="A1" s="15" t="s">
        <v>229</v>
      </c>
      <c r="B1" s="17"/>
      <c r="C1" s="17"/>
      <c r="D1" s="17"/>
      <c r="E1" s="17"/>
      <c r="F1" s="17"/>
      <c r="G1" s="17"/>
      <c r="H1" s="17"/>
      <c r="I1" s="17"/>
      <c r="J1" s="17"/>
      <c r="K1" s="17"/>
    </row>
    <row r="2" spans="1:11" ht="15.75" thickBot="1">
      <c r="A2" s="17"/>
      <c r="B2" s="17"/>
      <c r="C2" s="17"/>
      <c r="D2" s="17"/>
      <c r="E2" s="17"/>
      <c r="F2" s="17"/>
      <c r="G2" s="17"/>
      <c r="H2" s="17"/>
      <c r="I2" s="17"/>
      <c r="J2" s="17"/>
      <c r="K2" s="17"/>
    </row>
    <row r="3" spans="1:11" ht="15.75" thickBot="1">
      <c r="A3" s="17"/>
      <c r="B3" s="17"/>
      <c r="C3" s="17" t="s">
        <v>145</v>
      </c>
      <c r="D3" s="17" t="s">
        <v>230</v>
      </c>
      <c r="E3" s="17"/>
      <c r="F3" s="17"/>
      <c r="G3" s="17"/>
      <c r="H3" s="17"/>
      <c r="I3" s="18" t="s">
        <v>106</v>
      </c>
      <c r="J3" s="19" t="s">
        <v>107</v>
      </c>
      <c r="K3" s="17"/>
    </row>
    <row r="4" spans="1:11">
      <c r="A4" s="17"/>
      <c r="B4" s="16" t="s">
        <v>231</v>
      </c>
      <c r="C4" s="20">
        <v>300</v>
      </c>
      <c r="D4" s="20">
        <v>500</v>
      </c>
      <c r="E4" s="17"/>
      <c r="F4" s="17"/>
      <c r="G4" s="17"/>
      <c r="H4" s="17"/>
      <c r="I4" s="21" t="s">
        <v>232</v>
      </c>
      <c r="J4" s="22" t="s">
        <v>233</v>
      </c>
      <c r="K4" s="17"/>
    </row>
    <row r="5" spans="1:11">
      <c r="A5" s="17"/>
      <c r="B5" s="16"/>
      <c r="C5" s="17"/>
      <c r="D5" s="25"/>
      <c r="E5" s="17" t="s">
        <v>234</v>
      </c>
      <c r="F5" s="17"/>
      <c r="G5" s="17" t="s">
        <v>234</v>
      </c>
      <c r="H5" s="17"/>
      <c r="I5" s="23" t="s">
        <v>235</v>
      </c>
      <c r="J5" s="24" t="s">
        <v>236</v>
      </c>
      <c r="K5" s="17"/>
    </row>
    <row r="6" spans="1:11">
      <c r="A6" s="17"/>
      <c r="B6" s="16"/>
      <c r="C6" s="182" t="s">
        <v>237</v>
      </c>
      <c r="D6" s="182"/>
      <c r="E6" s="17" t="s">
        <v>141</v>
      </c>
      <c r="F6" s="17"/>
      <c r="G6" s="17" t="s">
        <v>142</v>
      </c>
      <c r="H6" s="17"/>
      <c r="I6" s="23" t="s">
        <v>238</v>
      </c>
      <c r="J6" s="24" t="s">
        <v>239</v>
      </c>
      <c r="K6" s="17"/>
    </row>
    <row r="7" spans="1:11">
      <c r="A7" s="17"/>
      <c r="B7" s="16" t="s">
        <v>240</v>
      </c>
      <c r="C7" s="71">
        <v>1</v>
      </c>
      <c r="D7" s="71">
        <v>0</v>
      </c>
      <c r="E7" s="17">
        <f>SUMPRODUCT(C7:D7,UnitsProduced)</f>
        <v>1.3846153846153846</v>
      </c>
      <c r="F7" s="17" t="s">
        <v>144</v>
      </c>
      <c r="G7" s="71">
        <v>4</v>
      </c>
      <c r="H7" s="17"/>
      <c r="I7" s="23" t="s">
        <v>241</v>
      </c>
      <c r="J7" s="24" t="s">
        <v>242</v>
      </c>
      <c r="K7" s="17"/>
    </row>
    <row r="8" spans="1:11">
      <c r="A8" s="17"/>
      <c r="B8" s="16" t="s">
        <v>243</v>
      </c>
      <c r="C8" s="71">
        <v>0</v>
      </c>
      <c r="D8" s="71">
        <v>2</v>
      </c>
      <c r="E8" s="17">
        <f>SUMPRODUCT(C8:D8,UnitsProduced)</f>
        <v>12</v>
      </c>
      <c r="F8" s="17" t="s">
        <v>144</v>
      </c>
      <c r="G8" s="71">
        <v>12</v>
      </c>
      <c r="H8" s="17"/>
      <c r="I8" s="23" t="s">
        <v>244</v>
      </c>
      <c r="J8" s="24" t="s">
        <v>128</v>
      </c>
      <c r="K8" s="17"/>
    </row>
    <row r="9" spans="1:11" ht="15.75" thickBot="1">
      <c r="A9" s="17"/>
      <c r="B9" s="16" t="s">
        <v>245</v>
      </c>
      <c r="C9" s="71">
        <v>3.25</v>
      </c>
      <c r="D9" s="71">
        <v>2.25</v>
      </c>
      <c r="E9" s="17">
        <f>SUMPRODUCT(C9:D9,UnitsProduced)</f>
        <v>18</v>
      </c>
      <c r="F9" s="17" t="s">
        <v>144</v>
      </c>
      <c r="G9" s="71">
        <v>18</v>
      </c>
      <c r="H9" s="17"/>
      <c r="I9" s="28" t="s">
        <v>246</v>
      </c>
      <c r="J9" s="29" t="s">
        <v>247</v>
      </c>
      <c r="K9" s="17"/>
    </row>
    <row r="10" spans="1:11">
      <c r="A10" s="17"/>
      <c r="B10" s="16"/>
      <c r="C10" s="17"/>
      <c r="D10" s="17"/>
      <c r="E10" s="17"/>
      <c r="F10" s="31"/>
      <c r="G10" s="17"/>
      <c r="H10" s="17"/>
      <c r="I10" s="17"/>
      <c r="J10" s="17"/>
      <c r="K10" s="17"/>
    </row>
    <row r="11" spans="1:11" ht="15.75" thickBot="1">
      <c r="A11" s="17"/>
      <c r="B11" s="16"/>
      <c r="C11" s="17" t="s">
        <v>145</v>
      </c>
      <c r="D11" s="17" t="s">
        <v>230</v>
      </c>
      <c r="E11" s="17"/>
      <c r="F11" s="17"/>
      <c r="G11" s="17" t="s">
        <v>148</v>
      </c>
      <c r="H11" s="17"/>
      <c r="I11" s="17"/>
      <c r="J11" s="17"/>
      <c r="K11" s="17"/>
    </row>
    <row r="12" spans="1:11" ht="15.75" thickBot="1">
      <c r="A12" s="17"/>
      <c r="B12" s="16" t="s">
        <v>248</v>
      </c>
      <c r="C12" s="130">
        <v>1.3846153846153846</v>
      </c>
      <c r="D12" s="131">
        <v>6</v>
      </c>
      <c r="E12" s="17"/>
      <c r="F12" s="17"/>
      <c r="G12" s="73">
        <f>SUMPRODUCT(UnitProfit5,UnitsProduced)</f>
        <v>3415.3846153846152</v>
      </c>
      <c r="H12" s="17"/>
      <c r="I12" s="17"/>
      <c r="J12" s="17"/>
      <c r="K12" s="17"/>
    </row>
    <row r="13" spans="1:11">
      <c r="A13" s="17"/>
      <c r="B13" s="17"/>
      <c r="C13" s="17"/>
      <c r="D13" s="17"/>
      <c r="E13" s="17"/>
      <c r="F13" s="17"/>
      <c r="G13" s="17"/>
      <c r="H13" s="17"/>
      <c r="I13" s="17"/>
      <c r="J13" s="17"/>
      <c r="K13" s="17"/>
    </row>
    <row r="14" spans="1:11">
      <c r="A14" s="17"/>
      <c r="B14" s="17"/>
      <c r="C14" s="17"/>
      <c r="D14" s="17"/>
      <c r="E14" s="17"/>
      <c r="F14" s="17"/>
      <c r="G14" s="17"/>
      <c r="H14" s="17"/>
      <c r="I14" s="17"/>
      <c r="J14" s="17"/>
      <c r="K14" s="17"/>
    </row>
    <row r="15" spans="1:11">
      <c r="A15" s="13"/>
      <c r="B15" s="17"/>
      <c r="C15" s="17"/>
      <c r="D15" s="17"/>
      <c r="E15" s="17"/>
      <c r="F15" s="17"/>
      <c r="G15" s="17"/>
      <c r="H15" s="17"/>
      <c r="I15" s="17"/>
      <c r="J15" s="17"/>
      <c r="K15" s="17"/>
    </row>
    <row r="16" spans="1:11">
      <c r="A16" s="17"/>
      <c r="B16" s="17"/>
      <c r="C16" s="17"/>
      <c r="D16" s="17"/>
      <c r="E16" s="17"/>
      <c r="F16" s="17"/>
      <c r="G16" s="17"/>
      <c r="H16" s="17"/>
      <c r="I16" s="17"/>
      <c r="J16" s="17"/>
      <c r="K16" s="17"/>
    </row>
    <row r="17" spans="1:1">
      <c r="A17" t="s">
        <v>540</v>
      </c>
    </row>
    <row r="18" spans="1:1">
      <c r="A18" t="s">
        <v>541</v>
      </c>
    </row>
    <row r="19" spans="1:1">
      <c r="A19" t="s">
        <v>542</v>
      </c>
    </row>
  </sheetData>
  <mergeCells count="1">
    <mergeCell ref="C6:D6"/>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E490C-7F99-4656-95B6-B1E63660F0AC}">
  <dimension ref="A1:K16"/>
  <sheetViews>
    <sheetView workbookViewId="0">
      <selection activeCell="A16" sqref="A16"/>
    </sheetView>
  </sheetViews>
  <sheetFormatPr defaultRowHeight="15"/>
  <cols>
    <col min="3" max="3" width="14.140625" customWidth="1"/>
    <col min="4" max="4" width="14" customWidth="1"/>
    <col min="9" max="9" width="13.7109375" customWidth="1"/>
  </cols>
  <sheetData>
    <row r="1" spans="1:11" ht="18">
      <c r="A1" s="15" t="s">
        <v>229</v>
      </c>
      <c r="B1" s="17"/>
      <c r="C1" s="17"/>
      <c r="D1" s="17"/>
      <c r="E1" s="17"/>
      <c r="F1" s="17"/>
      <c r="G1" s="17"/>
      <c r="H1" s="17"/>
      <c r="I1" s="17"/>
      <c r="J1" s="17"/>
      <c r="K1" s="17"/>
    </row>
    <row r="2" spans="1:11" ht="15.75" thickBot="1">
      <c r="A2" s="17"/>
      <c r="B2" s="17"/>
      <c r="C2" s="17"/>
      <c r="D2" s="17"/>
      <c r="E2" s="17"/>
      <c r="F2" s="17"/>
      <c r="G2" s="17"/>
      <c r="H2" s="17"/>
      <c r="I2" s="17"/>
      <c r="J2" s="17"/>
      <c r="K2" s="17"/>
    </row>
    <row r="3" spans="1:11" ht="15.75" thickBot="1">
      <c r="A3" s="17"/>
      <c r="B3" s="17"/>
      <c r="C3" s="17" t="s">
        <v>145</v>
      </c>
      <c r="D3" s="17" t="s">
        <v>230</v>
      </c>
      <c r="E3" s="17"/>
      <c r="F3" s="17"/>
      <c r="G3" s="17"/>
      <c r="H3" s="17"/>
      <c r="I3" s="18" t="s">
        <v>106</v>
      </c>
      <c r="J3" s="19" t="s">
        <v>107</v>
      </c>
      <c r="K3" s="17"/>
    </row>
    <row r="4" spans="1:11">
      <c r="A4" s="17"/>
      <c r="B4" s="16" t="s">
        <v>231</v>
      </c>
      <c r="C4" s="20">
        <v>250</v>
      </c>
      <c r="D4" s="20">
        <v>400</v>
      </c>
      <c r="E4" s="17"/>
      <c r="F4" s="17"/>
      <c r="G4" s="17"/>
      <c r="H4" s="17"/>
      <c r="I4" s="21" t="s">
        <v>232</v>
      </c>
      <c r="J4" s="22" t="s">
        <v>233</v>
      </c>
      <c r="K4" s="17"/>
    </row>
    <row r="5" spans="1:11">
      <c r="A5" s="17"/>
      <c r="B5" s="16"/>
      <c r="C5" s="17"/>
      <c r="D5" s="25"/>
      <c r="E5" s="17" t="s">
        <v>234</v>
      </c>
      <c r="F5" s="17"/>
      <c r="G5" s="17" t="s">
        <v>234</v>
      </c>
      <c r="H5" s="17"/>
      <c r="I5" s="23" t="s">
        <v>235</v>
      </c>
      <c r="J5" s="24" t="s">
        <v>236</v>
      </c>
      <c r="K5" s="17"/>
    </row>
    <row r="6" spans="1:11">
      <c r="A6" s="17"/>
      <c r="B6" s="16"/>
      <c r="C6" s="182" t="s">
        <v>237</v>
      </c>
      <c r="D6" s="182"/>
      <c r="E6" s="17" t="s">
        <v>141</v>
      </c>
      <c r="F6" s="17"/>
      <c r="G6" s="17" t="s">
        <v>142</v>
      </c>
      <c r="H6" s="17"/>
      <c r="I6" s="23" t="s">
        <v>238</v>
      </c>
      <c r="J6" s="24" t="s">
        <v>239</v>
      </c>
      <c r="K6" s="17"/>
    </row>
    <row r="7" spans="1:11">
      <c r="A7" s="17"/>
      <c r="B7" s="16" t="s">
        <v>240</v>
      </c>
      <c r="C7" s="71">
        <v>1.1000000000000001</v>
      </c>
      <c r="D7" s="71">
        <v>0</v>
      </c>
      <c r="E7" s="17">
        <f>SUMPRODUCT(C7:D7,UnitsProduced)</f>
        <v>1.8595238095238089</v>
      </c>
      <c r="F7" s="17" t="s">
        <v>144</v>
      </c>
      <c r="G7" s="71">
        <v>3.5</v>
      </c>
      <c r="H7" s="17"/>
      <c r="I7" s="23" t="s">
        <v>241</v>
      </c>
      <c r="J7" s="24" t="s">
        <v>242</v>
      </c>
      <c r="K7" s="17"/>
    </row>
    <row r="8" spans="1:11">
      <c r="A8" s="17"/>
      <c r="B8" s="16" t="s">
        <v>243</v>
      </c>
      <c r="C8" s="71">
        <v>0</v>
      </c>
      <c r="D8" s="71">
        <v>2.4</v>
      </c>
      <c r="E8" s="17">
        <f>SUMPRODUCT(C8:D8,UnitsProduced)</f>
        <v>11.000000000000002</v>
      </c>
      <c r="F8" s="17" t="s">
        <v>144</v>
      </c>
      <c r="G8" s="71">
        <v>11</v>
      </c>
      <c r="H8" s="17"/>
      <c r="I8" s="23" t="s">
        <v>244</v>
      </c>
      <c r="J8" s="24" t="s">
        <v>128</v>
      </c>
      <c r="K8" s="17"/>
    </row>
    <row r="9" spans="1:11" ht="15.75" thickBot="1">
      <c r="A9" s="17"/>
      <c r="B9" s="16" t="s">
        <v>245</v>
      </c>
      <c r="C9" s="71">
        <v>3.5</v>
      </c>
      <c r="D9" s="71">
        <v>2.2000000000000002</v>
      </c>
      <c r="E9" s="17">
        <f>SUMPRODUCT(C9:D9,UnitsProduced)</f>
        <v>16</v>
      </c>
      <c r="F9" s="17" t="s">
        <v>144</v>
      </c>
      <c r="G9" s="71">
        <v>16</v>
      </c>
      <c r="H9" s="17"/>
      <c r="I9" s="28" t="s">
        <v>246</v>
      </c>
      <c r="J9" s="29" t="s">
        <v>247</v>
      </c>
      <c r="K9" s="17"/>
    </row>
    <row r="10" spans="1:11">
      <c r="A10" s="17"/>
      <c r="B10" s="16"/>
      <c r="C10" s="17"/>
      <c r="D10" s="17"/>
      <c r="E10" s="17"/>
      <c r="F10" s="31"/>
      <c r="G10" s="17"/>
      <c r="H10" s="17"/>
      <c r="I10" s="17"/>
      <c r="J10" s="17"/>
      <c r="K10" s="17"/>
    </row>
    <row r="11" spans="1:11" ht="15.75" thickBot="1">
      <c r="A11" s="17"/>
      <c r="B11" s="16"/>
      <c r="C11" s="17" t="s">
        <v>145</v>
      </c>
      <c r="D11" s="17" t="s">
        <v>230</v>
      </c>
      <c r="E11" s="17"/>
      <c r="F11" s="17"/>
      <c r="G11" s="17" t="s">
        <v>148</v>
      </c>
      <c r="H11" s="17"/>
      <c r="I11" s="17"/>
      <c r="J11" s="17"/>
      <c r="K11" s="17"/>
    </row>
    <row r="12" spans="1:11" ht="15.75" thickBot="1">
      <c r="A12" s="17"/>
      <c r="B12" s="16" t="s">
        <v>248</v>
      </c>
      <c r="C12" s="130">
        <v>1.6904761904761898</v>
      </c>
      <c r="D12" s="131">
        <v>4.5833333333333339</v>
      </c>
      <c r="E12" s="17"/>
      <c r="F12" s="17"/>
      <c r="G12" s="73">
        <f>SUMPRODUCT(UnitProfit5,UnitsProduced)</f>
        <v>2798.8095238095239</v>
      </c>
      <c r="H12" s="17"/>
      <c r="I12" s="17"/>
      <c r="J12" s="17"/>
      <c r="K12" s="17"/>
    </row>
    <row r="16" spans="1:11">
      <c r="A16" t="s">
        <v>543</v>
      </c>
    </row>
  </sheetData>
  <mergeCells count="1">
    <mergeCell ref="C6:D6"/>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863CC-0F19-4F92-9E61-605F666D1A0F}">
  <dimension ref="A1:K26"/>
  <sheetViews>
    <sheetView topLeftCell="A2" zoomScale="130" zoomScaleNormal="130" workbookViewId="0">
      <selection activeCell="H24" sqref="H24"/>
    </sheetView>
  </sheetViews>
  <sheetFormatPr defaultRowHeight="15"/>
  <cols>
    <col min="2" max="3" width="9.140625" style="38"/>
    <col min="4" max="4" width="11.28515625" style="38" bestFit="1" customWidth="1"/>
    <col min="5" max="5" width="9.140625" style="38"/>
    <col min="6" max="6" width="15.85546875" style="38" bestFit="1" customWidth="1"/>
    <col min="7" max="8" width="9.140625" style="38"/>
    <col min="10" max="11" width="9.140625" style="38"/>
  </cols>
  <sheetData>
    <row r="1" spans="1:11">
      <c r="A1" t="s">
        <v>544</v>
      </c>
    </row>
    <row r="3" spans="1:11">
      <c r="F3" s="38" t="s">
        <v>548</v>
      </c>
      <c r="I3" t="s">
        <v>558</v>
      </c>
    </row>
    <row r="4" spans="1:11">
      <c r="B4" s="38" t="s">
        <v>545</v>
      </c>
      <c r="C4" s="38" t="s">
        <v>546</v>
      </c>
      <c r="D4" s="38" t="s">
        <v>547</v>
      </c>
      <c r="F4" s="38" t="s">
        <v>549</v>
      </c>
      <c r="H4" s="38" t="s">
        <v>557</v>
      </c>
      <c r="I4" s="38" t="s">
        <v>549</v>
      </c>
      <c r="K4" s="38" t="s">
        <v>559</v>
      </c>
    </row>
    <row r="5" spans="1:11">
      <c r="B5" s="38" t="s">
        <v>550</v>
      </c>
      <c r="C5" s="38" t="s">
        <v>551</v>
      </c>
      <c r="D5" s="115">
        <v>13</v>
      </c>
      <c r="E5" s="38" t="s">
        <v>144</v>
      </c>
      <c r="F5" s="41">
        <v>13</v>
      </c>
      <c r="H5" s="38" t="s">
        <v>550</v>
      </c>
      <c r="I5">
        <f t="shared" ref="I5:I11" si="0">SUMIF(From,H5,Flow)-SUMIF(To,H5,Flow)</f>
        <v>27</v>
      </c>
    </row>
    <row r="6" spans="1:11">
      <c r="B6" s="38" t="s">
        <v>550</v>
      </c>
      <c r="C6" s="38" t="s">
        <v>552</v>
      </c>
      <c r="D6" s="115">
        <v>6</v>
      </c>
      <c r="E6" s="38" t="s">
        <v>144</v>
      </c>
      <c r="F6" s="41">
        <v>6</v>
      </c>
      <c r="H6" s="38" t="s">
        <v>551</v>
      </c>
      <c r="I6">
        <f t="shared" si="0"/>
        <v>0</v>
      </c>
      <c r="J6" s="38" t="s">
        <v>270</v>
      </c>
      <c r="K6" s="41">
        <v>0</v>
      </c>
    </row>
    <row r="7" spans="1:11">
      <c r="B7" s="38" t="s">
        <v>550</v>
      </c>
      <c r="C7" s="38" t="s">
        <v>553</v>
      </c>
      <c r="D7" s="115">
        <v>8</v>
      </c>
      <c r="E7" s="38" t="s">
        <v>144</v>
      </c>
      <c r="F7" s="41">
        <v>10</v>
      </c>
      <c r="H7" s="38" t="s">
        <v>552</v>
      </c>
      <c r="I7">
        <f t="shared" si="0"/>
        <v>0</v>
      </c>
      <c r="J7" s="38" t="s">
        <v>270</v>
      </c>
      <c r="K7" s="41">
        <v>0</v>
      </c>
    </row>
    <row r="8" spans="1:11">
      <c r="B8" s="38" t="s">
        <v>551</v>
      </c>
      <c r="C8" s="38" t="s">
        <v>553</v>
      </c>
      <c r="D8" s="115">
        <v>1</v>
      </c>
      <c r="E8" s="38" t="s">
        <v>144</v>
      </c>
      <c r="F8" s="41">
        <v>9</v>
      </c>
      <c r="H8" s="38" t="s">
        <v>553</v>
      </c>
      <c r="I8">
        <f t="shared" si="0"/>
        <v>0</v>
      </c>
      <c r="J8" s="38" t="s">
        <v>270</v>
      </c>
      <c r="K8" s="41">
        <v>0</v>
      </c>
    </row>
    <row r="9" spans="1:11">
      <c r="B9" s="38" t="s">
        <v>551</v>
      </c>
      <c r="C9" s="38" t="s">
        <v>554</v>
      </c>
      <c r="D9" s="115">
        <v>5</v>
      </c>
      <c r="E9" s="38" t="s">
        <v>144</v>
      </c>
      <c r="F9" s="41">
        <v>5</v>
      </c>
      <c r="H9" s="38" t="s">
        <v>554</v>
      </c>
      <c r="I9">
        <f t="shared" si="0"/>
        <v>0</v>
      </c>
      <c r="J9" s="38" t="s">
        <v>270</v>
      </c>
      <c r="K9" s="41">
        <v>0</v>
      </c>
    </row>
    <row r="10" spans="1:11">
      <c r="B10" s="38" t="s">
        <v>551</v>
      </c>
      <c r="C10" s="38" t="s">
        <v>555</v>
      </c>
      <c r="D10" s="115">
        <v>7</v>
      </c>
      <c r="E10" s="38" t="s">
        <v>144</v>
      </c>
      <c r="F10" s="41">
        <v>7</v>
      </c>
      <c r="H10" s="38" t="s">
        <v>555</v>
      </c>
      <c r="I10">
        <f t="shared" si="0"/>
        <v>0</v>
      </c>
      <c r="J10" s="38" t="s">
        <v>270</v>
      </c>
      <c r="K10" s="41">
        <v>0</v>
      </c>
    </row>
    <row r="11" spans="1:11">
      <c r="B11" s="38" t="s">
        <v>552</v>
      </c>
      <c r="C11" s="38" t="s">
        <v>553</v>
      </c>
      <c r="D11" s="115">
        <v>6</v>
      </c>
      <c r="E11" s="38" t="s">
        <v>144</v>
      </c>
      <c r="F11" s="41">
        <v>8</v>
      </c>
      <c r="H11" s="38" t="s">
        <v>556</v>
      </c>
      <c r="I11">
        <f t="shared" si="0"/>
        <v>-27</v>
      </c>
    </row>
    <row r="12" spans="1:11">
      <c r="B12" s="38" t="s">
        <v>553</v>
      </c>
      <c r="C12" s="38" t="s">
        <v>554</v>
      </c>
      <c r="D12" s="115">
        <v>3</v>
      </c>
      <c r="E12" s="38" t="s">
        <v>144</v>
      </c>
      <c r="F12" s="41">
        <v>3</v>
      </c>
    </row>
    <row r="13" spans="1:11">
      <c r="B13" s="38" t="s">
        <v>553</v>
      </c>
      <c r="C13" s="38" t="s">
        <v>556</v>
      </c>
      <c r="D13" s="115">
        <v>12</v>
      </c>
      <c r="E13" s="38" t="s">
        <v>144</v>
      </c>
      <c r="F13" s="41">
        <v>12</v>
      </c>
    </row>
    <row r="14" spans="1:11">
      <c r="B14" s="38" t="s">
        <v>554</v>
      </c>
      <c r="C14" s="38" t="s">
        <v>555</v>
      </c>
      <c r="D14" s="115">
        <v>2</v>
      </c>
      <c r="E14" s="38" t="s">
        <v>144</v>
      </c>
      <c r="F14" s="41">
        <v>4</v>
      </c>
    </row>
    <row r="15" spans="1:11">
      <c r="B15" s="38" t="s">
        <v>554</v>
      </c>
      <c r="C15" s="38" t="s">
        <v>556</v>
      </c>
      <c r="D15" s="115">
        <v>6</v>
      </c>
      <c r="E15" s="38" t="s">
        <v>144</v>
      </c>
      <c r="F15" s="41">
        <v>6</v>
      </c>
    </row>
    <row r="16" spans="1:11">
      <c r="B16" s="38" t="s">
        <v>555</v>
      </c>
      <c r="C16" s="38" t="s">
        <v>556</v>
      </c>
      <c r="D16" s="115">
        <v>9</v>
      </c>
      <c r="E16" s="38" t="s">
        <v>144</v>
      </c>
      <c r="F16" s="41">
        <v>9</v>
      </c>
    </row>
    <row r="18" spans="1:4">
      <c r="C18" s="38" t="s">
        <v>560</v>
      </c>
      <c r="D18" s="132">
        <f>I5</f>
        <v>27</v>
      </c>
    </row>
    <row r="25" spans="1:4">
      <c r="A25" t="s">
        <v>561</v>
      </c>
    </row>
    <row r="26" spans="1:4">
      <c r="A26" t="s">
        <v>568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321E2-A35E-434B-95AC-FD31C4DE91D5}">
  <dimension ref="A1:Q1048576"/>
  <sheetViews>
    <sheetView zoomScale="130" zoomScaleNormal="130" workbookViewId="0">
      <selection sqref="A1:R23"/>
    </sheetView>
  </sheetViews>
  <sheetFormatPr defaultRowHeight="15"/>
  <cols>
    <col min="2" max="3" width="9.140625" style="38"/>
    <col min="4" max="4" width="11.28515625" style="38" bestFit="1" customWidth="1"/>
    <col min="5" max="7" width="9.140625" style="38"/>
    <col min="8" max="8" width="15.85546875" style="38" bestFit="1" customWidth="1"/>
    <col min="9" max="13" width="10.85546875" style="38" customWidth="1"/>
    <col min="14" max="14" width="9.140625" style="38"/>
    <col min="16" max="17" width="9.140625" style="38"/>
  </cols>
  <sheetData>
    <row r="1" spans="1:17">
      <c r="A1" t="s">
        <v>544</v>
      </c>
    </row>
    <row r="3" spans="1:17">
      <c r="F3" s="38" t="s">
        <v>567</v>
      </c>
      <c r="H3" s="38" t="s">
        <v>548</v>
      </c>
      <c r="I3" s="38" t="s">
        <v>563</v>
      </c>
      <c r="K3" s="38" t="s">
        <v>564</v>
      </c>
      <c r="L3" s="38" t="s">
        <v>565</v>
      </c>
      <c r="O3" t="s">
        <v>558</v>
      </c>
    </row>
    <row r="4" spans="1:17">
      <c r="B4" s="38" t="s">
        <v>545</v>
      </c>
      <c r="C4" s="38" t="s">
        <v>546</v>
      </c>
      <c r="D4" s="38" t="s">
        <v>547</v>
      </c>
      <c r="H4" s="38" t="s">
        <v>549</v>
      </c>
      <c r="I4" s="38" t="s">
        <v>562</v>
      </c>
      <c r="K4" s="38" t="s">
        <v>549</v>
      </c>
      <c r="L4" s="38" t="s">
        <v>549</v>
      </c>
      <c r="N4" s="38" t="s">
        <v>557</v>
      </c>
      <c r="O4" s="38" t="s">
        <v>549</v>
      </c>
      <c r="Q4" s="38" t="s">
        <v>559</v>
      </c>
    </row>
    <row r="5" spans="1:17">
      <c r="B5" s="38" t="s">
        <v>550</v>
      </c>
      <c r="C5" s="38" t="s">
        <v>551</v>
      </c>
      <c r="D5" s="115">
        <v>17</v>
      </c>
      <c r="E5" s="38" t="s">
        <v>144</v>
      </c>
      <c r="F5" s="38">
        <f>SUM(H5:I5)</f>
        <v>17</v>
      </c>
      <c r="H5" s="41">
        <v>13</v>
      </c>
      <c r="I5" s="115">
        <v>4</v>
      </c>
      <c r="J5" s="38" t="s">
        <v>144</v>
      </c>
      <c r="K5" s="41">
        <v>6</v>
      </c>
      <c r="L5" s="41">
        <v>2.8</v>
      </c>
      <c r="N5" s="38" t="s">
        <v>550</v>
      </c>
      <c r="O5">
        <f t="shared" ref="O5:O11" si="0">SUMIF(From,N5,Flow)-SUMIF(To,N5,Flow)</f>
        <v>35</v>
      </c>
      <c r="P5" s="38" t="s">
        <v>123</v>
      </c>
      <c r="Q5" s="38">
        <v>35</v>
      </c>
    </row>
    <row r="6" spans="1:17">
      <c r="B6" s="38" t="s">
        <v>550</v>
      </c>
      <c r="C6" s="38" t="s">
        <v>552</v>
      </c>
      <c r="D6" s="115">
        <v>8</v>
      </c>
      <c r="E6" s="38" t="s">
        <v>144</v>
      </c>
      <c r="F6" s="38">
        <f t="shared" ref="F6:F16" si="1">SUM(H6:I6)</f>
        <v>8</v>
      </c>
      <c r="H6" s="41">
        <v>6</v>
      </c>
      <c r="I6" s="115">
        <v>2</v>
      </c>
      <c r="J6" s="38" t="s">
        <v>144</v>
      </c>
      <c r="K6" s="41">
        <v>4</v>
      </c>
      <c r="L6" s="41">
        <v>2.5</v>
      </c>
      <c r="N6" s="38" t="s">
        <v>551</v>
      </c>
      <c r="O6">
        <f t="shared" si="0"/>
        <v>0</v>
      </c>
      <c r="P6" s="38" t="s">
        <v>270</v>
      </c>
      <c r="Q6" s="41">
        <v>0</v>
      </c>
    </row>
    <row r="7" spans="1:17">
      <c r="B7" s="38" t="s">
        <v>550</v>
      </c>
      <c r="C7" s="38" t="s">
        <v>553</v>
      </c>
      <c r="D7" s="115">
        <v>10</v>
      </c>
      <c r="E7" s="38" t="s">
        <v>144</v>
      </c>
      <c r="F7" s="38">
        <f t="shared" si="1"/>
        <v>10</v>
      </c>
      <c r="H7" s="41">
        <v>10</v>
      </c>
      <c r="I7" s="115">
        <v>0</v>
      </c>
      <c r="J7" s="38" t="s">
        <v>144</v>
      </c>
      <c r="K7" s="41">
        <v>3</v>
      </c>
      <c r="L7" s="41">
        <v>2.8</v>
      </c>
      <c r="N7" s="38" t="s">
        <v>552</v>
      </c>
      <c r="O7">
        <f t="shared" si="0"/>
        <v>0</v>
      </c>
      <c r="P7" s="38" t="s">
        <v>270</v>
      </c>
      <c r="Q7" s="41">
        <v>0</v>
      </c>
    </row>
    <row r="8" spans="1:17">
      <c r="B8" s="38" t="s">
        <v>551</v>
      </c>
      <c r="C8" s="38" t="s">
        <v>553</v>
      </c>
      <c r="D8" s="115">
        <v>2</v>
      </c>
      <c r="E8" s="38" t="s">
        <v>144</v>
      </c>
      <c r="F8" s="38">
        <f t="shared" si="1"/>
        <v>9</v>
      </c>
      <c r="H8" s="41">
        <v>9</v>
      </c>
      <c r="I8" s="115">
        <v>0</v>
      </c>
      <c r="J8" s="38" t="s">
        <v>144</v>
      </c>
      <c r="K8" s="41">
        <v>4</v>
      </c>
      <c r="L8" s="41">
        <v>2.5</v>
      </c>
      <c r="N8" s="38" t="s">
        <v>553</v>
      </c>
      <c r="O8">
        <f t="shared" si="0"/>
        <v>0</v>
      </c>
      <c r="P8" s="38" t="s">
        <v>270</v>
      </c>
      <c r="Q8" s="41">
        <v>0</v>
      </c>
    </row>
    <row r="9" spans="1:17">
      <c r="B9" s="38" t="s">
        <v>551</v>
      </c>
      <c r="C9" s="38" t="s">
        <v>554</v>
      </c>
      <c r="D9" s="115">
        <v>5</v>
      </c>
      <c r="E9" s="38" t="s">
        <v>144</v>
      </c>
      <c r="F9" s="38">
        <f t="shared" si="1"/>
        <v>5</v>
      </c>
      <c r="H9" s="41">
        <v>5</v>
      </c>
      <c r="I9" s="115">
        <v>0</v>
      </c>
      <c r="J9" s="38" t="s">
        <v>144</v>
      </c>
      <c r="K9" s="41">
        <v>5</v>
      </c>
      <c r="L9" s="41">
        <v>3.1</v>
      </c>
      <c r="N9" s="38" t="s">
        <v>554</v>
      </c>
      <c r="O9">
        <f t="shared" si="0"/>
        <v>0</v>
      </c>
      <c r="P9" s="38" t="s">
        <v>270</v>
      </c>
      <c r="Q9" s="41">
        <v>0</v>
      </c>
    </row>
    <row r="10" spans="1:17">
      <c r="B10" s="38" t="s">
        <v>551</v>
      </c>
      <c r="C10" s="38" t="s">
        <v>555</v>
      </c>
      <c r="D10" s="115">
        <v>10</v>
      </c>
      <c r="E10" s="38" t="s">
        <v>144</v>
      </c>
      <c r="F10" s="38">
        <f t="shared" si="1"/>
        <v>10</v>
      </c>
      <c r="H10" s="41">
        <v>7</v>
      </c>
      <c r="I10" s="115">
        <v>3</v>
      </c>
      <c r="J10" s="38" t="s">
        <v>144</v>
      </c>
      <c r="K10" s="41">
        <v>3</v>
      </c>
      <c r="L10" s="41">
        <v>1.6</v>
      </c>
      <c r="N10" s="38" t="s">
        <v>555</v>
      </c>
      <c r="O10">
        <f t="shared" si="0"/>
        <v>0</v>
      </c>
      <c r="P10" s="38" t="s">
        <v>270</v>
      </c>
      <c r="Q10" s="41">
        <v>0</v>
      </c>
    </row>
    <row r="11" spans="1:17">
      <c r="B11" s="38" t="s">
        <v>552</v>
      </c>
      <c r="C11" s="38" t="s">
        <v>553</v>
      </c>
      <c r="D11" s="115">
        <v>8</v>
      </c>
      <c r="E11" s="38" t="s">
        <v>144</v>
      </c>
      <c r="F11" s="38">
        <f t="shared" si="1"/>
        <v>8</v>
      </c>
      <c r="H11" s="41">
        <v>8</v>
      </c>
      <c r="I11" s="115">
        <v>0</v>
      </c>
      <c r="J11" s="38" t="s">
        <v>144</v>
      </c>
      <c r="K11" s="41">
        <v>5</v>
      </c>
      <c r="L11" s="41">
        <v>3.9</v>
      </c>
      <c r="N11" s="38" t="s">
        <v>556</v>
      </c>
      <c r="O11">
        <f t="shared" si="0"/>
        <v>-35</v>
      </c>
    </row>
    <row r="12" spans="1:17">
      <c r="B12" s="38" t="s">
        <v>553</v>
      </c>
      <c r="C12" s="38" t="s">
        <v>554</v>
      </c>
      <c r="D12" s="115">
        <v>3</v>
      </c>
      <c r="E12" s="38" t="s">
        <v>144</v>
      </c>
      <c r="F12" s="38">
        <f t="shared" si="1"/>
        <v>3</v>
      </c>
      <c r="H12" s="41">
        <v>3</v>
      </c>
      <c r="I12" s="115">
        <v>0</v>
      </c>
      <c r="J12" s="38" t="s">
        <v>144</v>
      </c>
      <c r="K12" s="41">
        <v>2</v>
      </c>
      <c r="L12" s="41">
        <v>2.8</v>
      </c>
    </row>
    <row r="13" spans="1:17">
      <c r="B13" s="38" t="s">
        <v>553</v>
      </c>
      <c r="C13" s="38" t="s">
        <v>556</v>
      </c>
      <c r="D13" s="115">
        <v>17</v>
      </c>
      <c r="E13" s="38" t="s">
        <v>144</v>
      </c>
      <c r="F13" s="38">
        <f t="shared" si="1"/>
        <v>17</v>
      </c>
      <c r="H13" s="41">
        <v>12</v>
      </c>
      <c r="I13" s="115">
        <v>5</v>
      </c>
      <c r="J13" s="38" t="s">
        <v>144</v>
      </c>
      <c r="K13" s="41">
        <v>5</v>
      </c>
      <c r="L13" s="41">
        <v>1.6</v>
      </c>
    </row>
    <row r="14" spans="1:17">
      <c r="B14" s="38" t="s">
        <v>554</v>
      </c>
      <c r="C14" s="38" t="s">
        <v>555</v>
      </c>
      <c r="D14" s="115">
        <v>2</v>
      </c>
      <c r="E14" s="38" t="s">
        <v>144</v>
      </c>
      <c r="F14" s="38">
        <f t="shared" si="1"/>
        <v>4</v>
      </c>
      <c r="H14" s="41">
        <v>4</v>
      </c>
      <c r="I14" s="115">
        <v>0</v>
      </c>
      <c r="J14" s="38" t="s">
        <v>144</v>
      </c>
      <c r="K14" s="41">
        <v>2</v>
      </c>
      <c r="L14" s="41">
        <v>4.5999999999999996</v>
      </c>
    </row>
    <row r="15" spans="1:17">
      <c r="B15" s="38" t="s">
        <v>554</v>
      </c>
      <c r="C15" s="38" t="s">
        <v>556</v>
      </c>
      <c r="D15" s="115">
        <v>6</v>
      </c>
      <c r="E15" s="38" t="s">
        <v>144</v>
      </c>
      <c r="F15" s="38">
        <f t="shared" si="1"/>
        <v>6</v>
      </c>
      <c r="H15" s="41">
        <v>6</v>
      </c>
      <c r="I15" s="115">
        <v>0</v>
      </c>
      <c r="J15" s="38" t="s">
        <v>144</v>
      </c>
      <c r="K15" s="41">
        <v>4</v>
      </c>
      <c r="L15" s="41">
        <v>2.9</v>
      </c>
      <c r="O15" t="s">
        <v>566</v>
      </c>
    </row>
    <row r="16" spans="1:17">
      <c r="B16" s="38" t="s">
        <v>555</v>
      </c>
      <c r="C16" s="38" t="s">
        <v>556</v>
      </c>
      <c r="D16" s="115">
        <v>12</v>
      </c>
      <c r="E16" s="38" t="s">
        <v>144</v>
      </c>
      <c r="F16" s="38">
        <f t="shared" si="1"/>
        <v>12</v>
      </c>
      <c r="H16" s="41">
        <v>9</v>
      </c>
      <c r="I16" s="115">
        <v>3</v>
      </c>
      <c r="J16" s="38" t="s">
        <v>144</v>
      </c>
      <c r="K16" s="41">
        <v>5</v>
      </c>
      <c r="L16" s="41">
        <v>1.6</v>
      </c>
      <c r="O16" s="133">
        <f>SUMPRODUCT(AddedCapacity,CostForAdded)</f>
        <v>33.799999999999997</v>
      </c>
    </row>
    <row r="1048576" spans="10:10">
      <c r="J1048576" s="38" t="s">
        <v>144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20424-45B7-476F-8611-EB9D87CF64C6}">
  <dimension ref="A1:K27"/>
  <sheetViews>
    <sheetView workbookViewId="0">
      <selection activeCell="R19" sqref="R19"/>
    </sheetView>
  </sheetViews>
  <sheetFormatPr defaultRowHeight="15"/>
  <sheetData>
    <row r="1" spans="1:11">
      <c r="A1" s="38" t="s">
        <v>545</v>
      </c>
      <c r="B1" s="38" t="s">
        <v>546</v>
      </c>
      <c r="C1" s="38" t="s">
        <v>576</v>
      </c>
      <c r="D1" s="38" t="s">
        <v>577</v>
      </c>
      <c r="E1" s="38" t="s">
        <v>578</v>
      </c>
      <c r="F1" s="38"/>
      <c r="G1" s="38"/>
      <c r="H1" s="38" t="s">
        <v>579</v>
      </c>
      <c r="I1" s="38" t="s">
        <v>558</v>
      </c>
      <c r="J1" s="38"/>
      <c r="K1" s="38" t="s">
        <v>559</v>
      </c>
    </row>
    <row r="2" spans="1:11">
      <c r="A2" s="38" t="s">
        <v>580</v>
      </c>
      <c r="B2" s="38" t="s">
        <v>581</v>
      </c>
      <c r="C2" s="66">
        <v>0</v>
      </c>
      <c r="D2" s="134">
        <v>6200</v>
      </c>
      <c r="E2" s="135">
        <f>D2/$I$16</f>
        <v>9.6333126165320078</v>
      </c>
      <c r="F2" s="38"/>
      <c r="G2" s="38"/>
      <c r="H2" s="38" t="s">
        <v>580</v>
      </c>
      <c r="I2" s="38">
        <f t="shared" ref="I2:I9" si="0">SUMIF(From1,H2,OnRoute)-SUMIF(ToBeShipped,H2,OnRoute)</f>
        <v>0</v>
      </c>
      <c r="J2" s="38" t="s">
        <v>270</v>
      </c>
      <c r="K2" s="136">
        <v>0</v>
      </c>
    </row>
    <row r="3" spans="1:11">
      <c r="A3" s="38" t="s">
        <v>580</v>
      </c>
      <c r="B3" s="38" t="s">
        <v>582</v>
      </c>
      <c r="C3" s="66">
        <v>0</v>
      </c>
      <c r="D3" s="134">
        <v>7250</v>
      </c>
      <c r="E3" s="135">
        <f t="shared" ref="E3:E16" si="1">D3/$I$16</f>
        <v>11.264760720944686</v>
      </c>
      <c r="F3" s="38"/>
      <c r="G3" s="38"/>
      <c r="H3" s="38" t="s">
        <v>583</v>
      </c>
      <c r="I3" s="38">
        <f t="shared" si="0"/>
        <v>1</v>
      </c>
      <c r="J3" s="38" t="s">
        <v>270</v>
      </c>
      <c r="K3" s="136">
        <v>1</v>
      </c>
    </row>
    <row r="4" spans="1:11">
      <c r="A4" s="38" t="s">
        <v>580</v>
      </c>
      <c r="B4" s="38" t="s">
        <v>584</v>
      </c>
      <c r="C4" s="66">
        <v>0</v>
      </c>
      <c r="D4" s="134">
        <v>8300</v>
      </c>
      <c r="E4" s="135">
        <f t="shared" si="1"/>
        <v>12.896208825357364</v>
      </c>
      <c r="F4" s="38"/>
      <c r="G4" s="38"/>
      <c r="H4" s="38" t="s">
        <v>581</v>
      </c>
      <c r="I4" s="38">
        <f t="shared" si="0"/>
        <v>0</v>
      </c>
      <c r="J4" s="38" t="s">
        <v>270</v>
      </c>
      <c r="K4" s="136">
        <v>0</v>
      </c>
    </row>
    <row r="5" spans="1:11">
      <c r="A5" s="38" t="s">
        <v>583</v>
      </c>
      <c r="B5" s="38" t="s">
        <v>581</v>
      </c>
      <c r="C5" s="66">
        <v>1</v>
      </c>
      <c r="D5" s="134">
        <v>7900</v>
      </c>
      <c r="E5" s="135">
        <f t="shared" si="1"/>
        <v>12.274704785581106</v>
      </c>
      <c r="F5" s="38"/>
      <c r="G5" s="38"/>
      <c r="H5" s="38" t="s">
        <v>582</v>
      </c>
      <c r="I5" s="38">
        <f t="shared" si="0"/>
        <v>0</v>
      </c>
      <c r="J5" s="38" t="s">
        <v>270</v>
      </c>
      <c r="K5" s="136">
        <v>0</v>
      </c>
    </row>
    <row r="6" spans="1:11">
      <c r="A6" s="38" t="s">
        <v>583</v>
      </c>
      <c r="B6" s="38" t="s">
        <v>582</v>
      </c>
      <c r="C6" s="66">
        <v>0</v>
      </c>
      <c r="D6" s="134">
        <v>9200</v>
      </c>
      <c r="E6" s="135">
        <f t="shared" si="1"/>
        <v>14.294592914853945</v>
      </c>
      <c r="F6" s="38"/>
      <c r="G6" s="38"/>
      <c r="H6" s="38" t="s">
        <v>584</v>
      </c>
      <c r="I6" s="38">
        <f t="shared" si="0"/>
        <v>0</v>
      </c>
      <c r="J6" s="38" t="s">
        <v>270</v>
      </c>
      <c r="K6" s="136">
        <v>0</v>
      </c>
    </row>
    <row r="7" spans="1:11">
      <c r="A7" s="38" t="s">
        <v>583</v>
      </c>
      <c r="B7" s="38" t="s">
        <v>584</v>
      </c>
      <c r="C7" s="66">
        <v>0</v>
      </c>
      <c r="D7" s="134">
        <v>10100</v>
      </c>
      <c r="E7" s="135">
        <f t="shared" si="1"/>
        <v>15.692977004350528</v>
      </c>
      <c r="F7" s="38"/>
      <c r="G7" s="38"/>
      <c r="H7" s="38" t="s">
        <v>585</v>
      </c>
      <c r="I7" s="38">
        <f t="shared" si="0"/>
        <v>0</v>
      </c>
      <c r="J7" s="38" t="s">
        <v>270</v>
      </c>
      <c r="K7" s="136">
        <v>0</v>
      </c>
    </row>
    <row r="8" spans="1:11">
      <c r="A8" s="38" t="s">
        <v>581</v>
      </c>
      <c r="B8" s="38" t="s">
        <v>585</v>
      </c>
      <c r="C8" s="66">
        <v>0</v>
      </c>
      <c r="D8" s="134">
        <v>1980</v>
      </c>
      <c r="E8" s="135">
        <f t="shared" si="1"/>
        <v>3.0764449968924796</v>
      </c>
      <c r="F8" s="38"/>
      <c r="G8" s="38"/>
      <c r="H8" s="38" t="s">
        <v>586</v>
      </c>
      <c r="I8" s="38">
        <f t="shared" si="0"/>
        <v>0</v>
      </c>
      <c r="J8" s="38" t="s">
        <v>270</v>
      </c>
      <c r="K8" s="136">
        <v>0</v>
      </c>
    </row>
    <row r="9" spans="1:11">
      <c r="A9" s="38" t="s">
        <v>581</v>
      </c>
      <c r="B9" s="38" t="s">
        <v>586</v>
      </c>
      <c r="C9" s="66">
        <v>0</v>
      </c>
      <c r="D9" s="134">
        <v>2300</v>
      </c>
      <c r="E9" s="135">
        <f t="shared" si="1"/>
        <v>3.5736482287134863</v>
      </c>
      <c r="F9" s="38"/>
      <c r="G9" s="38"/>
      <c r="H9" s="38" t="s">
        <v>587</v>
      </c>
      <c r="I9" s="38">
        <f t="shared" si="0"/>
        <v>-1</v>
      </c>
      <c r="J9" s="38" t="s">
        <v>270</v>
      </c>
      <c r="K9" s="136">
        <v>-1</v>
      </c>
    </row>
    <row r="10" spans="1:11">
      <c r="A10" s="38" t="s">
        <v>581</v>
      </c>
      <c r="B10" s="38" t="s">
        <v>587</v>
      </c>
      <c r="C10" s="66">
        <v>1</v>
      </c>
      <c r="D10" s="134">
        <v>2860</v>
      </c>
      <c r="E10" s="135">
        <f t="shared" si="1"/>
        <v>4.4437538844002482</v>
      </c>
      <c r="F10" s="38"/>
      <c r="G10" s="38"/>
      <c r="H10" s="38"/>
      <c r="I10" s="38"/>
      <c r="J10" s="38"/>
      <c r="K10" s="38"/>
    </row>
    <row r="11" spans="1:11">
      <c r="A11" s="38" t="s">
        <v>582</v>
      </c>
      <c r="B11" s="38" t="s">
        <v>585</v>
      </c>
      <c r="C11" s="66">
        <v>0</v>
      </c>
      <c r="D11" s="134">
        <v>1280</v>
      </c>
      <c r="E11" s="135">
        <f t="shared" si="1"/>
        <v>1.9888129272840274</v>
      </c>
      <c r="F11" s="38"/>
      <c r="G11" s="38"/>
      <c r="H11" s="38"/>
      <c r="I11" s="38"/>
      <c r="J11" s="38"/>
      <c r="K11" s="38"/>
    </row>
    <row r="12" spans="1:11">
      <c r="A12" s="38" t="s">
        <v>582</v>
      </c>
      <c r="B12" s="38" t="s">
        <v>586</v>
      </c>
      <c r="C12" s="66">
        <v>0</v>
      </c>
      <c r="D12" s="134">
        <v>1600</v>
      </c>
      <c r="E12" s="135">
        <f t="shared" si="1"/>
        <v>2.4860161591050343</v>
      </c>
      <c r="F12" s="38"/>
      <c r="G12" s="38"/>
      <c r="H12" s="38"/>
      <c r="I12" s="38"/>
      <c r="J12" s="38"/>
      <c r="K12" s="38"/>
    </row>
    <row r="13" spans="1:11">
      <c r="A13" s="38" t="s">
        <v>582</v>
      </c>
      <c r="B13" s="38" t="s">
        <v>587</v>
      </c>
      <c r="C13" s="66">
        <v>0</v>
      </c>
      <c r="D13" s="134">
        <v>1730</v>
      </c>
      <c r="E13" s="135">
        <f t="shared" si="1"/>
        <v>2.688004972032318</v>
      </c>
      <c r="F13" s="38"/>
      <c r="G13" s="38"/>
      <c r="H13" s="38"/>
      <c r="I13" s="38"/>
      <c r="J13" s="38"/>
      <c r="K13" s="38"/>
    </row>
    <row r="14" spans="1:11">
      <c r="A14" s="38" t="s">
        <v>584</v>
      </c>
      <c r="B14" s="38" t="s">
        <v>585</v>
      </c>
      <c r="C14" s="66">
        <v>0</v>
      </c>
      <c r="D14" s="134">
        <v>2040</v>
      </c>
      <c r="E14" s="135">
        <f t="shared" si="1"/>
        <v>3.1696706028589183</v>
      </c>
      <c r="F14" s="38"/>
      <c r="G14" s="38"/>
      <c r="H14" s="38" t="s">
        <v>588</v>
      </c>
      <c r="I14" s="136">
        <v>400</v>
      </c>
      <c r="J14" s="38"/>
      <c r="K14" s="38"/>
    </row>
    <row r="15" spans="1:11">
      <c r="A15" s="38" t="s">
        <v>584</v>
      </c>
      <c r="B15" s="38" t="s">
        <v>586</v>
      </c>
      <c r="C15" s="66">
        <v>0</v>
      </c>
      <c r="D15" s="134">
        <v>1700</v>
      </c>
      <c r="E15" s="135">
        <f t="shared" si="1"/>
        <v>2.6413921690490989</v>
      </c>
      <c r="F15" s="38"/>
      <c r="G15" s="38"/>
      <c r="H15" s="38" t="s">
        <v>589</v>
      </c>
      <c r="I15" s="136">
        <v>1.609</v>
      </c>
      <c r="J15" s="38"/>
      <c r="K15" s="38"/>
    </row>
    <row r="16" spans="1:11">
      <c r="A16" s="38" t="s">
        <v>584</v>
      </c>
      <c r="B16" s="38" t="s">
        <v>587</v>
      </c>
      <c r="C16" s="66">
        <v>0</v>
      </c>
      <c r="D16" s="134">
        <v>990</v>
      </c>
      <c r="E16" s="135">
        <f t="shared" si="1"/>
        <v>1.5382224984462398</v>
      </c>
      <c r="F16" s="38"/>
      <c r="G16" s="38"/>
      <c r="H16" s="38" t="s">
        <v>590</v>
      </c>
      <c r="I16" s="38">
        <f>I14*I15</f>
        <v>643.6</v>
      </c>
      <c r="J16" s="38"/>
      <c r="K16" s="38"/>
    </row>
    <row r="17" spans="1:11">
      <c r="A17" s="38"/>
      <c r="B17" s="38"/>
      <c r="C17" s="38"/>
      <c r="D17" s="38"/>
      <c r="E17" s="38"/>
      <c r="F17" s="38"/>
      <c r="G17" s="38"/>
      <c r="H17" s="38"/>
      <c r="I17" s="38"/>
      <c r="J17" s="38"/>
      <c r="K17" s="38"/>
    </row>
    <row r="18" spans="1:11">
      <c r="A18" s="38"/>
      <c r="B18" s="38" t="s">
        <v>591</v>
      </c>
      <c r="C18" s="137">
        <f>SUMPRODUCT(OnRoute,Time)</f>
        <v>16.718458669981352</v>
      </c>
      <c r="D18" s="38"/>
      <c r="E18" s="38"/>
      <c r="F18" s="38"/>
      <c r="G18" s="38"/>
      <c r="H18" s="38"/>
      <c r="I18" s="38"/>
      <c r="J18" s="38"/>
      <c r="K18" s="38"/>
    </row>
    <row r="19" spans="1:11">
      <c r="A19" s="38"/>
      <c r="B19" s="38"/>
      <c r="C19" s="38"/>
      <c r="D19" s="38"/>
      <c r="E19" s="38"/>
      <c r="F19" s="38"/>
      <c r="G19" s="38"/>
      <c r="H19" s="38"/>
      <c r="I19" s="38"/>
      <c r="J19" s="38"/>
      <c r="K19" s="38"/>
    </row>
    <row r="20" spans="1:11">
      <c r="A20" s="38"/>
      <c r="B20" s="38"/>
      <c r="C20" s="38"/>
      <c r="D20" s="38"/>
      <c r="E20" s="38"/>
      <c r="F20" s="38"/>
      <c r="G20" s="38"/>
      <c r="H20" s="38"/>
      <c r="I20" s="38"/>
      <c r="J20" s="38"/>
      <c r="K20" s="38"/>
    </row>
    <row r="21" spans="1:11">
      <c r="A21" s="38"/>
      <c r="B21" s="38"/>
      <c r="C21" s="38"/>
      <c r="D21" s="38"/>
      <c r="E21" s="38"/>
      <c r="F21" s="38"/>
      <c r="G21" s="38"/>
      <c r="H21" s="38"/>
      <c r="I21" s="38"/>
      <c r="J21" s="38"/>
      <c r="K21" s="38"/>
    </row>
    <row r="22" spans="1:11">
      <c r="A22" s="14" t="s">
        <v>571</v>
      </c>
      <c r="B22" s="38"/>
      <c r="C22" s="38"/>
      <c r="D22" s="38"/>
      <c r="E22" s="38"/>
      <c r="F22" s="38"/>
      <c r="G22" s="38"/>
      <c r="H22" s="38"/>
      <c r="I22" s="38"/>
      <c r="J22" s="38"/>
      <c r="K22" s="38"/>
    </row>
    <row r="23" spans="1:11">
      <c r="A23" s="14" t="s">
        <v>572</v>
      </c>
      <c r="B23" s="38"/>
      <c r="C23" s="38"/>
      <c r="D23" s="38"/>
      <c r="E23" s="38"/>
      <c r="F23" s="38"/>
      <c r="G23" s="38"/>
      <c r="H23" s="38"/>
      <c r="I23" s="38"/>
      <c r="J23" s="38"/>
      <c r="K23" s="38"/>
    </row>
    <row r="24" spans="1:11">
      <c r="A24" s="14" t="s">
        <v>573</v>
      </c>
      <c r="B24" s="38"/>
      <c r="C24" s="38"/>
      <c r="D24" s="38"/>
      <c r="E24" s="38"/>
      <c r="F24" s="38"/>
      <c r="G24" s="38"/>
      <c r="H24" s="38"/>
      <c r="I24" s="38"/>
      <c r="J24" s="38"/>
      <c r="K24" s="38"/>
    </row>
    <row r="25" spans="1:11">
      <c r="A25" s="38"/>
      <c r="B25" s="38"/>
      <c r="C25" s="38"/>
      <c r="D25" s="38"/>
      <c r="E25" s="38"/>
      <c r="F25" s="38"/>
      <c r="G25" s="38"/>
      <c r="H25" s="38"/>
      <c r="I25" s="38"/>
      <c r="J25" s="38"/>
      <c r="K25" s="38"/>
    </row>
    <row r="26" spans="1:11">
      <c r="A26" s="38"/>
      <c r="B26" s="38"/>
      <c r="C26" s="38"/>
      <c r="D26" s="38"/>
      <c r="E26" s="38"/>
      <c r="F26" s="38"/>
      <c r="G26" s="38"/>
      <c r="H26" s="38"/>
      <c r="I26" s="38"/>
      <c r="J26" s="38"/>
      <c r="K26" s="38"/>
    </row>
    <row r="27" spans="1:11">
      <c r="A27" s="38"/>
      <c r="B27" s="38"/>
      <c r="C27" s="38"/>
      <c r="D27" s="38"/>
      <c r="E27" s="38"/>
      <c r="F27" s="38"/>
      <c r="G27" s="38"/>
      <c r="H27" s="38"/>
      <c r="I27" s="38"/>
      <c r="J27" s="38"/>
      <c r="K27" s="38"/>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CCBF2-8896-47DF-8073-11D27AFF5530}">
  <dimension ref="A1:P41"/>
  <sheetViews>
    <sheetView workbookViewId="0">
      <selection activeCell="M4" sqref="M4"/>
    </sheetView>
  </sheetViews>
  <sheetFormatPr defaultRowHeight="15"/>
  <cols>
    <col min="3" max="3" width="15.140625" bestFit="1" customWidth="1"/>
    <col min="5" max="5" width="15.140625" bestFit="1" customWidth="1"/>
    <col min="6" max="6" width="8.7109375" bestFit="1" customWidth="1"/>
    <col min="7" max="7" width="12.42578125" bestFit="1" customWidth="1"/>
    <col min="8" max="8" width="13.42578125" bestFit="1" customWidth="1"/>
  </cols>
  <sheetData>
    <row r="1" spans="1:16">
      <c r="A1" s="38"/>
      <c r="B1" s="38"/>
      <c r="C1" s="38"/>
      <c r="D1" s="38"/>
      <c r="E1" s="38"/>
      <c r="F1" s="38" t="s">
        <v>592</v>
      </c>
      <c r="G1" s="38"/>
      <c r="H1" s="38"/>
      <c r="I1" s="38" t="s">
        <v>593</v>
      </c>
      <c r="J1" s="38" t="s">
        <v>594</v>
      </c>
      <c r="K1" s="38"/>
      <c r="L1" s="38"/>
      <c r="M1" s="38"/>
      <c r="N1" s="38"/>
      <c r="O1" s="38"/>
      <c r="P1" s="38"/>
    </row>
    <row r="2" spans="1:16">
      <c r="A2" s="38"/>
      <c r="B2" s="38"/>
      <c r="C2" s="38" t="s">
        <v>595</v>
      </c>
      <c r="D2" s="38"/>
      <c r="E2" s="38" t="s">
        <v>562</v>
      </c>
      <c r="F2" s="38" t="s">
        <v>596</v>
      </c>
      <c r="G2" s="38"/>
      <c r="H2" s="38"/>
      <c r="I2" s="38" t="s">
        <v>562</v>
      </c>
      <c r="J2" s="38" t="s">
        <v>374</v>
      </c>
      <c r="K2" s="38"/>
      <c r="L2" s="38"/>
      <c r="M2" s="38"/>
      <c r="N2" s="38"/>
      <c r="O2" s="38"/>
      <c r="P2" s="38"/>
    </row>
    <row r="3" spans="1:16">
      <c r="A3" s="38" t="s">
        <v>545</v>
      </c>
      <c r="B3" s="38" t="s">
        <v>546</v>
      </c>
      <c r="C3" s="38" t="s">
        <v>597</v>
      </c>
      <c r="D3" s="38"/>
      <c r="E3" s="38" t="s">
        <v>597</v>
      </c>
      <c r="F3" s="38" t="s">
        <v>598</v>
      </c>
      <c r="G3" s="38" t="s">
        <v>593</v>
      </c>
      <c r="H3" s="38" t="s">
        <v>599</v>
      </c>
      <c r="I3" s="38" t="s">
        <v>600</v>
      </c>
      <c r="J3" s="38" t="s">
        <v>601</v>
      </c>
      <c r="K3" s="38"/>
      <c r="L3" s="38" t="s">
        <v>579</v>
      </c>
      <c r="M3" s="38" t="s">
        <v>558</v>
      </c>
      <c r="N3" s="38"/>
      <c r="O3" s="38" t="s">
        <v>559</v>
      </c>
      <c r="P3" s="38"/>
    </row>
    <row r="4" spans="1:16">
      <c r="A4" s="38" t="s">
        <v>580</v>
      </c>
      <c r="B4" s="38" t="s">
        <v>582</v>
      </c>
      <c r="C4" s="66">
        <v>45</v>
      </c>
      <c r="D4" s="38"/>
      <c r="E4" s="138">
        <f>H4*I4/1000</f>
        <v>45</v>
      </c>
      <c r="F4" s="139">
        <v>50</v>
      </c>
      <c r="G4" s="136" t="s">
        <v>602</v>
      </c>
      <c r="H4" s="136">
        <v>300</v>
      </c>
      <c r="I4" s="38">
        <f>VLOOKUP(G4,$L$24:$M$26,2)</f>
        <v>150</v>
      </c>
      <c r="J4" s="140">
        <f>1000*F4/I4</f>
        <v>333.33333333333331</v>
      </c>
      <c r="K4" s="38"/>
      <c r="L4" s="38" t="s">
        <v>580</v>
      </c>
      <c r="M4" s="38">
        <f>SUMIF($A$4:$A$33,L4,$C$4:$C$33)-SUMIF($B$4:$B$33,L4,$C$4:$C$33)</f>
        <v>552.20000000000005</v>
      </c>
      <c r="N4" s="38" t="s">
        <v>270</v>
      </c>
      <c r="O4" s="136">
        <v>500</v>
      </c>
      <c r="P4" s="38"/>
    </row>
    <row r="5" spans="1:16">
      <c r="A5" s="38" t="s">
        <v>580</v>
      </c>
      <c r="B5" s="38" t="s">
        <v>603</v>
      </c>
      <c r="C5" s="66">
        <v>507.20000000000005</v>
      </c>
      <c r="D5" s="38"/>
      <c r="E5" s="138">
        <f t="shared" ref="E5:E33" si="0">H5*I5/1000</f>
        <v>23999999.760000002</v>
      </c>
      <c r="F5" s="139">
        <v>30</v>
      </c>
      <c r="G5" s="136" t="s">
        <v>604</v>
      </c>
      <c r="H5" s="136">
        <v>99999999</v>
      </c>
      <c r="I5" s="38">
        <f t="shared" ref="I5:I33" si="1">VLOOKUP(G5,$L$24:$M$26,2)</f>
        <v>240</v>
      </c>
      <c r="J5" s="140">
        <f t="shared" ref="J5:J33" si="2">1000*F5/I5</f>
        <v>125</v>
      </c>
      <c r="K5" s="38"/>
      <c r="L5" s="38" t="s">
        <v>583</v>
      </c>
      <c r="M5" s="38">
        <f t="shared" ref="M5:M14" si="3">SUMIF($A$4:$A$33,L5,$C$4:$C$33)-SUMIF($B$4:$B$33,L5,$C$4:$C$33)</f>
        <v>0</v>
      </c>
      <c r="N5" s="38" t="s">
        <v>270</v>
      </c>
      <c r="O5" s="136">
        <v>500</v>
      </c>
      <c r="P5" s="38"/>
    </row>
    <row r="6" spans="1:16">
      <c r="A6" s="38" t="s">
        <v>580</v>
      </c>
      <c r="B6" s="38" t="s">
        <v>584</v>
      </c>
      <c r="C6" s="66">
        <v>0</v>
      </c>
      <c r="D6" s="38"/>
      <c r="E6" s="138">
        <f t="shared" si="0"/>
        <v>75</v>
      </c>
      <c r="F6" s="139">
        <v>55</v>
      </c>
      <c r="G6" s="136" t="s">
        <v>602</v>
      </c>
      <c r="H6" s="136">
        <v>500</v>
      </c>
      <c r="I6" s="38">
        <f t="shared" si="1"/>
        <v>150</v>
      </c>
      <c r="J6" s="140">
        <f t="shared" si="2"/>
        <v>366.66666666666669</v>
      </c>
      <c r="K6" s="38"/>
      <c r="L6" s="38" t="s">
        <v>581</v>
      </c>
      <c r="M6" s="38">
        <f t="shared" si="3"/>
        <v>195</v>
      </c>
      <c r="N6" s="38" t="s">
        <v>270</v>
      </c>
      <c r="O6" s="136">
        <v>0</v>
      </c>
      <c r="P6" s="38"/>
    </row>
    <row r="7" spans="1:16">
      <c r="A7" s="38" t="s">
        <v>580</v>
      </c>
      <c r="B7" s="38" t="s">
        <v>581</v>
      </c>
      <c r="C7" s="66">
        <v>0</v>
      </c>
      <c r="D7" s="38"/>
      <c r="E7" s="138">
        <f t="shared" si="0"/>
        <v>75</v>
      </c>
      <c r="F7" s="139">
        <v>45</v>
      </c>
      <c r="G7" s="136" t="s">
        <v>602</v>
      </c>
      <c r="H7" s="136">
        <v>500</v>
      </c>
      <c r="I7" s="38">
        <f t="shared" si="1"/>
        <v>150</v>
      </c>
      <c r="J7" s="140">
        <f t="shared" si="2"/>
        <v>300</v>
      </c>
      <c r="K7" s="38"/>
      <c r="L7" s="38" t="s">
        <v>582</v>
      </c>
      <c r="M7" s="38">
        <f t="shared" si="3"/>
        <v>75</v>
      </c>
      <c r="N7" s="38" t="s">
        <v>270</v>
      </c>
      <c r="O7" s="136">
        <v>0</v>
      </c>
      <c r="P7" s="38"/>
    </row>
    <row r="8" spans="1:16">
      <c r="A8" s="38" t="s">
        <v>580</v>
      </c>
      <c r="B8" s="38" t="s">
        <v>605</v>
      </c>
      <c r="C8" s="66">
        <v>0</v>
      </c>
      <c r="D8" s="38"/>
      <c r="E8" s="138">
        <f t="shared" si="0"/>
        <v>23999999.760000002</v>
      </c>
      <c r="F8" s="139">
        <v>30</v>
      </c>
      <c r="G8" s="136" t="s">
        <v>604</v>
      </c>
      <c r="H8" s="136">
        <v>99999999</v>
      </c>
      <c r="I8" s="38">
        <f t="shared" si="1"/>
        <v>240</v>
      </c>
      <c r="J8" s="140">
        <f t="shared" si="2"/>
        <v>125</v>
      </c>
      <c r="K8" s="38"/>
      <c r="L8" s="38" t="s">
        <v>584</v>
      </c>
      <c r="M8" s="38">
        <f t="shared" si="3"/>
        <v>150</v>
      </c>
      <c r="N8" s="38" t="s">
        <v>270</v>
      </c>
      <c r="O8" s="136">
        <v>0</v>
      </c>
      <c r="P8" s="38"/>
    </row>
    <row r="9" spans="1:16">
      <c r="A9" s="38" t="s">
        <v>580</v>
      </c>
      <c r="B9" s="38" t="s">
        <v>606</v>
      </c>
      <c r="C9" s="66">
        <v>0</v>
      </c>
      <c r="D9" s="38"/>
      <c r="E9" s="138">
        <f t="shared" si="0"/>
        <v>23999999.760000002</v>
      </c>
      <c r="F9" s="139">
        <v>32</v>
      </c>
      <c r="G9" s="136" t="s">
        <v>604</v>
      </c>
      <c r="H9" s="136">
        <v>99999999</v>
      </c>
      <c r="I9" s="38">
        <f t="shared" si="1"/>
        <v>240</v>
      </c>
      <c r="J9" s="140">
        <f t="shared" si="2"/>
        <v>133.33333333333334</v>
      </c>
      <c r="K9" s="38"/>
      <c r="L9" s="38" t="s">
        <v>603</v>
      </c>
      <c r="M9" s="38">
        <f t="shared" si="3"/>
        <v>-488.00000000000006</v>
      </c>
      <c r="N9" s="38" t="s">
        <v>270</v>
      </c>
      <c r="O9" s="136">
        <v>0</v>
      </c>
      <c r="P9" s="38"/>
    </row>
    <row r="10" spans="1:16">
      <c r="A10" s="38" t="s">
        <v>583</v>
      </c>
      <c r="B10" s="38" t="s">
        <v>582</v>
      </c>
      <c r="C10" s="66">
        <v>0</v>
      </c>
      <c r="D10" s="38"/>
      <c r="E10" s="138">
        <f t="shared" si="0"/>
        <v>75</v>
      </c>
      <c r="F10" s="139">
        <v>57</v>
      </c>
      <c r="G10" s="136" t="s">
        <v>602</v>
      </c>
      <c r="H10" s="136">
        <v>500</v>
      </c>
      <c r="I10" s="38">
        <f t="shared" si="1"/>
        <v>150</v>
      </c>
      <c r="J10" s="140">
        <f t="shared" si="2"/>
        <v>380</v>
      </c>
      <c r="K10" s="38"/>
      <c r="L10" s="38" t="s">
        <v>605</v>
      </c>
      <c r="M10" s="38">
        <f t="shared" si="3"/>
        <v>21.6</v>
      </c>
      <c r="N10" s="38" t="s">
        <v>270</v>
      </c>
      <c r="O10" s="136">
        <v>0</v>
      </c>
      <c r="P10" s="38"/>
    </row>
    <row r="11" spans="1:16">
      <c r="A11" s="38" t="s">
        <v>583</v>
      </c>
      <c r="B11" s="38" t="s">
        <v>603</v>
      </c>
      <c r="C11" s="66">
        <v>0</v>
      </c>
      <c r="D11" s="38"/>
      <c r="E11" s="138">
        <f t="shared" si="0"/>
        <v>23999999.760000002</v>
      </c>
      <c r="F11" s="139">
        <v>48</v>
      </c>
      <c r="G11" s="136" t="s">
        <v>604</v>
      </c>
      <c r="H11" s="136">
        <v>99999999</v>
      </c>
      <c r="I11" s="38">
        <f t="shared" si="1"/>
        <v>240</v>
      </c>
      <c r="J11" s="140">
        <f t="shared" si="2"/>
        <v>200</v>
      </c>
      <c r="K11" s="38"/>
      <c r="L11" s="38" t="s">
        <v>606</v>
      </c>
      <c r="M11" s="38">
        <f t="shared" si="3"/>
        <v>46.4</v>
      </c>
      <c r="N11" s="38" t="s">
        <v>270</v>
      </c>
      <c r="O11" s="136">
        <v>0</v>
      </c>
      <c r="P11" s="38"/>
    </row>
    <row r="12" spans="1:16">
      <c r="A12" s="38" t="s">
        <v>583</v>
      </c>
      <c r="B12" s="38" t="s">
        <v>584</v>
      </c>
      <c r="C12" s="66">
        <v>0</v>
      </c>
      <c r="D12" s="38"/>
      <c r="E12" s="138">
        <f t="shared" si="0"/>
        <v>105</v>
      </c>
      <c r="F12" s="139">
        <v>61</v>
      </c>
      <c r="G12" s="136" t="s">
        <v>602</v>
      </c>
      <c r="H12" s="136">
        <v>700</v>
      </c>
      <c r="I12" s="38">
        <f t="shared" si="1"/>
        <v>150</v>
      </c>
      <c r="J12" s="140">
        <f t="shared" si="2"/>
        <v>406.66666666666669</v>
      </c>
      <c r="K12" s="38"/>
      <c r="L12" s="38" t="s">
        <v>585</v>
      </c>
      <c r="M12" s="38">
        <f t="shared" si="3"/>
        <v>-225</v>
      </c>
      <c r="N12" s="38" t="s">
        <v>270</v>
      </c>
      <c r="O12" s="136"/>
      <c r="P12" s="38"/>
    </row>
    <row r="13" spans="1:16">
      <c r="A13" s="38" t="s">
        <v>583</v>
      </c>
      <c r="B13" s="38" t="s">
        <v>581</v>
      </c>
      <c r="C13" s="66">
        <v>0</v>
      </c>
      <c r="D13" s="38"/>
      <c r="E13" s="138">
        <f t="shared" si="0"/>
        <v>90</v>
      </c>
      <c r="F13" s="139">
        <v>49</v>
      </c>
      <c r="G13" s="136" t="s">
        <v>602</v>
      </c>
      <c r="H13" s="136">
        <v>600</v>
      </c>
      <c r="I13" s="38">
        <f t="shared" si="1"/>
        <v>150</v>
      </c>
      <c r="J13" s="140">
        <f t="shared" si="2"/>
        <v>326.66666666666669</v>
      </c>
      <c r="K13" s="38"/>
      <c r="L13" s="38" t="s">
        <v>586</v>
      </c>
      <c r="M13" s="38">
        <f t="shared" si="3"/>
        <v>-134.80000000000001</v>
      </c>
      <c r="N13" s="38" t="s">
        <v>270</v>
      </c>
      <c r="O13" s="136"/>
      <c r="P13" s="38"/>
    </row>
    <row r="14" spans="1:16">
      <c r="A14" s="38" t="s">
        <v>583</v>
      </c>
      <c r="B14" s="38" t="s">
        <v>605</v>
      </c>
      <c r="C14" s="66">
        <v>0</v>
      </c>
      <c r="D14" s="38"/>
      <c r="E14" s="138">
        <f t="shared" si="0"/>
        <v>23999999.760000002</v>
      </c>
      <c r="F14" s="139">
        <v>44</v>
      </c>
      <c r="G14" s="136" t="s">
        <v>604</v>
      </c>
      <c r="H14" s="136">
        <v>99999999</v>
      </c>
      <c r="I14" s="38">
        <f t="shared" si="1"/>
        <v>240</v>
      </c>
      <c r="J14" s="140">
        <f t="shared" si="2"/>
        <v>183.33333333333334</v>
      </c>
      <c r="K14" s="38"/>
      <c r="L14" s="38" t="s">
        <v>587</v>
      </c>
      <c r="M14" s="38">
        <f t="shared" si="3"/>
        <v>-192.4</v>
      </c>
      <c r="N14" s="38" t="s">
        <v>270</v>
      </c>
      <c r="O14" s="136"/>
      <c r="P14" s="38"/>
    </row>
    <row r="15" spans="1:16">
      <c r="A15" s="38" t="s">
        <v>583</v>
      </c>
      <c r="B15" s="38" t="s">
        <v>606</v>
      </c>
      <c r="C15" s="66">
        <v>0</v>
      </c>
      <c r="D15" s="38"/>
      <c r="E15" s="138">
        <f t="shared" si="0"/>
        <v>23999999.760000002</v>
      </c>
      <c r="F15" s="139">
        <v>56</v>
      </c>
      <c r="G15" s="136" t="s">
        <v>604</v>
      </c>
      <c r="H15" s="136">
        <v>99999999</v>
      </c>
      <c r="I15" s="38">
        <f t="shared" si="1"/>
        <v>240</v>
      </c>
      <c r="J15" s="140">
        <f t="shared" si="2"/>
        <v>233.33333333333334</v>
      </c>
      <c r="K15" s="38"/>
      <c r="L15" s="38"/>
      <c r="M15" s="38"/>
      <c r="N15" s="38"/>
      <c r="O15" s="38"/>
      <c r="P15" s="38"/>
    </row>
    <row r="16" spans="1:16">
      <c r="A16" s="38" t="s">
        <v>582</v>
      </c>
      <c r="B16" s="38" t="s">
        <v>585</v>
      </c>
      <c r="C16" s="66">
        <v>75</v>
      </c>
      <c r="D16" s="38"/>
      <c r="E16" s="138">
        <f t="shared" si="0"/>
        <v>75</v>
      </c>
      <c r="F16" s="139">
        <v>24</v>
      </c>
      <c r="G16" s="136" t="s">
        <v>602</v>
      </c>
      <c r="H16" s="136">
        <v>500</v>
      </c>
      <c r="I16" s="38">
        <f t="shared" si="1"/>
        <v>150</v>
      </c>
      <c r="J16" s="140">
        <f t="shared" si="2"/>
        <v>160</v>
      </c>
      <c r="K16" s="38"/>
      <c r="L16" s="38"/>
      <c r="M16" s="38">
        <f>-SUM(M12:M14)</f>
        <v>552.20000000000005</v>
      </c>
      <c r="N16" s="38" t="s">
        <v>270</v>
      </c>
      <c r="O16" s="38">
        <f>SUM(M4:M5)</f>
        <v>552.20000000000005</v>
      </c>
      <c r="P16" s="38"/>
    </row>
    <row r="17" spans="1:16">
      <c r="A17" s="38" t="s">
        <v>603</v>
      </c>
      <c r="B17" s="38" t="s">
        <v>585</v>
      </c>
      <c r="C17" s="66">
        <v>0</v>
      </c>
      <c r="D17" s="38" t="s">
        <v>144</v>
      </c>
      <c r="E17" s="138">
        <f t="shared" si="0"/>
        <v>0</v>
      </c>
      <c r="F17" s="139">
        <v>3</v>
      </c>
      <c r="G17" s="136" t="s">
        <v>607</v>
      </c>
      <c r="H17" s="136">
        <v>0</v>
      </c>
      <c r="I17" s="38">
        <f t="shared" si="1"/>
        <v>16</v>
      </c>
      <c r="J17" s="140">
        <f t="shared" si="2"/>
        <v>187.5</v>
      </c>
      <c r="K17" s="38"/>
      <c r="L17" s="38"/>
      <c r="M17" s="38"/>
      <c r="N17" s="38"/>
      <c r="O17" s="38"/>
      <c r="P17" s="38"/>
    </row>
    <row r="18" spans="1:16">
      <c r="A18" s="38" t="s">
        <v>584</v>
      </c>
      <c r="B18" s="38" t="s">
        <v>585</v>
      </c>
      <c r="C18" s="66">
        <v>0</v>
      </c>
      <c r="D18" s="38"/>
      <c r="E18" s="138">
        <f t="shared" si="0"/>
        <v>0</v>
      </c>
      <c r="F18" s="139">
        <v>28</v>
      </c>
      <c r="G18" s="136" t="s">
        <v>602</v>
      </c>
      <c r="H18" s="136">
        <v>0</v>
      </c>
      <c r="I18" s="38">
        <f t="shared" si="1"/>
        <v>150</v>
      </c>
      <c r="J18" s="140">
        <f t="shared" si="2"/>
        <v>186.66666666666666</v>
      </c>
      <c r="K18" s="38"/>
      <c r="L18" s="38"/>
      <c r="M18" s="38"/>
      <c r="N18" s="38"/>
      <c r="O18" s="38"/>
      <c r="P18" s="38"/>
    </row>
    <row r="19" spans="1:16">
      <c r="A19" s="38" t="s">
        <v>581</v>
      </c>
      <c r="B19" s="38" t="s">
        <v>585</v>
      </c>
      <c r="C19" s="66">
        <v>150</v>
      </c>
      <c r="D19" s="38"/>
      <c r="E19" s="138">
        <f t="shared" si="0"/>
        <v>150</v>
      </c>
      <c r="F19" s="139">
        <v>22</v>
      </c>
      <c r="G19" s="136" t="s">
        <v>602</v>
      </c>
      <c r="H19" s="136">
        <v>1000</v>
      </c>
      <c r="I19" s="38">
        <f t="shared" si="1"/>
        <v>150</v>
      </c>
      <c r="J19" s="140">
        <f t="shared" si="2"/>
        <v>146.66666666666666</v>
      </c>
      <c r="K19" s="38"/>
      <c r="L19" s="38"/>
      <c r="M19" s="38"/>
      <c r="N19" s="38"/>
      <c r="O19" s="38"/>
      <c r="P19" s="38"/>
    </row>
    <row r="20" spans="1:16">
      <c r="A20" s="38" t="s">
        <v>605</v>
      </c>
      <c r="B20" s="38" t="s">
        <v>585</v>
      </c>
      <c r="C20" s="66">
        <v>0</v>
      </c>
      <c r="D20" s="38" t="s">
        <v>144</v>
      </c>
      <c r="E20" s="138">
        <f t="shared" si="0"/>
        <v>0</v>
      </c>
      <c r="F20" s="139">
        <v>3</v>
      </c>
      <c r="G20" s="136" t="s">
        <v>607</v>
      </c>
      <c r="H20" s="136">
        <v>0</v>
      </c>
      <c r="I20" s="38">
        <f t="shared" si="1"/>
        <v>16</v>
      </c>
      <c r="J20" s="140">
        <f t="shared" si="2"/>
        <v>187.5</v>
      </c>
      <c r="K20" s="38"/>
      <c r="L20" s="38"/>
      <c r="M20" s="38"/>
      <c r="N20" s="38"/>
      <c r="O20" s="38"/>
      <c r="P20" s="38"/>
    </row>
    <row r="21" spans="1:16">
      <c r="A21" s="38" t="s">
        <v>606</v>
      </c>
      <c r="B21" s="38" t="s">
        <v>585</v>
      </c>
      <c r="C21" s="66">
        <v>0</v>
      </c>
      <c r="D21" s="38" t="s">
        <v>144</v>
      </c>
      <c r="E21" s="138">
        <f t="shared" si="0"/>
        <v>0</v>
      </c>
      <c r="F21" s="139">
        <v>5</v>
      </c>
      <c r="G21" s="136" t="s">
        <v>607</v>
      </c>
      <c r="H21" s="136">
        <v>0</v>
      </c>
      <c r="I21" s="38">
        <f t="shared" si="1"/>
        <v>16</v>
      </c>
      <c r="J21" s="140">
        <f t="shared" si="2"/>
        <v>312.5</v>
      </c>
      <c r="K21" s="38"/>
      <c r="L21" s="38"/>
      <c r="M21" s="38"/>
      <c r="N21" s="38"/>
      <c r="O21" s="38"/>
      <c r="P21" s="38"/>
    </row>
    <row r="22" spans="1:16">
      <c r="A22" s="38" t="s">
        <v>582</v>
      </c>
      <c r="B22" s="38" t="s">
        <v>586</v>
      </c>
      <c r="C22" s="66">
        <v>45</v>
      </c>
      <c r="D22" s="38"/>
      <c r="E22" s="138">
        <f t="shared" si="0"/>
        <v>45</v>
      </c>
      <c r="F22" s="139">
        <v>22</v>
      </c>
      <c r="G22" s="136" t="s">
        <v>602</v>
      </c>
      <c r="H22" s="136">
        <v>300</v>
      </c>
      <c r="I22" s="38">
        <f t="shared" si="1"/>
        <v>150</v>
      </c>
      <c r="J22" s="140">
        <f t="shared" si="2"/>
        <v>146.66666666666666</v>
      </c>
      <c r="K22" s="38"/>
      <c r="L22" s="38"/>
      <c r="M22" s="38" t="s">
        <v>562</v>
      </c>
      <c r="N22" s="38"/>
      <c r="O22" s="38"/>
      <c r="P22" s="38"/>
    </row>
    <row r="23" spans="1:16">
      <c r="A23" s="38" t="s">
        <v>603</v>
      </c>
      <c r="B23" s="38" t="s">
        <v>586</v>
      </c>
      <c r="C23" s="66">
        <v>11.2</v>
      </c>
      <c r="D23" s="38"/>
      <c r="E23" s="138">
        <f t="shared" si="0"/>
        <v>11.2</v>
      </c>
      <c r="F23" s="139">
        <v>4</v>
      </c>
      <c r="G23" s="136" t="s">
        <v>607</v>
      </c>
      <c r="H23" s="136">
        <v>700</v>
      </c>
      <c r="I23" s="38">
        <f t="shared" si="1"/>
        <v>16</v>
      </c>
      <c r="J23" s="140">
        <f t="shared" si="2"/>
        <v>250</v>
      </c>
      <c r="K23" s="38"/>
      <c r="L23" s="38"/>
      <c r="M23" s="38" t="s">
        <v>600</v>
      </c>
      <c r="N23" s="38"/>
      <c r="O23" s="38"/>
      <c r="P23" s="38"/>
    </row>
    <row r="24" spans="1:16">
      <c r="A24" s="38" t="s">
        <v>584</v>
      </c>
      <c r="B24" s="38" t="s">
        <v>586</v>
      </c>
      <c r="C24" s="66">
        <v>15</v>
      </c>
      <c r="D24" s="38"/>
      <c r="E24" s="138">
        <f t="shared" si="0"/>
        <v>15</v>
      </c>
      <c r="F24" s="139">
        <v>25</v>
      </c>
      <c r="G24" s="136" t="s">
        <v>602</v>
      </c>
      <c r="H24" s="136">
        <v>100</v>
      </c>
      <c r="I24" s="38">
        <f t="shared" si="1"/>
        <v>150</v>
      </c>
      <c r="J24" s="140">
        <f t="shared" si="2"/>
        <v>166.66666666666666</v>
      </c>
      <c r="K24" s="38"/>
      <c r="L24" s="38" t="s">
        <v>602</v>
      </c>
      <c r="M24" s="136">
        <v>150</v>
      </c>
      <c r="N24" s="38"/>
      <c r="O24" s="38"/>
      <c r="P24" s="38"/>
    </row>
    <row r="25" spans="1:16">
      <c r="A25" s="38" t="s">
        <v>581</v>
      </c>
      <c r="B25" s="38" t="s">
        <v>586</v>
      </c>
      <c r="C25" s="66">
        <v>30</v>
      </c>
      <c r="D25" s="38"/>
      <c r="E25" s="138">
        <f t="shared" si="0"/>
        <v>30</v>
      </c>
      <c r="F25" s="139">
        <v>19</v>
      </c>
      <c r="G25" s="136" t="s">
        <v>602</v>
      </c>
      <c r="H25" s="136">
        <v>200</v>
      </c>
      <c r="I25" s="38">
        <f t="shared" si="1"/>
        <v>150</v>
      </c>
      <c r="J25" s="140">
        <f t="shared" si="2"/>
        <v>126.66666666666667</v>
      </c>
      <c r="K25" s="38"/>
      <c r="L25" s="38" t="s">
        <v>604</v>
      </c>
      <c r="M25" s="136">
        <v>240</v>
      </c>
      <c r="N25" s="38"/>
      <c r="O25" s="38"/>
      <c r="P25" s="38"/>
    </row>
    <row r="26" spans="1:16">
      <c r="A26" s="38" t="s">
        <v>605</v>
      </c>
      <c r="B26" s="38" t="s">
        <v>586</v>
      </c>
      <c r="C26" s="66">
        <v>9.6</v>
      </c>
      <c r="D26" s="38"/>
      <c r="E26" s="138">
        <f t="shared" si="0"/>
        <v>9.6</v>
      </c>
      <c r="F26" s="139">
        <v>5</v>
      </c>
      <c r="G26" s="136" t="s">
        <v>607</v>
      </c>
      <c r="H26" s="136">
        <v>600</v>
      </c>
      <c r="I26" s="38">
        <f t="shared" si="1"/>
        <v>16</v>
      </c>
      <c r="J26" s="140">
        <f t="shared" si="2"/>
        <v>312.5</v>
      </c>
      <c r="K26" s="38"/>
      <c r="L26" s="38" t="s">
        <v>607</v>
      </c>
      <c r="M26" s="136">
        <v>16</v>
      </c>
      <c r="N26" s="38"/>
      <c r="O26" s="38"/>
      <c r="P26" s="38"/>
    </row>
    <row r="27" spans="1:16">
      <c r="A27" s="38" t="s">
        <v>606</v>
      </c>
      <c r="B27" s="38" t="s">
        <v>586</v>
      </c>
      <c r="C27" s="66">
        <v>24</v>
      </c>
      <c r="D27" s="38"/>
      <c r="E27" s="138">
        <f t="shared" si="0"/>
        <v>24</v>
      </c>
      <c r="F27" s="139">
        <v>5</v>
      </c>
      <c r="G27" s="136" t="s">
        <v>607</v>
      </c>
      <c r="H27" s="136">
        <v>1500</v>
      </c>
      <c r="I27" s="38">
        <f t="shared" si="1"/>
        <v>16</v>
      </c>
      <c r="J27" s="140">
        <f t="shared" si="2"/>
        <v>312.5</v>
      </c>
      <c r="K27" s="38"/>
      <c r="L27" s="38"/>
      <c r="M27" s="38"/>
      <c r="N27" s="38"/>
      <c r="O27" s="38"/>
      <c r="P27" s="38"/>
    </row>
    <row r="28" spans="1:16">
      <c r="A28" s="38" t="s">
        <v>582</v>
      </c>
      <c r="B28" s="38" t="s">
        <v>587</v>
      </c>
      <c r="C28" s="66">
        <v>0</v>
      </c>
      <c r="D28" s="38" t="s">
        <v>144</v>
      </c>
      <c r="E28" s="138">
        <f t="shared" si="0"/>
        <v>0</v>
      </c>
      <c r="F28" s="139">
        <v>23</v>
      </c>
      <c r="G28" s="136" t="s">
        <v>602</v>
      </c>
      <c r="H28" s="136">
        <v>0</v>
      </c>
      <c r="I28" s="38">
        <f t="shared" si="1"/>
        <v>150</v>
      </c>
      <c r="J28" s="140">
        <f t="shared" si="2"/>
        <v>153.33333333333334</v>
      </c>
      <c r="K28" s="38"/>
      <c r="L28" s="38"/>
      <c r="M28" s="38"/>
      <c r="N28" s="38"/>
      <c r="O28" s="38"/>
      <c r="P28" s="38"/>
    </row>
    <row r="29" spans="1:16">
      <c r="A29" s="38" t="s">
        <v>603</v>
      </c>
      <c r="B29" s="38" t="s">
        <v>587</v>
      </c>
      <c r="C29" s="66">
        <v>8</v>
      </c>
      <c r="D29" s="38" t="s">
        <v>144</v>
      </c>
      <c r="E29" s="138">
        <f t="shared" si="0"/>
        <v>8</v>
      </c>
      <c r="F29" s="139">
        <v>7</v>
      </c>
      <c r="G29" s="136" t="s">
        <v>607</v>
      </c>
      <c r="H29" s="136">
        <v>500</v>
      </c>
      <c r="I29" s="38">
        <f t="shared" si="1"/>
        <v>16</v>
      </c>
      <c r="J29" s="140">
        <f t="shared" si="2"/>
        <v>437.5</v>
      </c>
      <c r="K29" s="38"/>
      <c r="L29" s="38"/>
      <c r="M29" s="38"/>
      <c r="N29" s="38"/>
      <c r="O29" s="38"/>
      <c r="P29" s="38"/>
    </row>
    <row r="30" spans="1:16">
      <c r="A30" s="38" t="s">
        <v>584</v>
      </c>
      <c r="B30" s="38" t="s">
        <v>587</v>
      </c>
      <c r="C30" s="66">
        <v>135</v>
      </c>
      <c r="D30" s="38"/>
      <c r="E30" s="138">
        <f t="shared" si="0"/>
        <v>135</v>
      </c>
      <c r="F30" s="139">
        <v>2</v>
      </c>
      <c r="G30" s="136" t="s">
        <v>602</v>
      </c>
      <c r="H30" s="136">
        <v>900</v>
      </c>
      <c r="I30" s="38">
        <f t="shared" si="1"/>
        <v>150</v>
      </c>
      <c r="J30" s="140">
        <f t="shared" si="2"/>
        <v>13.333333333333334</v>
      </c>
      <c r="K30" s="38"/>
      <c r="L30" s="38"/>
      <c r="M30" s="38"/>
      <c r="N30" s="38"/>
      <c r="O30" s="38"/>
      <c r="P30" s="38"/>
    </row>
    <row r="31" spans="1:16">
      <c r="A31" s="38" t="s">
        <v>581</v>
      </c>
      <c r="B31" s="38" t="s">
        <v>587</v>
      </c>
      <c r="C31" s="66">
        <v>15</v>
      </c>
      <c r="D31" s="38" t="s">
        <v>144</v>
      </c>
      <c r="E31" s="138">
        <f t="shared" si="0"/>
        <v>15</v>
      </c>
      <c r="F31" s="139">
        <v>4</v>
      </c>
      <c r="G31" s="136" t="s">
        <v>602</v>
      </c>
      <c r="H31" s="136">
        <v>100</v>
      </c>
      <c r="I31" s="38">
        <f t="shared" si="1"/>
        <v>150</v>
      </c>
      <c r="J31" s="140">
        <f t="shared" si="2"/>
        <v>26.666666666666668</v>
      </c>
      <c r="K31" s="38"/>
      <c r="L31" s="38"/>
      <c r="M31" s="38"/>
      <c r="N31" s="38"/>
      <c r="O31" s="38"/>
      <c r="P31" s="38"/>
    </row>
    <row r="32" spans="1:16">
      <c r="A32" s="38" t="s">
        <v>605</v>
      </c>
      <c r="B32" s="38" t="s">
        <v>587</v>
      </c>
      <c r="C32" s="66">
        <v>12</v>
      </c>
      <c r="D32" s="38" t="s">
        <v>144</v>
      </c>
      <c r="E32" s="138">
        <f t="shared" si="0"/>
        <v>12</v>
      </c>
      <c r="F32" s="139">
        <v>8</v>
      </c>
      <c r="G32" s="136" t="s">
        <v>607</v>
      </c>
      <c r="H32" s="136">
        <v>750</v>
      </c>
      <c r="I32" s="38">
        <f t="shared" si="1"/>
        <v>16</v>
      </c>
      <c r="J32" s="140">
        <f t="shared" si="2"/>
        <v>500</v>
      </c>
      <c r="K32" s="38"/>
      <c r="L32" s="38"/>
      <c r="M32" s="38"/>
      <c r="N32" s="38"/>
      <c r="O32" s="38"/>
      <c r="P32" s="38"/>
    </row>
    <row r="33" spans="1:16">
      <c r="A33" s="38" t="s">
        <v>606</v>
      </c>
      <c r="B33" s="38" t="s">
        <v>587</v>
      </c>
      <c r="C33" s="66">
        <v>22.4</v>
      </c>
      <c r="D33" s="38" t="s">
        <v>144</v>
      </c>
      <c r="E33" s="138">
        <f t="shared" si="0"/>
        <v>22.4</v>
      </c>
      <c r="F33" s="139">
        <v>9</v>
      </c>
      <c r="G33" s="136" t="s">
        <v>607</v>
      </c>
      <c r="H33" s="136">
        <v>1400</v>
      </c>
      <c r="I33" s="38">
        <f t="shared" si="1"/>
        <v>16</v>
      </c>
      <c r="J33" s="140">
        <f t="shared" si="2"/>
        <v>562.5</v>
      </c>
      <c r="K33" s="38"/>
      <c r="L33" s="38"/>
      <c r="M33" s="38"/>
      <c r="N33" s="38"/>
      <c r="O33" s="38"/>
      <c r="P33" s="38"/>
    </row>
    <row r="34" spans="1:16">
      <c r="A34" s="38"/>
      <c r="B34" s="38"/>
      <c r="C34" s="38"/>
      <c r="D34" s="38"/>
      <c r="E34" s="38"/>
      <c r="F34" s="38"/>
      <c r="G34" s="38"/>
      <c r="H34" s="38"/>
      <c r="I34" s="38"/>
      <c r="J34" s="38"/>
      <c r="K34" s="38"/>
      <c r="L34" s="38"/>
      <c r="M34" s="38"/>
      <c r="N34" s="38"/>
      <c r="O34" s="38"/>
      <c r="P34" s="38"/>
    </row>
    <row r="35" spans="1:16">
      <c r="A35" s="38"/>
      <c r="B35" s="38" t="s">
        <v>608</v>
      </c>
      <c r="C35" s="94">
        <f>SUMPRODUCT(C4:C33,J4:J33)</f>
        <v>162900</v>
      </c>
      <c r="D35" s="38"/>
      <c r="E35" s="38"/>
      <c r="F35" s="38"/>
      <c r="G35" s="38"/>
      <c r="H35" s="38"/>
      <c r="I35" s="38"/>
      <c r="J35" s="38"/>
      <c r="K35" s="38"/>
      <c r="L35" s="38"/>
      <c r="M35" s="38"/>
      <c r="N35" s="38"/>
      <c r="O35" s="38"/>
      <c r="P35" s="38"/>
    </row>
    <row r="36" spans="1:16">
      <c r="A36" s="38"/>
      <c r="B36" s="38" t="s">
        <v>609</v>
      </c>
      <c r="C36" s="141">
        <f>SUM(M4:M5)</f>
        <v>552.20000000000005</v>
      </c>
      <c r="D36" s="38"/>
      <c r="E36" s="38"/>
      <c r="F36" s="38"/>
      <c r="G36" s="38"/>
      <c r="H36" s="38"/>
      <c r="I36" s="38"/>
      <c r="J36" s="38"/>
      <c r="K36" s="38"/>
      <c r="L36" s="38"/>
      <c r="M36" s="38"/>
      <c r="N36" s="38"/>
      <c r="O36" s="38"/>
      <c r="P36" s="38"/>
    </row>
    <row r="37" spans="1:16">
      <c r="A37" s="38"/>
      <c r="B37" s="38"/>
      <c r="C37" s="38"/>
      <c r="D37" s="38"/>
      <c r="E37" s="38"/>
      <c r="F37" s="38"/>
      <c r="G37" s="38"/>
      <c r="H37" s="38"/>
      <c r="I37" s="38"/>
      <c r="J37" s="38"/>
      <c r="K37" s="38"/>
      <c r="L37" s="38"/>
      <c r="M37" s="38"/>
      <c r="N37" s="38"/>
      <c r="O37" s="38"/>
      <c r="P37" s="38"/>
    </row>
    <row r="38" spans="1:16">
      <c r="A38" s="14" t="s">
        <v>574</v>
      </c>
      <c r="B38" s="38"/>
      <c r="C38" s="38"/>
      <c r="D38" s="38"/>
      <c r="E38" s="38"/>
      <c r="F38" s="38"/>
      <c r="G38" s="38"/>
      <c r="H38" s="38"/>
      <c r="I38" s="38"/>
      <c r="J38" s="38"/>
      <c r="K38" s="38"/>
      <c r="L38" s="38"/>
      <c r="M38" s="38"/>
      <c r="N38" s="38"/>
      <c r="O38" s="38"/>
      <c r="P38" s="38"/>
    </row>
    <row r="39" spans="1:16">
      <c r="A39" s="14" t="s">
        <v>575</v>
      </c>
      <c r="B39" s="38"/>
      <c r="C39" s="38"/>
      <c r="D39" s="38"/>
      <c r="E39" s="38"/>
      <c r="F39" s="38"/>
      <c r="G39" s="38"/>
      <c r="H39" s="38"/>
      <c r="I39" s="38"/>
      <c r="J39" s="38"/>
      <c r="K39" s="38"/>
      <c r="L39" s="38"/>
      <c r="M39" s="38"/>
      <c r="N39" s="38"/>
      <c r="O39" s="38"/>
      <c r="P39" s="38"/>
    </row>
    <row r="40" spans="1:16">
      <c r="A40" s="38"/>
      <c r="B40" s="38"/>
      <c r="C40" s="38"/>
      <c r="D40" s="38"/>
      <c r="E40" s="38"/>
      <c r="F40" s="38"/>
      <c r="G40" s="38"/>
      <c r="H40" s="38"/>
      <c r="I40" s="38"/>
      <c r="J40" s="38"/>
      <c r="K40" s="38"/>
      <c r="L40" s="38"/>
      <c r="M40" s="38"/>
      <c r="N40" s="38"/>
      <c r="O40" s="38"/>
      <c r="P40" s="38"/>
    </row>
    <row r="41" spans="1:16">
      <c r="A41" s="38"/>
      <c r="B41" s="38"/>
      <c r="C41" s="38"/>
      <c r="D41" s="38"/>
      <c r="E41" s="38"/>
      <c r="F41" s="38"/>
      <c r="G41" s="38"/>
      <c r="H41" s="38"/>
      <c r="I41" s="38"/>
      <c r="J41" s="38"/>
      <c r="K41" s="38"/>
      <c r="L41" s="38"/>
      <c r="M41" s="38"/>
      <c r="N41" s="38"/>
      <c r="O41" s="38"/>
      <c r="P41" s="38"/>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1BD7C-FC1E-4270-ABB6-14B434D743CC}">
  <dimension ref="A3:N20"/>
  <sheetViews>
    <sheetView workbookViewId="0">
      <selection activeCell="A3" sqref="A3:O17"/>
    </sheetView>
  </sheetViews>
  <sheetFormatPr defaultRowHeight="15"/>
  <cols>
    <col min="3" max="3" width="12.140625" bestFit="1" customWidth="1"/>
    <col min="12" max="14" width="9.140625" style="38"/>
  </cols>
  <sheetData>
    <row r="3" spans="1:14">
      <c r="A3" s="38"/>
      <c r="B3" s="38"/>
      <c r="C3" s="38"/>
      <c r="D3" s="38"/>
      <c r="E3" s="38"/>
      <c r="F3" s="38"/>
      <c r="G3" s="38"/>
      <c r="K3" t="s">
        <v>557</v>
      </c>
    </row>
    <row r="4" spans="1:14">
      <c r="A4" s="38" t="s">
        <v>545</v>
      </c>
      <c r="B4" s="38" t="s">
        <v>546</v>
      </c>
      <c r="C4" s="38" t="s">
        <v>595</v>
      </c>
      <c r="D4" s="38"/>
      <c r="E4" s="38" t="s">
        <v>562</v>
      </c>
      <c r="F4" s="38"/>
      <c r="G4" s="38" t="s">
        <v>374</v>
      </c>
      <c r="K4" t="s">
        <v>240</v>
      </c>
      <c r="L4" s="38">
        <f>SUMIF($A$5:$A$14,K4,$C$5:$C$14)-SUMIF($B$5:$B$14,K4,$C$5:$C$14)</f>
        <v>200</v>
      </c>
      <c r="M4" s="76" t="s">
        <v>270</v>
      </c>
      <c r="N4" s="41">
        <v>200</v>
      </c>
    </row>
    <row r="5" spans="1:14">
      <c r="A5" s="38" t="s">
        <v>240</v>
      </c>
      <c r="B5" s="38" t="s">
        <v>610</v>
      </c>
      <c r="C5" s="66">
        <v>125</v>
      </c>
      <c r="D5" s="38" t="s">
        <v>144</v>
      </c>
      <c r="E5" s="138">
        <v>125</v>
      </c>
      <c r="F5" s="38"/>
      <c r="G5" s="142">
        <v>425</v>
      </c>
      <c r="K5" t="s">
        <v>243</v>
      </c>
      <c r="L5" s="38">
        <f t="shared" ref="L5:L11" si="0">SUMIF($A$5:$A$14,K5,$C$5:$C$14)-SUMIF($B$5:$B$14,K5,$C$5:$C$14)</f>
        <v>300</v>
      </c>
      <c r="M5" s="76" t="s">
        <v>270</v>
      </c>
      <c r="N5" s="41">
        <v>300</v>
      </c>
    </row>
    <row r="6" spans="1:14">
      <c r="A6" s="38" t="s">
        <v>240</v>
      </c>
      <c r="B6" s="38" t="s">
        <v>611</v>
      </c>
      <c r="C6" s="66">
        <v>75</v>
      </c>
      <c r="D6" s="38" t="s">
        <v>144</v>
      </c>
      <c r="E6" s="138">
        <v>150</v>
      </c>
      <c r="F6" s="38"/>
      <c r="G6" s="142">
        <v>560</v>
      </c>
      <c r="K6" t="s">
        <v>610</v>
      </c>
      <c r="L6" s="38">
        <f t="shared" si="0"/>
        <v>0</v>
      </c>
      <c r="M6" s="76" t="s">
        <v>270</v>
      </c>
      <c r="N6" s="41">
        <v>0</v>
      </c>
    </row>
    <row r="7" spans="1:14">
      <c r="A7" s="38" t="s">
        <v>243</v>
      </c>
      <c r="B7" s="38" t="s">
        <v>610</v>
      </c>
      <c r="C7" s="66">
        <v>125</v>
      </c>
      <c r="D7" s="38" t="s">
        <v>144</v>
      </c>
      <c r="E7" s="138">
        <v>175</v>
      </c>
      <c r="F7" s="38"/>
      <c r="G7" s="142">
        <v>510</v>
      </c>
      <c r="K7" t="s">
        <v>611</v>
      </c>
      <c r="L7" s="38">
        <f t="shared" si="0"/>
        <v>0</v>
      </c>
      <c r="M7" s="76" t="s">
        <v>270</v>
      </c>
      <c r="N7" s="41">
        <v>0</v>
      </c>
    </row>
    <row r="8" spans="1:14">
      <c r="A8" s="38" t="s">
        <v>243</v>
      </c>
      <c r="B8" s="38" t="s">
        <v>611</v>
      </c>
      <c r="C8" s="66">
        <v>175</v>
      </c>
      <c r="D8" s="38" t="s">
        <v>144</v>
      </c>
      <c r="E8" s="138">
        <v>200</v>
      </c>
      <c r="F8" s="38"/>
      <c r="G8" s="142">
        <v>600</v>
      </c>
      <c r="K8" t="s">
        <v>615</v>
      </c>
      <c r="L8" s="38">
        <f t="shared" si="0"/>
        <v>0</v>
      </c>
      <c r="M8" s="76" t="s">
        <v>270</v>
      </c>
      <c r="N8" s="41">
        <v>0</v>
      </c>
    </row>
    <row r="9" spans="1:14">
      <c r="A9" s="38" t="s">
        <v>610</v>
      </c>
      <c r="B9" s="38" t="s">
        <v>612</v>
      </c>
      <c r="C9" s="66">
        <v>100</v>
      </c>
      <c r="D9" s="38" t="s">
        <v>144</v>
      </c>
      <c r="E9" s="138">
        <v>100</v>
      </c>
      <c r="F9" s="38"/>
      <c r="G9" s="142">
        <v>470</v>
      </c>
      <c r="K9" t="s">
        <v>612</v>
      </c>
      <c r="L9" s="38">
        <f t="shared" si="0"/>
        <v>-150</v>
      </c>
      <c r="M9" s="76" t="s">
        <v>270</v>
      </c>
      <c r="N9" s="41">
        <v>-150</v>
      </c>
    </row>
    <row r="10" spans="1:14">
      <c r="A10" s="38" t="s">
        <v>610</v>
      </c>
      <c r="B10" s="38" t="s">
        <v>613</v>
      </c>
      <c r="C10" s="66">
        <v>50</v>
      </c>
      <c r="D10" s="38" t="s">
        <v>144</v>
      </c>
      <c r="E10" s="138">
        <v>150</v>
      </c>
      <c r="F10" s="38"/>
      <c r="G10" s="142">
        <v>505</v>
      </c>
      <c r="K10" t="s">
        <v>613</v>
      </c>
      <c r="L10" s="38">
        <f t="shared" si="0"/>
        <v>-200</v>
      </c>
      <c r="M10" s="76" t="s">
        <v>270</v>
      </c>
      <c r="N10" s="41">
        <v>-200</v>
      </c>
    </row>
    <row r="11" spans="1:14">
      <c r="A11" s="38" t="s">
        <v>610</v>
      </c>
      <c r="B11" s="38" t="s">
        <v>614</v>
      </c>
      <c r="C11" s="66">
        <v>100</v>
      </c>
      <c r="D11" s="38" t="s">
        <v>144</v>
      </c>
      <c r="E11" s="138">
        <v>100</v>
      </c>
      <c r="F11" s="38"/>
      <c r="G11" s="142">
        <v>490</v>
      </c>
      <c r="K11" t="s">
        <v>614</v>
      </c>
      <c r="L11" s="38">
        <f t="shared" si="0"/>
        <v>-150</v>
      </c>
      <c r="M11" s="76" t="s">
        <v>270</v>
      </c>
      <c r="N11" s="41">
        <v>-150</v>
      </c>
    </row>
    <row r="12" spans="1:14">
      <c r="A12" s="38" t="s">
        <v>611</v>
      </c>
      <c r="B12" s="38" t="s">
        <v>612</v>
      </c>
      <c r="C12" s="66">
        <v>50</v>
      </c>
      <c r="D12" s="38" t="s">
        <v>144</v>
      </c>
      <c r="E12" s="138">
        <v>125</v>
      </c>
      <c r="F12" s="38"/>
      <c r="G12" s="142">
        <v>390</v>
      </c>
    </row>
    <row r="13" spans="1:14">
      <c r="A13" s="38" t="s">
        <v>611</v>
      </c>
      <c r="B13" s="38" t="s">
        <v>613</v>
      </c>
      <c r="C13" s="66">
        <v>150</v>
      </c>
      <c r="D13" s="38" t="s">
        <v>144</v>
      </c>
      <c r="E13" s="138">
        <v>150</v>
      </c>
      <c r="F13" s="38"/>
      <c r="G13" s="142">
        <v>410</v>
      </c>
    </row>
    <row r="14" spans="1:14">
      <c r="A14" s="38" t="s">
        <v>611</v>
      </c>
      <c r="B14" s="38" t="s">
        <v>614</v>
      </c>
      <c r="C14" s="66">
        <v>50</v>
      </c>
      <c r="D14" s="38" t="s">
        <v>144</v>
      </c>
      <c r="E14" s="138">
        <v>75</v>
      </c>
      <c r="F14" s="38"/>
      <c r="G14" s="142">
        <v>440</v>
      </c>
    </row>
    <row r="16" spans="1:14">
      <c r="A16" s="38"/>
      <c r="B16" s="38"/>
      <c r="C16" s="38"/>
      <c r="D16" s="38"/>
      <c r="E16" s="138"/>
      <c r="F16" s="38"/>
      <c r="G16" s="140"/>
    </row>
    <row r="18" spans="1:3">
      <c r="B18" s="38" t="s">
        <v>616</v>
      </c>
      <c r="C18" s="143">
        <f>SUMPRODUCT(C5:C14,G5:G14)</f>
        <v>488125</v>
      </c>
    </row>
    <row r="20" spans="1:3">
      <c r="A20" t="s">
        <v>617</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A5694-B8FC-4530-9235-26F43F17640C}">
  <dimension ref="A5:K27"/>
  <sheetViews>
    <sheetView workbookViewId="0">
      <selection activeCell="M16" sqref="M16"/>
    </sheetView>
  </sheetViews>
  <sheetFormatPr defaultRowHeight="15"/>
  <cols>
    <col min="4" max="4" width="14.140625" style="38" bestFit="1" customWidth="1"/>
    <col min="8" max="11" width="9.140625" style="38"/>
  </cols>
  <sheetData>
    <row r="5" spans="2:11">
      <c r="B5" s="38"/>
      <c r="C5" s="38"/>
      <c r="E5" s="38"/>
      <c r="F5" s="38"/>
      <c r="H5" s="38" t="s">
        <v>557</v>
      </c>
    </row>
    <row r="6" spans="2:11">
      <c r="B6" s="38" t="s">
        <v>545</v>
      </c>
      <c r="C6" s="38" t="s">
        <v>546</v>
      </c>
      <c r="D6" s="38" t="s">
        <v>619</v>
      </c>
      <c r="E6" s="38"/>
      <c r="F6" s="38" t="s">
        <v>562</v>
      </c>
      <c r="H6" s="38" t="s">
        <v>364</v>
      </c>
      <c r="I6" s="38">
        <f>SUMIF($B$7:$B$23,H6,$D$7:$D$23)-SUMIF($C$7:$C$23,H6,$D$7:$D$23)</f>
        <v>140</v>
      </c>
      <c r="J6" s="76"/>
      <c r="K6" s="41"/>
    </row>
    <row r="7" spans="2:11">
      <c r="B7" s="38" t="s">
        <v>364</v>
      </c>
      <c r="C7" s="38" t="s">
        <v>550</v>
      </c>
      <c r="D7" s="66">
        <v>75</v>
      </c>
      <c r="E7" s="38" t="s">
        <v>144</v>
      </c>
      <c r="F7" s="144">
        <v>75</v>
      </c>
      <c r="H7" s="38" t="s">
        <v>365</v>
      </c>
      <c r="I7" s="38">
        <f t="shared" ref="I7:I15" si="0">SUMIF($B$7:$B$23,H7,$D$7:$D$23)-SUMIF($C$7:$C$23,H7,$D$7:$D$23)</f>
        <v>140</v>
      </c>
      <c r="J7" s="76"/>
      <c r="K7" s="41"/>
    </row>
    <row r="8" spans="2:11">
      <c r="B8" s="38" t="s">
        <v>364</v>
      </c>
      <c r="C8" s="38" t="s">
        <v>551</v>
      </c>
      <c r="D8" s="66">
        <v>65</v>
      </c>
      <c r="E8" s="38" t="s">
        <v>144</v>
      </c>
      <c r="F8" s="144">
        <v>65</v>
      </c>
      <c r="H8" s="38" t="s">
        <v>366</v>
      </c>
      <c r="I8" s="38">
        <f t="shared" si="0"/>
        <v>115</v>
      </c>
      <c r="J8" s="76"/>
      <c r="K8" s="41"/>
    </row>
    <row r="9" spans="2:11">
      <c r="B9" s="38" t="s">
        <v>365</v>
      </c>
      <c r="C9" s="38" t="s">
        <v>550</v>
      </c>
      <c r="D9" s="66">
        <v>30</v>
      </c>
      <c r="E9" s="38" t="s">
        <v>144</v>
      </c>
      <c r="F9" s="144">
        <v>40</v>
      </c>
      <c r="H9" s="38" t="s">
        <v>550</v>
      </c>
      <c r="I9" s="38">
        <f t="shared" si="0"/>
        <v>0</v>
      </c>
      <c r="J9" s="76" t="s">
        <v>270</v>
      </c>
      <c r="K9" s="41">
        <v>0</v>
      </c>
    </row>
    <row r="10" spans="2:11">
      <c r="B10" s="38" t="s">
        <v>365</v>
      </c>
      <c r="C10" s="38" t="s">
        <v>551</v>
      </c>
      <c r="D10" s="66">
        <v>50</v>
      </c>
      <c r="E10" s="38" t="s">
        <v>144</v>
      </c>
      <c r="F10" s="144">
        <v>50</v>
      </c>
      <c r="H10" s="38" t="s">
        <v>551</v>
      </c>
      <c r="I10" s="38">
        <f t="shared" si="0"/>
        <v>0</v>
      </c>
      <c r="J10" s="76" t="s">
        <v>270</v>
      </c>
      <c r="K10" s="41">
        <v>0</v>
      </c>
    </row>
    <row r="11" spans="2:11">
      <c r="B11" s="38" t="s">
        <v>365</v>
      </c>
      <c r="C11" s="38" t="s">
        <v>552</v>
      </c>
      <c r="D11" s="66">
        <v>60</v>
      </c>
      <c r="E11" s="38" t="s">
        <v>144</v>
      </c>
      <c r="F11" s="144">
        <v>60</v>
      </c>
      <c r="H11" s="38" t="s">
        <v>552</v>
      </c>
      <c r="I11" s="38">
        <f t="shared" si="0"/>
        <v>0</v>
      </c>
      <c r="J11" s="76" t="s">
        <v>270</v>
      </c>
      <c r="K11" s="41">
        <v>0</v>
      </c>
    </row>
    <row r="12" spans="2:11">
      <c r="B12" s="38" t="s">
        <v>366</v>
      </c>
      <c r="C12" s="38" t="s">
        <v>551</v>
      </c>
      <c r="D12" s="66">
        <v>45</v>
      </c>
      <c r="E12" s="38" t="s">
        <v>144</v>
      </c>
      <c r="F12" s="144">
        <v>80</v>
      </c>
      <c r="H12" s="38" t="s">
        <v>553</v>
      </c>
      <c r="I12" s="38">
        <f t="shared" si="0"/>
        <v>0</v>
      </c>
      <c r="J12" s="76" t="s">
        <v>270</v>
      </c>
      <c r="K12" s="41">
        <v>0</v>
      </c>
    </row>
    <row r="13" spans="2:11">
      <c r="B13" s="38" t="s">
        <v>366</v>
      </c>
      <c r="C13" s="38" t="s">
        <v>552</v>
      </c>
      <c r="D13" s="66">
        <v>70</v>
      </c>
      <c r="E13" s="38" t="s">
        <v>144</v>
      </c>
      <c r="F13" s="144">
        <v>70</v>
      </c>
      <c r="H13" s="38" t="s">
        <v>554</v>
      </c>
      <c r="I13" s="38">
        <f t="shared" si="0"/>
        <v>0</v>
      </c>
      <c r="J13" s="76" t="s">
        <v>270</v>
      </c>
      <c r="K13" s="41">
        <v>0</v>
      </c>
    </row>
    <row r="14" spans="2:11">
      <c r="B14" s="38" t="s">
        <v>550</v>
      </c>
      <c r="C14" s="38" t="s">
        <v>553</v>
      </c>
      <c r="D14" s="66">
        <v>60</v>
      </c>
      <c r="E14" s="38" t="s">
        <v>144</v>
      </c>
      <c r="F14" s="144">
        <v>60</v>
      </c>
      <c r="H14" s="38" t="s">
        <v>555</v>
      </c>
      <c r="I14" s="38">
        <f t="shared" si="0"/>
        <v>0</v>
      </c>
      <c r="J14" s="38" t="s">
        <v>270</v>
      </c>
      <c r="K14" s="41">
        <v>0</v>
      </c>
    </row>
    <row r="15" spans="2:11">
      <c r="B15" s="38" t="s">
        <v>550</v>
      </c>
      <c r="C15" s="38" t="s">
        <v>554</v>
      </c>
      <c r="D15" s="66">
        <v>45</v>
      </c>
      <c r="E15" s="38" t="s">
        <v>144</v>
      </c>
      <c r="F15" s="144">
        <v>45</v>
      </c>
      <c r="H15" s="38" t="s">
        <v>620</v>
      </c>
      <c r="I15" s="38">
        <f t="shared" si="0"/>
        <v>-395</v>
      </c>
      <c r="K15" s="41"/>
    </row>
    <row r="16" spans="2:11">
      <c r="B16" s="38" t="s">
        <v>551</v>
      </c>
      <c r="C16" s="38" t="s">
        <v>553</v>
      </c>
      <c r="D16" s="66">
        <v>60</v>
      </c>
      <c r="E16" s="38" t="s">
        <v>144</v>
      </c>
      <c r="F16" s="144">
        <v>70</v>
      </c>
      <c r="I16" s="38" t="s">
        <v>270</v>
      </c>
    </row>
    <row r="17" spans="1:9">
      <c r="B17" s="38" t="s">
        <v>551</v>
      </c>
      <c r="C17" s="38" t="s">
        <v>554</v>
      </c>
      <c r="D17" s="66">
        <v>55</v>
      </c>
      <c r="E17" s="38" t="s">
        <v>144</v>
      </c>
      <c r="F17" s="144">
        <v>55</v>
      </c>
      <c r="I17" s="38">
        <f>-SUM(I6:I8)</f>
        <v>-395</v>
      </c>
    </row>
    <row r="18" spans="1:9">
      <c r="B18" s="38" t="s">
        <v>551</v>
      </c>
      <c r="C18" s="38" t="s">
        <v>555</v>
      </c>
      <c r="D18" s="66">
        <v>45</v>
      </c>
      <c r="E18" s="38" t="s">
        <v>144</v>
      </c>
      <c r="F18" s="144">
        <v>45</v>
      </c>
    </row>
    <row r="19" spans="1:9">
      <c r="B19" s="38" t="s">
        <v>552</v>
      </c>
      <c r="C19" s="38" t="s">
        <v>554</v>
      </c>
      <c r="D19" s="66">
        <v>70</v>
      </c>
      <c r="E19" s="38" t="s">
        <v>144</v>
      </c>
      <c r="F19" s="144">
        <v>70</v>
      </c>
    </row>
    <row r="20" spans="1:9">
      <c r="B20" s="38" t="s">
        <v>552</v>
      </c>
      <c r="C20" s="38" t="s">
        <v>555</v>
      </c>
      <c r="D20" s="66">
        <v>60</v>
      </c>
      <c r="E20" s="38" t="s">
        <v>144</v>
      </c>
      <c r="F20" s="144">
        <v>90</v>
      </c>
    </row>
    <row r="21" spans="1:9">
      <c r="B21" s="38" t="s">
        <v>553</v>
      </c>
      <c r="C21" s="38" t="s">
        <v>620</v>
      </c>
      <c r="D21" s="66">
        <v>120</v>
      </c>
      <c r="E21" s="38" t="s">
        <v>144</v>
      </c>
      <c r="F21" s="144">
        <v>120</v>
      </c>
    </row>
    <row r="22" spans="1:9">
      <c r="B22" s="38" t="s">
        <v>554</v>
      </c>
      <c r="C22" s="38" t="s">
        <v>620</v>
      </c>
      <c r="D22" s="66">
        <v>170</v>
      </c>
      <c r="E22" s="38" t="s">
        <v>144</v>
      </c>
      <c r="F22" s="144">
        <v>190</v>
      </c>
    </row>
    <row r="23" spans="1:9">
      <c r="B23" s="38" t="s">
        <v>555</v>
      </c>
      <c r="C23" s="38" t="s">
        <v>620</v>
      </c>
      <c r="D23" s="66">
        <v>105</v>
      </c>
      <c r="E23" s="38" t="s">
        <v>144</v>
      </c>
      <c r="F23" s="144">
        <v>130</v>
      </c>
    </row>
    <row r="25" spans="1:9">
      <c r="B25" s="38" t="s">
        <v>621</v>
      </c>
      <c r="C25" s="132">
        <f>SUM(I6:I8)</f>
        <v>395</v>
      </c>
    </row>
    <row r="27" spans="1:9">
      <c r="A27" t="s">
        <v>622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F0B84-A481-4C38-B798-568DE9123899}">
  <dimension ref="A3:E13"/>
  <sheetViews>
    <sheetView workbookViewId="0">
      <selection activeCell="D14" sqref="D14"/>
    </sheetView>
  </sheetViews>
  <sheetFormatPr defaultRowHeight="15"/>
  <cols>
    <col min="1" max="1" width="19.140625" bestFit="1" customWidth="1"/>
    <col min="2" max="2" width="11.140625" bestFit="1" customWidth="1"/>
    <col min="4" max="4" width="17.85546875" bestFit="1" customWidth="1"/>
    <col min="5" max="5" width="13.85546875" bestFit="1" customWidth="1"/>
  </cols>
  <sheetData>
    <row r="3" spans="1:5">
      <c r="B3" s="2" t="s">
        <v>1</v>
      </c>
      <c r="D3" s="2" t="s">
        <v>2</v>
      </c>
    </row>
    <row r="4" spans="1:5">
      <c r="A4" t="s">
        <v>7</v>
      </c>
      <c r="B4" s="3">
        <v>2000</v>
      </c>
      <c r="D4" t="s">
        <v>8</v>
      </c>
      <c r="E4" s="4">
        <f>UnitRevenue2*MIN(SalesForecast2,ProductionQuantity2)</f>
        <v>60000000</v>
      </c>
    </row>
    <row r="5" spans="1:5">
      <c r="A5" t="s">
        <v>9</v>
      </c>
      <c r="B5" s="3">
        <v>10000000</v>
      </c>
      <c r="D5" t="s">
        <v>10</v>
      </c>
      <c r="E5" s="6">
        <f>IF(ProductionQuantity2&gt;0,FixedCost2,0)</f>
        <v>10000000</v>
      </c>
    </row>
    <row r="6" spans="1:5">
      <c r="A6" t="s">
        <v>11</v>
      </c>
      <c r="B6" s="3">
        <v>1000</v>
      </c>
      <c r="D6" t="s">
        <v>12</v>
      </c>
      <c r="E6" s="6">
        <f>MarginalCost2*ProductionQuantity2</f>
        <v>30000000</v>
      </c>
    </row>
    <row r="7" spans="1:5">
      <c r="A7" t="s">
        <v>13</v>
      </c>
      <c r="B7" s="7">
        <v>30000</v>
      </c>
      <c r="D7" t="s">
        <v>6</v>
      </c>
      <c r="E7" s="10">
        <f>E4-(TotalFixedCost2+TotalVariableCost2)</f>
        <v>20000000</v>
      </c>
    </row>
    <row r="9" spans="1:5">
      <c r="A9" t="s">
        <v>14</v>
      </c>
      <c r="B9" s="8">
        <v>30000</v>
      </c>
      <c r="D9" t="s">
        <v>15</v>
      </c>
      <c r="E9" s="9"/>
    </row>
    <row r="11" spans="1:5">
      <c r="A11" s="12" t="s">
        <v>25</v>
      </c>
    </row>
    <row r="12" spans="1:5">
      <c r="A12" s="12" t="s">
        <v>26</v>
      </c>
    </row>
    <row r="13" spans="1:5">
      <c r="A13" s="12" t="s">
        <v>27</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CABE-1F01-432B-9C75-2ED957DAFB74}">
  <dimension ref="A1:R23"/>
  <sheetViews>
    <sheetView workbookViewId="0">
      <selection activeCell="P24" sqref="P24"/>
    </sheetView>
  </sheetViews>
  <sheetFormatPr defaultRowHeight="15"/>
  <cols>
    <col min="2" max="2" width="5.5703125" bestFit="1" customWidth="1"/>
    <col min="3" max="3" width="3.140625" bestFit="1" customWidth="1"/>
    <col min="4" max="4" width="11.28515625" bestFit="1" customWidth="1"/>
    <col min="8" max="8" width="15.85546875" bestFit="1" customWidth="1"/>
    <col min="9" max="9" width="11.42578125" bestFit="1" customWidth="1"/>
    <col min="12" max="12" width="12.5703125" bestFit="1" customWidth="1"/>
    <col min="13" max="13" width="11.28515625" bestFit="1" customWidth="1"/>
  </cols>
  <sheetData>
    <row r="1" spans="1:18">
      <c r="A1" t="s">
        <v>544</v>
      </c>
      <c r="B1" s="38"/>
      <c r="C1" s="38"/>
      <c r="D1" s="38"/>
      <c r="E1" s="38"/>
      <c r="F1" s="38"/>
      <c r="G1" s="38"/>
      <c r="H1" s="38"/>
      <c r="I1" s="38"/>
      <c r="J1" s="38"/>
      <c r="K1" s="38"/>
      <c r="L1" s="38"/>
      <c r="M1" s="38"/>
      <c r="N1" s="38"/>
      <c r="O1" s="38"/>
      <c r="Q1" s="38"/>
      <c r="R1" s="38"/>
    </row>
    <row r="2" spans="1:18">
      <c r="B2" s="38"/>
      <c r="C2" s="38"/>
      <c r="D2" s="38"/>
      <c r="E2" s="38"/>
      <c r="F2" s="38"/>
      <c r="G2" s="38"/>
      <c r="H2" s="38"/>
      <c r="I2" s="38"/>
      <c r="J2" s="38"/>
      <c r="K2" s="38" t="s">
        <v>631</v>
      </c>
      <c r="L2" s="38"/>
      <c r="M2" s="38"/>
      <c r="N2" s="38"/>
      <c r="O2" s="38"/>
      <c r="Q2" s="38"/>
      <c r="R2" s="38"/>
    </row>
    <row r="3" spans="1:18">
      <c r="B3" s="38"/>
      <c r="C3" s="38"/>
      <c r="D3" s="38"/>
      <c r="E3" s="38"/>
      <c r="F3" s="38" t="s">
        <v>567</v>
      </c>
      <c r="G3" s="38"/>
      <c r="H3" s="38" t="s">
        <v>548</v>
      </c>
      <c r="I3" s="38" t="s">
        <v>563</v>
      </c>
      <c r="J3" s="38"/>
      <c r="K3" s="38" t="s">
        <v>632</v>
      </c>
      <c r="L3" s="38" t="s">
        <v>564</v>
      </c>
      <c r="M3" s="38" t="s">
        <v>565</v>
      </c>
      <c r="N3" s="38"/>
      <c r="O3" s="38"/>
      <c r="P3" t="s">
        <v>558</v>
      </c>
      <c r="Q3" s="38"/>
      <c r="R3" s="38"/>
    </row>
    <row r="4" spans="1:18">
      <c r="B4" s="38" t="s">
        <v>545</v>
      </c>
      <c r="C4" s="38" t="s">
        <v>546</v>
      </c>
      <c r="D4" s="38" t="s">
        <v>547</v>
      </c>
      <c r="E4" s="38"/>
      <c r="F4" s="38"/>
      <c r="G4" s="38"/>
      <c r="H4" s="38" t="s">
        <v>549</v>
      </c>
      <c r="I4" s="38" t="s">
        <v>562</v>
      </c>
      <c r="J4" s="38"/>
      <c r="K4" s="38" t="s">
        <v>633</v>
      </c>
      <c r="L4" s="38" t="s">
        <v>549</v>
      </c>
      <c r="M4" s="38" t="s">
        <v>549</v>
      </c>
      <c r="N4" s="38"/>
      <c r="O4" s="38" t="s">
        <v>557</v>
      </c>
      <c r="P4" s="38" t="s">
        <v>549</v>
      </c>
      <c r="Q4" s="38"/>
      <c r="R4" s="38" t="s">
        <v>559</v>
      </c>
    </row>
    <row r="5" spans="1:18">
      <c r="B5" s="38" t="s">
        <v>550</v>
      </c>
      <c r="C5" s="38" t="s">
        <v>551</v>
      </c>
      <c r="D5" s="115">
        <v>19</v>
      </c>
      <c r="E5" s="38" t="s">
        <v>144</v>
      </c>
      <c r="F5" s="38">
        <f>SUM(H5:I5)</f>
        <v>19</v>
      </c>
      <c r="G5" s="38"/>
      <c r="H5" s="41">
        <v>13</v>
      </c>
      <c r="I5" s="115">
        <v>6</v>
      </c>
      <c r="J5" s="38" t="s">
        <v>144</v>
      </c>
      <c r="K5" s="38">
        <f>L5</f>
        <v>6</v>
      </c>
      <c r="L5" s="41">
        <v>6</v>
      </c>
      <c r="M5" s="41">
        <v>2.8</v>
      </c>
      <c r="N5" s="38"/>
      <c r="O5" s="38" t="s">
        <v>550</v>
      </c>
      <c r="P5">
        <f t="shared" ref="P5:P11" si="0">SUMIF(Fromst,O5,Flowst)-SUMIF(Tost,O5,Flowst)</f>
        <v>35</v>
      </c>
      <c r="Q5" s="38" t="s">
        <v>123</v>
      </c>
      <c r="R5" s="38">
        <v>35</v>
      </c>
    </row>
    <row r="6" spans="1:18">
      <c r="B6" s="38" t="s">
        <v>550</v>
      </c>
      <c r="C6" s="38" t="s">
        <v>552</v>
      </c>
      <c r="D6" s="115">
        <v>6</v>
      </c>
      <c r="E6" s="38" t="s">
        <v>144</v>
      </c>
      <c r="F6" s="38">
        <f t="shared" ref="F6:F16" si="1">SUM(H6:I6)</f>
        <v>6</v>
      </c>
      <c r="G6" s="38"/>
      <c r="H6" s="41">
        <v>6</v>
      </c>
      <c r="I6" s="115">
        <v>0</v>
      </c>
      <c r="J6" s="38" t="s">
        <v>144</v>
      </c>
      <c r="K6" s="78">
        <f>L6*L19</f>
        <v>0</v>
      </c>
      <c r="L6" s="41">
        <v>4</v>
      </c>
      <c r="M6" s="41">
        <v>2.5</v>
      </c>
      <c r="N6" s="38"/>
      <c r="O6" s="38" t="s">
        <v>551</v>
      </c>
      <c r="P6">
        <f t="shared" si="0"/>
        <v>0</v>
      </c>
      <c r="Q6" s="38" t="s">
        <v>270</v>
      </c>
      <c r="R6" s="41">
        <v>0</v>
      </c>
    </row>
    <row r="7" spans="1:18">
      <c r="B7" s="38" t="s">
        <v>550</v>
      </c>
      <c r="C7" s="38" t="s">
        <v>553</v>
      </c>
      <c r="D7" s="115">
        <v>10</v>
      </c>
      <c r="E7" s="38" t="s">
        <v>144</v>
      </c>
      <c r="F7" s="38">
        <f t="shared" si="1"/>
        <v>10</v>
      </c>
      <c r="G7" s="38"/>
      <c r="H7" s="41">
        <v>10</v>
      </c>
      <c r="I7" s="115">
        <v>0</v>
      </c>
      <c r="J7" s="38" t="s">
        <v>144</v>
      </c>
      <c r="K7" s="38">
        <f t="shared" ref="K7:K15" si="2">L7</f>
        <v>3</v>
      </c>
      <c r="L7" s="41">
        <v>3</v>
      </c>
      <c r="M7" s="41">
        <v>2.8</v>
      </c>
      <c r="N7" s="38"/>
      <c r="O7" s="38" t="s">
        <v>552</v>
      </c>
      <c r="P7">
        <f t="shared" si="0"/>
        <v>0</v>
      </c>
      <c r="Q7" s="38" t="s">
        <v>270</v>
      </c>
      <c r="R7" s="41">
        <v>0</v>
      </c>
    </row>
    <row r="8" spans="1:18">
      <c r="B8" s="38" t="s">
        <v>551</v>
      </c>
      <c r="C8" s="38" t="s">
        <v>553</v>
      </c>
      <c r="D8" s="115">
        <v>6</v>
      </c>
      <c r="E8" s="38" t="s">
        <v>144</v>
      </c>
      <c r="F8" s="38">
        <f t="shared" si="1"/>
        <v>9</v>
      </c>
      <c r="G8" s="38"/>
      <c r="H8" s="41">
        <v>9</v>
      </c>
      <c r="I8" s="115">
        <v>0</v>
      </c>
      <c r="J8" s="38" t="s">
        <v>144</v>
      </c>
      <c r="K8" s="38">
        <f t="shared" si="2"/>
        <v>4</v>
      </c>
      <c r="L8" s="41">
        <v>4</v>
      </c>
      <c r="M8" s="41">
        <v>2.5</v>
      </c>
      <c r="N8" s="38"/>
      <c r="O8" s="38" t="s">
        <v>553</v>
      </c>
      <c r="P8">
        <f t="shared" si="0"/>
        <v>0</v>
      </c>
      <c r="Q8" s="38" t="s">
        <v>270</v>
      </c>
      <c r="R8" s="41">
        <v>0</v>
      </c>
    </row>
    <row r="9" spans="1:18">
      <c r="B9" s="38" t="s">
        <v>551</v>
      </c>
      <c r="C9" s="38" t="s">
        <v>554</v>
      </c>
      <c r="D9" s="115">
        <v>10</v>
      </c>
      <c r="E9" s="38" t="s">
        <v>144</v>
      </c>
      <c r="F9" s="38">
        <f t="shared" si="1"/>
        <v>10</v>
      </c>
      <c r="G9" s="38"/>
      <c r="H9" s="41">
        <v>5</v>
      </c>
      <c r="I9" s="115">
        <v>5</v>
      </c>
      <c r="J9" s="38" t="s">
        <v>144</v>
      </c>
      <c r="K9" s="38">
        <f t="shared" si="2"/>
        <v>5</v>
      </c>
      <c r="L9" s="41">
        <v>5</v>
      </c>
      <c r="M9" s="41">
        <v>3.1</v>
      </c>
      <c r="N9" s="38"/>
      <c r="O9" s="38" t="s">
        <v>554</v>
      </c>
      <c r="P9">
        <f t="shared" si="0"/>
        <v>0</v>
      </c>
      <c r="Q9" s="38" t="s">
        <v>270</v>
      </c>
      <c r="R9" s="41">
        <v>0</v>
      </c>
    </row>
    <row r="10" spans="1:18">
      <c r="B10" s="38" t="s">
        <v>551</v>
      </c>
      <c r="C10" s="38" t="s">
        <v>555</v>
      </c>
      <c r="D10" s="115">
        <v>3</v>
      </c>
      <c r="E10" s="38" t="s">
        <v>144</v>
      </c>
      <c r="F10" s="38">
        <f t="shared" si="1"/>
        <v>7</v>
      </c>
      <c r="G10" s="38"/>
      <c r="H10" s="41">
        <v>7</v>
      </c>
      <c r="I10" s="115">
        <v>0</v>
      </c>
      <c r="J10" s="38" t="s">
        <v>144</v>
      </c>
      <c r="K10" s="78">
        <f>L10*L20</f>
        <v>3</v>
      </c>
      <c r="L10" s="41">
        <v>3</v>
      </c>
      <c r="M10" s="41">
        <v>1.6</v>
      </c>
      <c r="N10" s="38"/>
      <c r="O10" s="38" t="s">
        <v>555</v>
      </c>
      <c r="P10">
        <f t="shared" si="0"/>
        <v>0</v>
      </c>
      <c r="Q10" s="38" t="s">
        <v>270</v>
      </c>
      <c r="R10" s="41">
        <v>0</v>
      </c>
    </row>
    <row r="11" spans="1:18">
      <c r="B11" s="38" t="s">
        <v>552</v>
      </c>
      <c r="C11" s="38" t="s">
        <v>553</v>
      </c>
      <c r="D11" s="115">
        <v>6</v>
      </c>
      <c r="E11" s="38" t="s">
        <v>144</v>
      </c>
      <c r="F11" s="38">
        <f t="shared" si="1"/>
        <v>8</v>
      </c>
      <c r="G11" s="38"/>
      <c r="H11" s="41">
        <v>8</v>
      </c>
      <c r="I11" s="115">
        <v>0</v>
      </c>
      <c r="J11" s="38" t="s">
        <v>144</v>
      </c>
      <c r="K11" s="78">
        <f>L11*L19</f>
        <v>0</v>
      </c>
      <c r="L11" s="41">
        <v>5</v>
      </c>
      <c r="M11" s="41">
        <v>3.9</v>
      </c>
      <c r="N11" s="38"/>
      <c r="O11" s="38" t="s">
        <v>556</v>
      </c>
      <c r="P11">
        <f t="shared" si="0"/>
        <v>-35</v>
      </c>
      <c r="Q11" s="38"/>
      <c r="R11" s="38"/>
    </row>
    <row r="12" spans="1:18">
      <c r="B12" s="38" t="s">
        <v>553</v>
      </c>
      <c r="C12" s="38" t="s">
        <v>554</v>
      </c>
      <c r="D12" s="115">
        <v>5</v>
      </c>
      <c r="E12" s="38" t="s">
        <v>144</v>
      </c>
      <c r="F12" s="38">
        <f t="shared" si="1"/>
        <v>5</v>
      </c>
      <c r="G12" s="38"/>
      <c r="H12" s="41">
        <v>3</v>
      </c>
      <c r="I12" s="115">
        <v>2</v>
      </c>
      <c r="J12" s="38" t="s">
        <v>144</v>
      </c>
      <c r="K12" s="38">
        <f t="shared" si="2"/>
        <v>2</v>
      </c>
      <c r="L12" s="41">
        <v>2</v>
      </c>
      <c r="M12" s="41">
        <v>2.8</v>
      </c>
      <c r="N12" s="38"/>
      <c r="O12" s="38"/>
      <c r="Q12" s="38"/>
      <c r="R12" s="38"/>
    </row>
    <row r="13" spans="1:18">
      <c r="B13" s="38" t="s">
        <v>553</v>
      </c>
      <c r="C13" s="38" t="s">
        <v>556</v>
      </c>
      <c r="D13" s="115">
        <v>17</v>
      </c>
      <c r="E13" s="38" t="s">
        <v>144</v>
      </c>
      <c r="F13" s="38">
        <f t="shared" si="1"/>
        <v>17</v>
      </c>
      <c r="G13" s="38"/>
      <c r="H13" s="41">
        <v>12</v>
      </c>
      <c r="I13" s="115">
        <v>5</v>
      </c>
      <c r="J13" s="38" t="s">
        <v>144</v>
      </c>
      <c r="K13" s="38">
        <f t="shared" si="2"/>
        <v>5</v>
      </c>
      <c r="L13" s="41">
        <v>5</v>
      </c>
      <c r="M13" s="41">
        <v>1.6</v>
      </c>
      <c r="N13" s="38"/>
      <c r="O13" s="38"/>
      <c r="Q13" s="38"/>
      <c r="R13" s="38"/>
    </row>
    <row r="14" spans="1:18">
      <c r="B14" s="38" t="s">
        <v>554</v>
      </c>
      <c r="C14" s="38" t="s">
        <v>555</v>
      </c>
      <c r="D14" s="115">
        <v>6</v>
      </c>
      <c r="E14" s="38" t="s">
        <v>144</v>
      </c>
      <c r="F14" s="38">
        <f t="shared" si="1"/>
        <v>6</v>
      </c>
      <c r="G14" s="38"/>
      <c r="H14" s="41">
        <v>4</v>
      </c>
      <c r="I14" s="115">
        <v>2</v>
      </c>
      <c r="J14" s="38" t="s">
        <v>144</v>
      </c>
      <c r="K14" s="78">
        <f>L14*L20</f>
        <v>2</v>
      </c>
      <c r="L14" s="41">
        <v>2</v>
      </c>
      <c r="M14" s="41">
        <v>4.5999999999999996</v>
      </c>
      <c r="N14" s="38"/>
      <c r="O14" s="38"/>
      <c r="Q14" s="38"/>
      <c r="R14" s="38"/>
    </row>
    <row r="15" spans="1:18">
      <c r="B15" s="38" t="s">
        <v>554</v>
      </c>
      <c r="C15" s="38" t="s">
        <v>556</v>
      </c>
      <c r="D15" s="115">
        <v>9</v>
      </c>
      <c r="E15" s="38" t="s">
        <v>144</v>
      </c>
      <c r="F15" s="38">
        <f t="shared" si="1"/>
        <v>10</v>
      </c>
      <c r="G15" s="38"/>
      <c r="H15" s="41">
        <v>6</v>
      </c>
      <c r="I15" s="115">
        <v>4</v>
      </c>
      <c r="J15" s="38" t="s">
        <v>144</v>
      </c>
      <c r="K15" s="38">
        <f t="shared" si="2"/>
        <v>4</v>
      </c>
      <c r="L15" s="41">
        <v>4</v>
      </c>
      <c r="M15" s="41">
        <v>2.9</v>
      </c>
      <c r="N15" s="38"/>
      <c r="O15" s="38"/>
      <c r="P15" s="38" t="s">
        <v>628</v>
      </c>
      <c r="Q15" s="38"/>
      <c r="R15" s="38"/>
    </row>
    <row r="16" spans="1:18">
      <c r="B16" s="38" t="s">
        <v>555</v>
      </c>
      <c r="C16" s="38" t="s">
        <v>556</v>
      </c>
      <c r="D16" s="115">
        <v>9</v>
      </c>
      <c r="E16" s="38" t="s">
        <v>144</v>
      </c>
      <c r="F16" s="38">
        <f t="shared" si="1"/>
        <v>9</v>
      </c>
      <c r="G16" s="38"/>
      <c r="H16" s="41">
        <v>9</v>
      </c>
      <c r="I16" s="115">
        <v>0</v>
      </c>
      <c r="J16" s="38" t="s">
        <v>144</v>
      </c>
      <c r="K16" s="78">
        <f>L16*L20</f>
        <v>5</v>
      </c>
      <c r="L16" s="41">
        <v>5</v>
      </c>
      <c r="M16" s="41">
        <v>1.6</v>
      </c>
      <c r="N16" s="38"/>
      <c r="O16" s="38"/>
      <c r="P16">
        <f>SUMPRODUCT(AddedCapacity,CostForAdded)</f>
        <v>33.799999999999997</v>
      </c>
      <c r="Q16" s="38"/>
      <c r="R16" s="38"/>
    </row>
    <row r="17" spans="2:18">
      <c r="B17" s="38"/>
      <c r="C17" s="38"/>
      <c r="D17" s="38"/>
      <c r="E17" s="38"/>
      <c r="F17" s="38"/>
      <c r="G17" s="38"/>
      <c r="H17" s="38"/>
      <c r="I17" s="38"/>
      <c r="J17" s="38"/>
      <c r="K17" s="38"/>
      <c r="L17" s="38"/>
      <c r="M17" s="38"/>
      <c r="N17" s="38"/>
      <c r="O17" s="38"/>
      <c r="P17" s="38" t="s">
        <v>629</v>
      </c>
      <c r="Q17" s="38"/>
      <c r="R17" s="38"/>
    </row>
    <row r="18" spans="2:18">
      <c r="B18" s="38"/>
      <c r="C18" s="38"/>
      <c r="D18" s="38"/>
      <c r="E18" s="38"/>
      <c r="F18" s="38"/>
      <c r="G18" s="38"/>
      <c r="H18" s="38"/>
      <c r="I18" s="38"/>
      <c r="J18" s="38"/>
      <c r="K18" s="38" t="s">
        <v>625</v>
      </c>
      <c r="L18" s="38" t="s">
        <v>626</v>
      </c>
      <c r="M18" s="38" t="s">
        <v>627</v>
      </c>
      <c r="N18" s="38"/>
      <c r="O18" s="38"/>
      <c r="P18">
        <f>SUMPRODUCT(NewRouter,M19:M20)</f>
        <v>3</v>
      </c>
      <c r="Q18" s="38"/>
      <c r="R18" s="38"/>
    </row>
    <row r="19" spans="2:18">
      <c r="B19" s="38"/>
      <c r="C19" s="38" t="s">
        <v>624</v>
      </c>
      <c r="D19" s="38"/>
      <c r="E19" s="132">
        <f>P5</f>
        <v>35</v>
      </c>
      <c r="F19" s="38" t="s">
        <v>123</v>
      </c>
      <c r="G19" s="38">
        <v>35</v>
      </c>
      <c r="H19" s="38"/>
      <c r="I19" s="38"/>
      <c r="J19" s="38"/>
      <c r="K19" s="38" t="s">
        <v>552</v>
      </c>
      <c r="L19" s="115">
        <v>0</v>
      </c>
      <c r="M19" s="41">
        <v>2</v>
      </c>
      <c r="N19" s="38"/>
      <c r="O19" s="38"/>
      <c r="P19" s="38" t="s">
        <v>630</v>
      </c>
      <c r="Q19" s="38"/>
      <c r="R19" s="38"/>
    </row>
    <row r="20" spans="2:18">
      <c r="B20" s="38"/>
      <c r="C20" s="38"/>
      <c r="D20" s="38"/>
      <c r="E20" s="38"/>
      <c r="F20" s="38"/>
      <c r="G20" s="38"/>
      <c r="H20" s="38"/>
      <c r="I20" s="38"/>
      <c r="J20" s="38"/>
      <c r="K20" s="38" t="s">
        <v>555</v>
      </c>
      <c r="L20" s="115">
        <v>1</v>
      </c>
      <c r="M20" s="41">
        <v>3</v>
      </c>
      <c r="N20" s="38"/>
      <c r="O20" s="38"/>
      <c r="P20" s="133">
        <f>SUM(P16,P18)</f>
        <v>36.799999999999997</v>
      </c>
      <c r="Q20" s="38"/>
      <c r="R20" s="38"/>
    </row>
    <row r="21" spans="2:18">
      <c r="B21" s="38"/>
      <c r="C21" s="38"/>
      <c r="D21" s="38"/>
      <c r="E21" s="38"/>
      <c r="F21" s="38"/>
      <c r="G21" s="38"/>
      <c r="H21" s="38"/>
      <c r="I21" s="38"/>
      <c r="J21" s="38"/>
      <c r="K21" s="38"/>
      <c r="L21" s="38"/>
      <c r="M21" s="38"/>
      <c r="N21" s="38"/>
      <c r="O21" s="38"/>
      <c r="Q21" s="38"/>
      <c r="R21" s="38"/>
    </row>
    <row r="22" spans="2:18">
      <c r="B22" s="38"/>
      <c r="C22" s="38"/>
      <c r="D22" s="38"/>
      <c r="E22" s="38"/>
      <c r="F22" s="38"/>
      <c r="G22" s="38"/>
      <c r="H22" s="38"/>
      <c r="I22" s="38"/>
      <c r="J22" s="38"/>
      <c r="K22" s="38"/>
      <c r="L22" s="38"/>
      <c r="M22" s="38"/>
      <c r="N22" s="38"/>
      <c r="O22" s="38"/>
      <c r="P22" t="s">
        <v>634</v>
      </c>
      <c r="Q22" s="38"/>
      <c r="R22" s="38"/>
    </row>
    <row r="23" spans="2:18">
      <c r="B23" s="38"/>
      <c r="C23" s="38"/>
      <c r="D23" s="38"/>
      <c r="E23" s="38"/>
      <c r="F23" s="38"/>
      <c r="G23" s="38"/>
      <c r="H23" s="38"/>
      <c r="I23" s="38"/>
      <c r="J23" s="38"/>
      <c r="K23" s="38"/>
      <c r="L23" s="38"/>
      <c r="M23" s="38"/>
      <c r="N23" s="38"/>
      <c r="O23" s="38"/>
      <c r="Q23" s="38"/>
      <c r="R23" s="38"/>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0471F-1EA9-4AC4-9ACE-5AAA664BD6B3}">
  <dimension ref="A1:H42"/>
  <sheetViews>
    <sheetView zoomScale="130" zoomScaleNormal="130" workbookViewId="0">
      <selection activeCell="I13" sqref="I13"/>
    </sheetView>
  </sheetViews>
  <sheetFormatPr defaultRowHeight="15"/>
  <cols>
    <col min="1" max="1" width="12.5703125" customWidth="1"/>
    <col min="2" max="2" width="12.5703125" style="38" bestFit="1" customWidth="1"/>
    <col min="3" max="3" width="8.42578125" style="38" bestFit="1" customWidth="1"/>
    <col min="4" max="4" width="8" style="38" bestFit="1" customWidth="1"/>
    <col min="5" max="5" width="11.5703125" style="38" bestFit="1" customWidth="1"/>
    <col min="6" max="6" width="9.140625" style="38"/>
    <col min="7" max="7" width="11.7109375" style="38" customWidth="1"/>
    <col min="8" max="8" width="9.140625" style="38"/>
  </cols>
  <sheetData>
    <row r="1" spans="1:8">
      <c r="A1" t="s">
        <v>1</v>
      </c>
    </row>
    <row r="2" spans="1:8">
      <c r="F2" s="181" t="s">
        <v>643</v>
      </c>
      <c r="G2" s="181"/>
      <c r="H2" s="181"/>
    </row>
    <row r="3" spans="1:8">
      <c r="A3" t="s">
        <v>635</v>
      </c>
      <c r="B3" s="38" t="s">
        <v>636</v>
      </c>
      <c r="C3" s="38" t="s">
        <v>637</v>
      </c>
      <c r="D3" s="38" t="s">
        <v>638</v>
      </c>
      <c r="E3" s="38" t="s">
        <v>639</v>
      </c>
      <c r="F3" s="38" t="s">
        <v>640</v>
      </c>
      <c r="G3" s="38" t="s">
        <v>641</v>
      </c>
      <c r="H3" s="38" t="s">
        <v>642</v>
      </c>
    </row>
    <row r="4" spans="1:8">
      <c r="A4">
        <v>1</v>
      </c>
      <c r="B4" s="145">
        <v>450</v>
      </c>
      <c r="C4" s="146">
        <v>0.32</v>
      </c>
      <c r="D4" s="146">
        <v>0.38</v>
      </c>
      <c r="E4" s="147">
        <v>0.3</v>
      </c>
      <c r="F4" s="40">
        <v>300</v>
      </c>
      <c r="G4" s="40">
        <v>0</v>
      </c>
      <c r="H4" s="40">
        <v>700</v>
      </c>
    </row>
    <row r="5" spans="1:8">
      <c r="A5">
        <v>2</v>
      </c>
      <c r="B5" s="145">
        <v>600</v>
      </c>
      <c r="C5" s="146">
        <v>0.37</v>
      </c>
      <c r="D5" s="146">
        <v>0.28000000000000003</v>
      </c>
      <c r="E5" s="147">
        <v>0.35</v>
      </c>
      <c r="F5" s="148">
        <v>999</v>
      </c>
      <c r="G5" s="40">
        <v>400</v>
      </c>
      <c r="H5" s="40">
        <v>500</v>
      </c>
    </row>
    <row r="6" spans="1:8">
      <c r="A6">
        <v>3</v>
      </c>
      <c r="B6" s="145">
        <v>550</v>
      </c>
      <c r="C6" s="146">
        <v>0.3</v>
      </c>
      <c r="D6" s="146">
        <v>0.32</v>
      </c>
      <c r="E6" s="147">
        <v>0.38</v>
      </c>
      <c r="F6" s="40">
        <v>600</v>
      </c>
      <c r="G6" s="40">
        <v>300</v>
      </c>
      <c r="H6" s="40">
        <v>200</v>
      </c>
    </row>
    <row r="7" spans="1:8">
      <c r="A7">
        <v>4</v>
      </c>
      <c r="B7" s="145">
        <v>350</v>
      </c>
      <c r="C7" s="146">
        <v>0.28000000000000003</v>
      </c>
      <c r="D7" s="146">
        <v>0.4</v>
      </c>
      <c r="E7" s="147">
        <v>0.32</v>
      </c>
      <c r="F7" s="40">
        <v>200</v>
      </c>
      <c r="G7" s="40">
        <v>500</v>
      </c>
      <c r="H7" s="148">
        <v>999</v>
      </c>
    </row>
    <row r="8" spans="1:8">
      <c r="A8">
        <v>5</v>
      </c>
      <c r="B8" s="145">
        <v>500</v>
      </c>
      <c r="C8" s="146">
        <v>0.39</v>
      </c>
      <c r="D8" s="146">
        <v>0.34</v>
      </c>
      <c r="E8" s="147">
        <v>0.27</v>
      </c>
      <c r="F8" s="40">
        <v>0</v>
      </c>
      <c r="G8" s="148">
        <v>999</v>
      </c>
      <c r="H8" s="40">
        <v>400</v>
      </c>
    </row>
    <row r="9" spans="1:8">
      <c r="A9">
        <v>6</v>
      </c>
      <c r="B9" s="145">
        <v>450</v>
      </c>
      <c r="C9" s="146">
        <v>0.34</v>
      </c>
      <c r="D9" s="146">
        <v>0.28000000000000003</v>
      </c>
      <c r="E9" s="147">
        <v>0.38</v>
      </c>
      <c r="F9" s="40">
        <v>500</v>
      </c>
      <c r="G9" s="40">
        <v>300</v>
      </c>
      <c r="H9" s="40">
        <v>0</v>
      </c>
    </row>
    <row r="11" spans="1:8">
      <c r="A11" t="s">
        <v>644</v>
      </c>
    </row>
    <row r="12" spans="1:8">
      <c r="B12" s="38" t="s">
        <v>640</v>
      </c>
      <c r="C12" s="38" t="s">
        <v>641</v>
      </c>
      <c r="D12" s="38" t="s">
        <v>642</v>
      </c>
      <c r="E12" s="38" t="s">
        <v>645</v>
      </c>
    </row>
    <row r="13" spans="1:8">
      <c r="A13">
        <v>1</v>
      </c>
      <c r="B13" s="149">
        <v>1</v>
      </c>
      <c r="C13" s="150">
        <v>0</v>
      </c>
      <c r="D13" s="151">
        <v>0</v>
      </c>
      <c r="E13" s="38">
        <f>SUM(B13:D13)</f>
        <v>1</v>
      </c>
      <c r="F13" s="76" t="s">
        <v>270</v>
      </c>
      <c r="G13" s="38">
        <v>1</v>
      </c>
    </row>
    <row r="14" spans="1:8">
      <c r="A14">
        <v>2</v>
      </c>
      <c r="B14" s="152">
        <v>0</v>
      </c>
      <c r="C14" s="115">
        <v>0</v>
      </c>
      <c r="D14" s="153">
        <v>1</v>
      </c>
      <c r="E14" s="38">
        <f t="shared" ref="E14:E18" si="0">SUM(B14:D14)</f>
        <v>1</v>
      </c>
      <c r="F14" s="76" t="s">
        <v>270</v>
      </c>
      <c r="G14" s="38">
        <v>1</v>
      </c>
    </row>
    <row r="15" spans="1:8">
      <c r="A15">
        <v>3</v>
      </c>
      <c r="B15" s="152">
        <v>0</v>
      </c>
      <c r="C15" s="115">
        <v>1</v>
      </c>
      <c r="D15" s="153">
        <v>0</v>
      </c>
      <c r="E15" s="38">
        <f t="shared" si="0"/>
        <v>1</v>
      </c>
      <c r="F15" s="76" t="s">
        <v>270</v>
      </c>
      <c r="G15" s="38">
        <v>1</v>
      </c>
    </row>
    <row r="16" spans="1:8">
      <c r="A16">
        <v>4</v>
      </c>
      <c r="B16" s="152">
        <v>0</v>
      </c>
      <c r="C16" s="115">
        <v>0</v>
      </c>
      <c r="D16" s="153">
        <v>1</v>
      </c>
      <c r="E16" s="38">
        <f t="shared" si="0"/>
        <v>1</v>
      </c>
      <c r="F16" s="76" t="s">
        <v>270</v>
      </c>
      <c r="G16" s="38">
        <v>1</v>
      </c>
    </row>
    <row r="17" spans="1:7">
      <c r="A17">
        <v>5</v>
      </c>
      <c r="B17" s="152">
        <v>0</v>
      </c>
      <c r="C17" s="115">
        <v>1</v>
      </c>
      <c r="D17" s="153">
        <v>0</v>
      </c>
      <c r="E17" s="38">
        <f t="shared" si="0"/>
        <v>1</v>
      </c>
      <c r="F17" s="76" t="s">
        <v>270</v>
      </c>
      <c r="G17" s="38">
        <v>1</v>
      </c>
    </row>
    <row r="18" spans="1:7">
      <c r="A18">
        <v>6</v>
      </c>
      <c r="B18" s="154">
        <v>1</v>
      </c>
      <c r="C18" s="155">
        <v>0</v>
      </c>
      <c r="D18" s="156">
        <v>0</v>
      </c>
      <c r="E18" s="38">
        <f t="shared" si="0"/>
        <v>1</v>
      </c>
      <c r="F18" s="76" t="s">
        <v>270</v>
      </c>
      <c r="G18" s="38">
        <v>1</v>
      </c>
    </row>
    <row r="20" spans="1:7">
      <c r="A20" t="s">
        <v>646</v>
      </c>
    </row>
    <row r="21" spans="1:7">
      <c r="B21" s="38" t="s">
        <v>640</v>
      </c>
      <c r="C21" s="38" t="s">
        <v>641</v>
      </c>
      <c r="D21" s="38" t="s">
        <v>642</v>
      </c>
    </row>
    <row r="22" spans="1:7">
      <c r="A22">
        <v>1</v>
      </c>
      <c r="B22" s="79">
        <f>$B4*B13</f>
        <v>450</v>
      </c>
      <c r="C22" s="63">
        <f t="shared" ref="C22:D22" si="1">$B4*C13</f>
        <v>0</v>
      </c>
      <c r="D22" s="64">
        <f t="shared" si="1"/>
        <v>0</v>
      </c>
    </row>
    <row r="23" spans="1:7">
      <c r="A23">
        <v>2</v>
      </c>
      <c r="B23" s="80">
        <f t="shared" ref="B23:D27" si="2">$B5*B14</f>
        <v>0</v>
      </c>
      <c r="C23" s="38">
        <f t="shared" si="2"/>
        <v>0</v>
      </c>
      <c r="D23" s="60">
        <f t="shared" si="2"/>
        <v>600</v>
      </c>
    </row>
    <row r="24" spans="1:7">
      <c r="A24">
        <v>3</v>
      </c>
      <c r="B24" s="80">
        <f t="shared" si="2"/>
        <v>0</v>
      </c>
      <c r="C24" s="38">
        <f t="shared" si="2"/>
        <v>550</v>
      </c>
      <c r="D24" s="60">
        <f t="shared" si="2"/>
        <v>0</v>
      </c>
      <c r="G24" s="38" t="s">
        <v>647</v>
      </c>
    </row>
    <row r="25" spans="1:7">
      <c r="A25">
        <v>4</v>
      </c>
      <c r="B25" s="80">
        <f t="shared" si="2"/>
        <v>0</v>
      </c>
      <c r="C25" s="38">
        <f t="shared" si="2"/>
        <v>0</v>
      </c>
      <c r="D25" s="60">
        <f t="shared" si="2"/>
        <v>350</v>
      </c>
      <c r="G25" s="157">
        <f>SUMPRODUCT(BusingCost,StudentAssignments)</f>
        <v>1674150</v>
      </c>
    </row>
    <row r="26" spans="1:7">
      <c r="A26">
        <v>5</v>
      </c>
      <c r="B26" s="80">
        <f t="shared" si="2"/>
        <v>0</v>
      </c>
      <c r="C26" s="38">
        <f t="shared" si="2"/>
        <v>500</v>
      </c>
      <c r="D26" s="60">
        <f t="shared" si="2"/>
        <v>0</v>
      </c>
    </row>
    <row r="27" spans="1:7">
      <c r="A27">
        <v>6</v>
      </c>
      <c r="B27" s="81">
        <f t="shared" si="2"/>
        <v>450</v>
      </c>
      <c r="C27" s="51">
        <f t="shared" si="2"/>
        <v>0</v>
      </c>
      <c r="D27" s="82">
        <f t="shared" si="2"/>
        <v>0</v>
      </c>
    </row>
    <row r="28" spans="1:7">
      <c r="A28" s="14" t="s">
        <v>648</v>
      </c>
      <c r="B28" s="38">
        <f>SUM(B22:B27)</f>
        <v>900</v>
      </c>
      <c r="C28" s="38">
        <f t="shared" ref="C28:D28" si="3">SUM(C22:C27)</f>
        <v>1050</v>
      </c>
      <c r="D28" s="38">
        <f t="shared" si="3"/>
        <v>950</v>
      </c>
    </row>
    <row r="29" spans="1:7">
      <c r="B29" s="38" t="s">
        <v>144</v>
      </c>
      <c r="C29" s="38" t="s">
        <v>144</v>
      </c>
      <c r="D29" s="38" t="s">
        <v>144</v>
      </c>
    </row>
    <row r="30" spans="1:7">
      <c r="B30" s="38">
        <v>900</v>
      </c>
      <c r="C30" s="38">
        <v>1100</v>
      </c>
      <c r="D30" s="38">
        <v>1000</v>
      </c>
    </row>
    <row r="35" spans="1:6">
      <c r="A35" t="s">
        <v>649</v>
      </c>
    </row>
    <row r="36" spans="1:6">
      <c r="B36" s="48">
        <f>$E$36*B28</f>
        <v>270</v>
      </c>
      <c r="C36" s="48">
        <f t="shared" ref="C36:D36" si="4">$E$36*C28</f>
        <v>315</v>
      </c>
      <c r="D36" s="48">
        <f t="shared" si="4"/>
        <v>285</v>
      </c>
      <c r="E36" s="59">
        <v>0.3</v>
      </c>
      <c r="F36" s="14" t="s">
        <v>650</v>
      </c>
    </row>
    <row r="37" spans="1:6">
      <c r="B37" s="38" t="s">
        <v>123</v>
      </c>
      <c r="C37" s="38" t="s">
        <v>123</v>
      </c>
      <c r="D37" s="38" t="s">
        <v>123</v>
      </c>
    </row>
    <row r="38" spans="1:6">
      <c r="A38" t="s">
        <v>651</v>
      </c>
      <c r="B38" s="38">
        <f>SUMPRODUCT(B22:B27,$C$4:$C$9)</f>
        <v>297</v>
      </c>
      <c r="C38" s="38">
        <f t="shared" ref="C38:D38" si="5">SUMPRODUCT(C22:C27,$C$4:$C$9)</f>
        <v>360</v>
      </c>
      <c r="D38" s="38">
        <f t="shared" si="5"/>
        <v>320</v>
      </c>
    </row>
    <row r="39" spans="1:6">
      <c r="A39" t="s">
        <v>652</v>
      </c>
      <c r="B39" s="38">
        <f>SUMPRODUCT(B22:B27,$D$4:$D$9)</f>
        <v>297</v>
      </c>
      <c r="C39" s="38">
        <f t="shared" ref="C39:D39" si="6">SUMPRODUCT(C22:C27,$D$4:$D$9)</f>
        <v>346</v>
      </c>
      <c r="D39" s="38">
        <f t="shared" si="6"/>
        <v>308</v>
      </c>
    </row>
    <row r="40" spans="1:6">
      <c r="A40" t="s">
        <v>653</v>
      </c>
      <c r="B40" s="38">
        <f>SUMPRODUCT(B22:B27,$E$4:$E$9)</f>
        <v>306</v>
      </c>
      <c r="C40" s="38">
        <f t="shared" ref="C40:D40" si="7">SUMPRODUCT(C22:C27,$E$4:$E$9)</f>
        <v>344</v>
      </c>
      <c r="D40" s="38">
        <f t="shared" si="7"/>
        <v>322</v>
      </c>
    </row>
    <row r="41" spans="1:6">
      <c r="B41" s="38" t="s">
        <v>144</v>
      </c>
      <c r="C41" s="38" t="s">
        <v>144</v>
      </c>
      <c r="D41" s="38" t="s">
        <v>144</v>
      </c>
    </row>
    <row r="42" spans="1:6">
      <c r="B42" s="38">
        <f>$E$42*B28</f>
        <v>324</v>
      </c>
      <c r="C42" s="38">
        <f t="shared" ref="C42:D42" si="8">$E$42*C28</f>
        <v>378</v>
      </c>
      <c r="D42" s="38">
        <f t="shared" si="8"/>
        <v>342</v>
      </c>
      <c r="E42" s="59">
        <v>0.36</v>
      </c>
      <c r="F42" s="14" t="s">
        <v>650</v>
      </c>
    </row>
  </sheetData>
  <mergeCells count="1">
    <mergeCell ref="F2:H2"/>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A2A60-38B5-4301-9EFF-F979C1216B7D}">
  <dimension ref="A1:I14"/>
  <sheetViews>
    <sheetView workbookViewId="0">
      <selection activeCell="H28" sqref="H28"/>
    </sheetView>
  </sheetViews>
  <sheetFormatPr defaultRowHeight="15"/>
  <cols>
    <col min="2" max="2" width="10.85546875" bestFit="1" customWidth="1"/>
    <col min="3" max="3" width="10" style="38" bestFit="1" customWidth="1"/>
    <col min="4" max="4" width="8.140625" style="38" bestFit="1" customWidth="1"/>
    <col min="5" max="5" width="12.85546875" style="38" bestFit="1" customWidth="1"/>
    <col min="6" max="6" width="8" style="38" bestFit="1" customWidth="1"/>
    <col min="7" max="9" width="9.140625" style="38"/>
  </cols>
  <sheetData>
    <row r="1" spans="1:9">
      <c r="A1" t="s">
        <v>672</v>
      </c>
    </row>
    <row r="3" spans="1:9">
      <c r="C3" s="38" t="s">
        <v>675</v>
      </c>
      <c r="D3" s="38" t="s">
        <v>676</v>
      </c>
      <c r="E3" s="38" t="s">
        <v>677</v>
      </c>
      <c r="F3" s="38" t="s">
        <v>678</v>
      </c>
    </row>
    <row r="4" spans="1:9">
      <c r="B4" t="s">
        <v>673</v>
      </c>
      <c r="C4" s="159">
        <v>4.5</v>
      </c>
      <c r="D4" s="159">
        <v>7.8</v>
      </c>
      <c r="E4" s="159">
        <v>3.6</v>
      </c>
      <c r="F4" s="159">
        <v>2.9</v>
      </c>
    </row>
    <row r="5" spans="1:9">
      <c r="B5" t="s">
        <v>674</v>
      </c>
      <c r="C5" s="159">
        <v>4.9000000000000004</v>
      </c>
      <c r="D5" s="159">
        <v>7.2</v>
      </c>
      <c r="E5" s="159">
        <v>4.3</v>
      </c>
      <c r="F5" s="159">
        <v>3.1</v>
      </c>
    </row>
    <row r="6" spans="1:9">
      <c r="C6" s="181" t="s">
        <v>679</v>
      </c>
      <c r="D6" s="181"/>
      <c r="E6" s="181"/>
      <c r="F6" s="181"/>
      <c r="G6" s="38" t="s">
        <v>225</v>
      </c>
    </row>
    <row r="7" spans="1:9">
      <c r="B7" t="s">
        <v>673</v>
      </c>
      <c r="C7" s="115">
        <v>1</v>
      </c>
      <c r="D7" s="115">
        <v>0</v>
      </c>
      <c r="E7" s="115">
        <v>1</v>
      </c>
      <c r="F7" s="115">
        <v>0</v>
      </c>
      <c r="G7" s="38">
        <f>SUM(C7:F7)</f>
        <v>2</v>
      </c>
      <c r="H7" s="76" t="s">
        <v>270</v>
      </c>
      <c r="I7" s="38">
        <v>2</v>
      </c>
    </row>
    <row r="8" spans="1:9">
      <c r="B8" t="s">
        <v>674</v>
      </c>
      <c r="C8" s="115">
        <v>0</v>
      </c>
      <c r="D8" s="115">
        <v>1</v>
      </c>
      <c r="E8" s="115">
        <v>0</v>
      </c>
      <c r="F8" s="115">
        <v>1</v>
      </c>
      <c r="G8" s="38">
        <f>SUM(C8:F8)</f>
        <v>2</v>
      </c>
      <c r="H8" s="76" t="s">
        <v>270</v>
      </c>
      <c r="I8" s="38">
        <v>2</v>
      </c>
    </row>
    <row r="9" spans="1:9">
      <c r="B9" t="s">
        <v>464</v>
      </c>
      <c r="C9" s="38">
        <f>SUM(C7:C8)</f>
        <v>1</v>
      </c>
      <c r="D9" s="38">
        <f t="shared" ref="D9:F9" si="0">SUM(D7:D8)</f>
        <v>1</v>
      </c>
      <c r="E9" s="38">
        <f t="shared" si="0"/>
        <v>1</v>
      </c>
      <c r="F9" s="38">
        <f t="shared" si="0"/>
        <v>1</v>
      </c>
    </row>
    <row r="10" spans="1:9">
      <c r="C10" s="76" t="s">
        <v>270</v>
      </c>
      <c r="D10" s="76" t="s">
        <v>270</v>
      </c>
      <c r="E10" s="76" t="s">
        <v>270</v>
      </c>
      <c r="F10" s="76" t="s">
        <v>270</v>
      </c>
    </row>
    <row r="11" spans="1:9">
      <c r="C11" s="38">
        <v>1</v>
      </c>
      <c r="D11" s="38">
        <v>1</v>
      </c>
      <c r="E11" s="38">
        <v>1</v>
      </c>
      <c r="F11" s="38">
        <v>1</v>
      </c>
    </row>
    <row r="12" spans="1:9">
      <c r="B12" t="s">
        <v>680</v>
      </c>
      <c r="C12" s="38">
        <f>SUMPRODUCT(C4:F5,C7:F8)</f>
        <v>18.400000000000002</v>
      </c>
    </row>
    <row r="14" spans="1:9">
      <c r="A14" t="s">
        <v>681</v>
      </c>
    </row>
  </sheetData>
  <mergeCells count="1">
    <mergeCell ref="C6:F6"/>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2193A-C5FA-4E8B-845B-C7A4F14951A3}">
  <dimension ref="A1:F22"/>
  <sheetViews>
    <sheetView workbookViewId="0">
      <selection activeCell="E26" sqref="E26"/>
    </sheetView>
  </sheetViews>
  <sheetFormatPr defaultRowHeight="15"/>
  <cols>
    <col min="3" max="3" width="11.140625" style="38" bestFit="1" customWidth="1"/>
    <col min="4" max="4" width="9.85546875" style="38" bestFit="1" customWidth="1"/>
    <col min="5" max="5" width="15.85546875" style="38" bestFit="1" customWidth="1"/>
  </cols>
  <sheetData>
    <row r="1" spans="1:6">
      <c r="A1" t="s">
        <v>683</v>
      </c>
    </row>
    <row r="2" spans="1:6">
      <c r="C2" s="38" t="s">
        <v>684</v>
      </c>
      <c r="D2" s="38" t="s">
        <v>685</v>
      </c>
      <c r="E2" s="38" t="s">
        <v>686</v>
      </c>
    </row>
    <row r="3" spans="1:6">
      <c r="C3" s="159">
        <v>1</v>
      </c>
      <c r="D3" s="165">
        <v>17</v>
      </c>
      <c r="E3" s="165">
        <v>43</v>
      </c>
    </row>
    <row r="4" spans="1:6">
      <c r="C4" s="159">
        <v>2</v>
      </c>
      <c r="D4" s="165">
        <v>10</v>
      </c>
      <c r="E4" s="165">
        <v>28</v>
      </c>
    </row>
    <row r="5" spans="1:6">
      <c r="C5" s="159">
        <v>3</v>
      </c>
      <c r="D5" s="165">
        <v>15</v>
      </c>
      <c r="E5" s="165">
        <v>34</v>
      </c>
    </row>
    <row r="6" spans="1:6">
      <c r="C6" s="159">
        <v>4</v>
      </c>
      <c r="D6" s="165">
        <v>19</v>
      </c>
      <c r="E6" s="165">
        <v>48</v>
      </c>
    </row>
    <row r="7" spans="1:6">
      <c r="C7" s="159">
        <v>5</v>
      </c>
      <c r="D7" s="165">
        <v>7</v>
      </c>
      <c r="E7" s="165">
        <v>17</v>
      </c>
    </row>
    <row r="8" spans="1:6">
      <c r="C8" s="159">
        <v>6</v>
      </c>
      <c r="D8" s="165">
        <v>13</v>
      </c>
      <c r="E8" s="165">
        <v>32</v>
      </c>
    </row>
    <row r="9" spans="1:6">
      <c r="C9" s="159">
        <v>7</v>
      </c>
      <c r="D9" s="165">
        <v>9</v>
      </c>
      <c r="E9" s="165">
        <v>23</v>
      </c>
    </row>
    <row r="10" spans="1:6">
      <c r="B10" t="s">
        <v>687</v>
      </c>
      <c r="C10"/>
      <c r="D10" s="38" t="s">
        <v>688</v>
      </c>
    </row>
    <row r="11" spans="1:6">
      <c r="B11">
        <v>1</v>
      </c>
      <c r="C11" s="166">
        <v>1</v>
      </c>
      <c r="D11" s="38">
        <f>SUM(C11:C12)</f>
        <v>1</v>
      </c>
      <c r="E11" s="76" t="s">
        <v>270</v>
      </c>
      <c r="F11" s="38">
        <v>1</v>
      </c>
    </row>
    <row r="12" spans="1:6">
      <c r="B12">
        <v>2</v>
      </c>
      <c r="C12" s="166">
        <v>0</v>
      </c>
      <c r="D12" s="38" t="s">
        <v>144</v>
      </c>
      <c r="E12" s="38">
        <v>1</v>
      </c>
    </row>
    <row r="13" spans="1:6">
      <c r="B13">
        <v>3</v>
      </c>
      <c r="C13" s="166">
        <v>1</v>
      </c>
      <c r="D13" s="38">
        <f t="shared" ref="D13" si="0">SUM(C13:C14)</f>
        <v>1</v>
      </c>
      <c r="E13" s="76" t="s">
        <v>270</v>
      </c>
      <c r="F13" s="38">
        <f>IF(SUM(C11:C12) &gt; 0, 1, 0)</f>
        <v>1</v>
      </c>
    </row>
    <row r="14" spans="1:6">
      <c r="B14">
        <v>4</v>
      </c>
      <c r="C14" s="166">
        <v>0</v>
      </c>
      <c r="D14" s="38" t="s">
        <v>144</v>
      </c>
      <c r="E14" s="38">
        <v>1</v>
      </c>
    </row>
    <row r="15" spans="1:6">
      <c r="B15">
        <v>5</v>
      </c>
      <c r="C15" s="166">
        <v>0</v>
      </c>
      <c r="D15" s="38" t="s">
        <v>144</v>
      </c>
      <c r="E15" s="38">
        <v>1</v>
      </c>
    </row>
    <row r="16" spans="1:6">
      <c r="B16">
        <v>6</v>
      </c>
      <c r="C16" s="166">
        <v>0</v>
      </c>
      <c r="D16" s="38" t="s">
        <v>144</v>
      </c>
      <c r="E16" s="38">
        <v>1</v>
      </c>
    </row>
    <row r="17" spans="1:5">
      <c r="B17">
        <v>7</v>
      </c>
      <c r="C17" s="166">
        <v>1</v>
      </c>
      <c r="D17" s="38" t="s">
        <v>144</v>
      </c>
      <c r="E17" s="38">
        <v>1</v>
      </c>
    </row>
    <row r="19" spans="1:5">
      <c r="B19" t="s">
        <v>6</v>
      </c>
      <c r="C19" s="143">
        <f>SUMPRODUCT(C11:C17,D3:D9)</f>
        <v>41</v>
      </c>
    </row>
    <row r="20" spans="1:5">
      <c r="B20" t="s">
        <v>374</v>
      </c>
      <c r="C20" s="61">
        <f>SUMPRODUCT(C11:C17,E3:E9)</f>
        <v>100</v>
      </c>
      <c r="D20" s="38" t="s">
        <v>144</v>
      </c>
      <c r="E20" s="61">
        <v>100</v>
      </c>
    </row>
    <row r="22" spans="1:5">
      <c r="A22" t="s">
        <v>689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0726C-E330-4F7D-B382-14DD0E300FB7}">
  <dimension ref="A1:J37"/>
  <sheetViews>
    <sheetView zoomScale="120" zoomScaleNormal="120" workbookViewId="0">
      <selection activeCell="G26" sqref="G26"/>
    </sheetView>
  </sheetViews>
  <sheetFormatPr defaultRowHeight="15"/>
  <cols>
    <col min="1" max="1" width="17.85546875" customWidth="1"/>
    <col min="2" max="10" width="9.140625" style="38"/>
  </cols>
  <sheetData>
    <row r="1" spans="1:10">
      <c r="B1" s="38" t="s">
        <v>657</v>
      </c>
      <c r="C1" s="38" t="s">
        <v>658</v>
      </c>
      <c r="D1" s="38" t="s">
        <v>659</v>
      </c>
      <c r="E1" s="38" t="s">
        <v>660</v>
      </c>
      <c r="F1" s="38" t="s">
        <v>661</v>
      </c>
      <c r="G1" s="38" t="s">
        <v>662</v>
      </c>
    </row>
    <row r="2" spans="1:10">
      <c r="A2" t="s">
        <v>656</v>
      </c>
      <c r="B2" s="158">
        <v>0.2</v>
      </c>
      <c r="C2" s="158">
        <v>0.42</v>
      </c>
      <c r="D2" s="158">
        <v>1</v>
      </c>
      <c r="E2" s="158">
        <v>0.5</v>
      </c>
      <c r="F2" s="158">
        <v>0.46</v>
      </c>
      <c r="G2" s="158">
        <v>0.3</v>
      </c>
    </row>
    <row r="4" spans="1:10">
      <c r="A4" t="s">
        <v>663</v>
      </c>
    </row>
    <row r="5" spans="1:10">
      <c r="B5" s="38" t="s">
        <v>657</v>
      </c>
      <c r="C5" s="38" t="s">
        <v>658</v>
      </c>
      <c r="D5" s="38" t="s">
        <v>659</v>
      </c>
      <c r="E5" s="38" t="s">
        <v>660</v>
      </c>
      <c r="F5" s="38" t="s">
        <v>661</v>
      </c>
      <c r="G5" s="38" t="s">
        <v>662</v>
      </c>
    </row>
    <row r="6" spans="1:10">
      <c r="A6" s="38" t="s">
        <v>657</v>
      </c>
      <c r="B6" s="159">
        <v>3.2000000000000001E-2</v>
      </c>
      <c r="C6" s="159">
        <v>5.0000000000000001E-3</v>
      </c>
      <c r="D6" s="159">
        <v>0.03</v>
      </c>
      <c r="E6" s="159">
        <v>-3.1E-2</v>
      </c>
      <c r="F6" s="159">
        <v>-2.7E-2</v>
      </c>
      <c r="G6" s="159">
        <v>0.01</v>
      </c>
    </row>
    <row r="7" spans="1:10">
      <c r="A7" s="38" t="s">
        <v>658</v>
      </c>
      <c r="B7" s="159">
        <v>5.0000000000000001E-3</v>
      </c>
      <c r="C7" s="159">
        <v>0.1</v>
      </c>
      <c r="D7" s="159">
        <v>8.5000000000000006E-2</v>
      </c>
      <c r="E7" s="159">
        <v>-7.0000000000000007E-2</v>
      </c>
      <c r="F7" s="159">
        <v>-0.05</v>
      </c>
      <c r="G7" s="159">
        <v>0.02</v>
      </c>
    </row>
    <row r="8" spans="1:10">
      <c r="A8" s="38" t="s">
        <v>659</v>
      </c>
      <c r="B8" s="159">
        <v>0.03</v>
      </c>
      <c r="C8" s="159">
        <v>8.5000000000000006E-2</v>
      </c>
      <c r="D8" s="159">
        <v>0.33300000000000002</v>
      </c>
      <c r="E8" s="159">
        <v>-0.11</v>
      </c>
      <c r="F8" s="159">
        <v>-0.02</v>
      </c>
      <c r="G8" s="159">
        <v>4.2000000000000003E-2</v>
      </c>
    </row>
    <row r="9" spans="1:10">
      <c r="A9" s="38" t="s">
        <v>660</v>
      </c>
      <c r="B9" s="159">
        <v>-3.1E-2</v>
      </c>
      <c r="C9" s="159">
        <v>-7.0000000000000007E-2</v>
      </c>
      <c r="D9" s="159">
        <v>-0.11</v>
      </c>
      <c r="E9" s="159">
        <v>0.125</v>
      </c>
      <c r="F9" s="159">
        <v>0.05</v>
      </c>
      <c r="G9" s="159">
        <v>-0.06</v>
      </c>
    </row>
    <row r="10" spans="1:10">
      <c r="A10" s="38" t="s">
        <v>661</v>
      </c>
      <c r="B10" s="159">
        <v>-2.7E-2</v>
      </c>
      <c r="C10" s="159">
        <v>-0.05</v>
      </c>
      <c r="D10" s="159">
        <v>-0.02</v>
      </c>
      <c r="E10" s="159">
        <v>0.05</v>
      </c>
      <c r="F10" s="159">
        <v>6.5000000000000002E-2</v>
      </c>
      <c r="G10" s="159">
        <v>-0.02</v>
      </c>
    </row>
    <row r="11" spans="1:10">
      <c r="A11" s="38" t="s">
        <v>662</v>
      </c>
      <c r="B11" s="159">
        <v>0.01</v>
      </c>
      <c r="C11" s="159">
        <v>0.02</v>
      </c>
      <c r="D11" s="159">
        <v>4.2000000000000003E-2</v>
      </c>
      <c r="E11" s="159">
        <v>-0.06</v>
      </c>
      <c r="F11" s="159">
        <v>-0.02</v>
      </c>
      <c r="G11" s="159">
        <v>0.08</v>
      </c>
    </row>
    <row r="13" spans="1:10">
      <c r="B13" s="38" t="s">
        <v>657</v>
      </c>
      <c r="C13" s="38" t="s">
        <v>658</v>
      </c>
      <c r="D13" s="38" t="s">
        <v>659</v>
      </c>
      <c r="E13" s="38" t="s">
        <v>660</v>
      </c>
      <c r="F13" s="38" t="s">
        <v>661</v>
      </c>
      <c r="G13" s="38" t="s">
        <v>662</v>
      </c>
      <c r="H13" s="38" t="s">
        <v>225</v>
      </c>
    </row>
    <row r="14" spans="1:10">
      <c r="A14" s="38" t="s">
        <v>664</v>
      </c>
      <c r="B14" s="161">
        <v>0.31771658111265816</v>
      </c>
      <c r="C14" s="161">
        <v>0.19884329606571022</v>
      </c>
      <c r="D14" s="161">
        <v>0</v>
      </c>
      <c r="E14" s="161">
        <v>0.16835088186358252</v>
      </c>
      <c r="F14" s="161">
        <v>0.2089992686222841</v>
      </c>
      <c r="G14" s="161">
        <v>0.10608998316110863</v>
      </c>
      <c r="H14" s="160">
        <f>SUM(B14:G14)</f>
        <v>1.0000000108253437</v>
      </c>
      <c r="I14" s="38" t="s">
        <v>270</v>
      </c>
      <c r="J14" s="84">
        <v>1</v>
      </c>
    </row>
    <row r="15" spans="1:10">
      <c r="B15" s="38" t="s">
        <v>144</v>
      </c>
      <c r="C15" s="38" t="s">
        <v>144</v>
      </c>
      <c r="D15" s="38" t="s">
        <v>144</v>
      </c>
      <c r="E15" s="38" t="s">
        <v>144</v>
      </c>
      <c r="F15" s="38" t="s">
        <v>144</v>
      </c>
      <c r="G15" s="38" t="s">
        <v>144</v>
      </c>
    </row>
    <row r="16" spans="1:10">
      <c r="B16" s="84">
        <v>0.4</v>
      </c>
      <c r="C16" s="84">
        <v>0.4</v>
      </c>
      <c r="D16" s="84">
        <v>0.4</v>
      </c>
      <c r="E16" s="84">
        <v>0.4</v>
      </c>
      <c r="F16" s="84">
        <v>0.4</v>
      </c>
      <c r="G16" s="38">
        <v>40</v>
      </c>
    </row>
    <row r="18" spans="1:7">
      <c r="A18" t="s">
        <v>666</v>
      </c>
      <c r="B18" s="38">
        <f>SUMPRODUCT(B6:G6,Portfolio)</f>
        <v>1.3601893169719692E-3</v>
      </c>
      <c r="C18" s="38">
        <f>SUMPRODUCT(B7:G7,Portfolio)</f>
        <v>1.3601870137915002E-3</v>
      </c>
      <c r="D18" s="38">
        <f>SUMPRODUCT(B8:G8,Portfolio)</f>
        <v>8.1903745142919218E-3</v>
      </c>
      <c r="E18" s="38">
        <f>SUMPRODUCT(B9:G9,Portfolio)</f>
        <v>1.3601799353033855E-3</v>
      </c>
      <c r="F18" s="38">
        <f>SUMPRODUCT(B10:G10,Portfolio)</f>
        <v>1.3601843970781394E-3</v>
      </c>
      <c r="G18" s="38">
        <f>SUMPRODUCT(B11:G11,Portfolio)</f>
        <v>1.3601921010688439E-3</v>
      </c>
    </row>
    <row r="20" spans="1:7">
      <c r="B20" s="38" t="s">
        <v>664</v>
      </c>
    </row>
    <row r="21" spans="1:7">
      <c r="A21" t="s">
        <v>656</v>
      </c>
      <c r="B21" s="162">
        <f>SUMPRODUCT(StockExpectedReturn,B14:G14)</f>
        <v>0.35919960001650447</v>
      </c>
      <c r="C21" s="38" t="s">
        <v>123</v>
      </c>
      <c r="D21" s="84">
        <v>0.25</v>
      </c>
    </row>
    <row r="22" spans="1:7">
      <c r="E22" s="38" t="s">
        <v>668</v>
      </c>
    </row>
    <row r="23" spans="1:7">
      <c r="A23" t="s">
        <v>667</v>
      </c>
      <c r="B23" s="163">
        <f>SUMPRODUCT($B$18:$G$18,Portfolio)</f>
        <v>1.3601865614228893E-3</v>
      </c>
      <c r="E23" s="38">
        <f>SUMPRODUCT(MMULT(Portfolio,B6:G11), Portfolio)</f>
        <v>1.3601865614228893E-3</v>
      </c>
    </row>
    <row r="25" spans="1:7">
      <c r="A25" t="s">
        <v>670</v>
      </c>
      <c r="B25" s="164">
        <f>B23^0.53</f>
        <v>3.0255699231730816E-2</v>
      </c>
    </row>
    <row r="33" spans="1:1">
      <c r="A33" t="s">
        <v>655</v>
      </c>
    </row>
    <row r="34" spans="1:1">
      <c r="A34" t="s">
        <v>654</v>
      </c>
    </row>
    <row r="35" spans="1:1">
      <c r="A35" t="s">
        <v>665</v>
      </c>
    </row>
    <row r="36" spans="1:1">
      <c r="A36" t="s">
        <v>669</v>
      </c>
    </row>
    <row r="37" spans="1:1">
      <c r="A37" t="s">
        <v>671</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1CDEE-52B6-4A8C-8C45-9287857BD7E0}">
  <dimension ref="B3:L30"/>
  <sheetViews>
    <sheetView workbookViewId="0">
      <selection activeCell="C25" sqref="C25"/>
    </sheetView>
  </sheetViews>
  <sheetFormatPr defaultRowHeight="15"/>
  <cols>
    <col min="4" max="4" width="11.42578125" bestFit="1" customWidth="1"/>
    <col min="5" max="5" width="12" style="38" bestFit="1" customWidth="1"/>
    <col min="6" max="7" width="12" style="38" customWidth="1"/>
    <col min="8" max="8" width="12" style="38" bestFit="1" customWidth="1"/>
    <col min="9" max="12" width="9.140625" style="38"/>
  </cols>
  <sheetData>
    <row r="3" spans="2:12">
      <c r="B3" t="s">
        <v>703</v>
      </c>
      <c r="E3" s="38" t="s">
        <v>691</v>
      </c>
      <c r="F3" s="38" t="s">
        <v>6</v>
      </c>
      <c r="H3" s="38" t="s">
        <v>692</v>
      </c>
      <c r="I3" s="38" t="s">
        <v>6</v>
      </c>
      <c r="K3" s="38" t="s">
        <v>702</v>
      </c>
    </row>
    <row r="4" spans="2:12">
      <c r="B4" s="96">
        <v>0</v>
      </c>
      <c r="C4" s="53"/>
      <c r="D4" t="s">
        <v>693</v>
      </c>
      <c r="E4" s="41">
        <v>0</v>
      </c>
      <c r="F4" s="95">
        <f t="shared" ref="F4:F10" si="0">3*E4-(E4-1)^2</f>
        <v>-1</v>
      </c>
      <c r="G4" s="95"/>
      <c r="H4" s="41">
        <v>0</v>
      </c>
      <c r="I4" s="95">
        <f>3*H4-(H4-2)^2</f>
        <v>-4</v>
      </c>
      <c r="K4" s="79">
        <v>0</v>
      </c>
      <c r="L4" s="64"/>
    </row>
    <row r="5" spans="2:12">
      <c r="B5" s="167">
        <v>2</v>
      </c>
      <c r="C5" s="168">
        <v>6</v>
      </c>
      <c r="E5" s="41">
        <v>1</v>
      </c>
      <c r="F5" s="95">
        <f t="shared" si="0"/>
        <v>3</v>
      </c>
      <c r="G5" s="95"/>
      <c r="H5" s="41">
        <v>1</v>
      </c>
      <c r="I5" s="95">
        <f t="shared" ref="I5:I10" si="1">3*H5-(H5-2)^2</f>
        <v>2</v>
      </c>
      <c r="K5" s="80">
        <v>2</v>
      </c>
      <c r="L5" s="171">
        <v>10</v>
      </c>
    </row>
    <row r="6" spans="2:12">
      <c r="B6" s="167">
        <v>4</v>
      </c>
      <c r="C6" s="168">
        <v>-2</v>
      </c>
      <c r="E6" s="41">
        <v>2</v>
      </c>
      <c r="F6" s="95">
        <f t="shared" si="0"/>
        <v>5</v>
      </c>
      <c r="G6" s="95"/>
      <c r="H6" s="41">
        <v>2</v>
      </c>
      <c r="I6" s="95">
        <f t="shared" si="1"/>
        <v>6</v>
      </c>
      <c r="K6" s="80">
        <v>4</v>
      </c>
      <c r="L6" s="171">
        <v>2</v>
      </c>
    </row>
    <row r="7" spans="2:12">
      <c r="B7" s="169">
        <v>5</v>
      </c>
      <c r="C7" s="170">
        <v>-4</v>
      </c>
      <c r="E7" s="41">
        <v>2.5</v>
      </c>
      <c r="F7" s="95">
        <f t="shared" si="0"/>
        <v>5.25</v>
      </c>
      <c r="G7" s="95"/>
      <c r="H7" s="41">
        <v>3</v>
      </c>
      <c r="I7" s="95">
        <f t="shared" si="1"/>
        <v>8</v>
      </c>
      <c r="K7" s="81">
        <v>5</v>
      </c>
      <c r="L7" s="172">
        <v>-2</v>
      </c>
    </row>
    <row r="8" spans="2:12">
      <c r="E8" s="41">
        <v>3</v>
      </c>
      <c r="F8" s="95">
        <f t="shared" si="0"/>
        <v>5</v>
      </c>
      <c r="G8" s="95"/>
      <c r="H8" s="41">
        <v>3.5</v>
      </c>
      <c r="I8" s="95">
        <f t="shared" si="1"/>
        <v>8.25</v>
      </c>
    </row>
    <row r="9" spans="2:12">
      <c r="E9" s="41">
        <v>4</v>
      </c>
      <c r="F9" s="95">
        <f t="shared" si="0"/>
        <v>3</v>
      </c>
      <c r="G9" s="95"/>
      <c r="H9" s="41">
        <v>4</v>
      </c>
      <c r="I9" s="95">
        <f t="shared" si="1"/>
        <v>8</v>
      </c>
    </row>
    <row r="10" spans="2:12">
      <c r="E10" s="41">
        <v>5</v>
      </c>
      <c r="F10" s="95">
        <f t="shared" si="0"/>
        <v>-1</v>
      </c>
      <c r="G10" s="95"/>
      <c r="H10" s="41">
        <v>5</v>
      </c>
      <c r="I10" s="95">
        <f t="shared" si="1"/>
        <v>6</v>
      </c>
    </row>
    <row r="12" spans="2:12">
      <c r="E12" s="38" t="s">
        <v>694</v>
      </c>
      <c r="F12" s="38" t="s">
        <v>6</v>
      </c>
      <c r="H12" s="38" t="s">
        <v>694</v>
      </c>
      <c r="I12" s="38" t="s">
        <v>6</v>
      </c>
    </row>
    <row r="13" spans="2:12">
      <c r="E13" s="115">
        <v>0</v>
      </c>
      <c r="F13" s="95">
        <f t="shared" ref="F13:F19" si="2">E13*F4</f>
        <v>0</v>
      </c>
      <c r="G13" s="95"/>
      <c r="H13" s="115">
        <v>0</v>
      </c>
      <c r="I13" s="95">
        <f>H13*I4</f>
        <v>0</v>
      </c>
    </row>
    <row r="14" spans="2:12">
      <c r="E14" s="115">
        <v>0</v>
      </c>
      <c r="F14" s="95">
        <f t="shared" si="2"/>
        <v>0</v>
      </c>
      <c r="G14" s="95"/>
      <c r="H14" s="115">
        <v>0</v>
      </c>
      <c r="I14" s="95">
        <f t="shared" ref="I14:I19" si="3">H14*I5</f>
        <v>0</v>
      </c>
    </row>
    <row r="15" spans="2:12">
      <c r="E15" s="115">
        <v>0</v>
      </c>
      <c r="F15" s="95">
        <f t="shared" si="2"/>
        <v>0</v>
      </c>
      <c r="G15" s="95"/>
      <c r="H15" s="115">
        <v>0</v>
      </c>
      <c r="I15" s="95">
        <f t="shared" si="3"/>
        <v>0</v>
      </c>
    </row>
    <row r="16" spans="2:12">
      <c r="E16" s="115">
        <v>1</v>
      </c>
      <c r="F16" s="95">
        <f t="shared" si="2"/>
        <v>5.25</v>
      </c>
      <c r="G16" s="95"/>
      <c r="H16" s="115">
        <v>0</v>
      </c>
      <c r="I16" s="95">
        <f t="shared" si="3"/>
        <v>0</v>
      </c>
    </row>
    <row r="17" spans="3:12">
      <c r="E17" s="115">
        <v>0</v>
      </c>
      <c r="F17" s="95">
        <f t="shared" si="2"/>
        <v>0</v>
      </c>
      <c r="G17" s="95"/>
      <c r="H17" s="115">
        <v>1</v>
      </c>
      <c r="I17" s="95">
        <f t="shared" si="3"/>
        <v>8.25</v>
      </c>
    </row>
    <row r="18" spans="3:12">
      <c r="E18" s="115">
        <v>0</v>
      </c>
      <c r="F18" s="95">
        <f t="shared" si="2"/>
        <v>0</v>
      </c>
      <c r="G18" s="95"/>
      <c r="H18" s="115">
        <v>0</v>
      </c>
      <c r="I18" s="95">
        <f t="shared" si="3"/>
        <v>0</v>
      </c>
    </row>
    <row r="19" spans="3:12">
      <c r="E19" s="115">
        <v>0</v>
      </c>
      <c r="F19" s="95">
        <f t="shared" si="2"/>
        <v>0</v>
      </c>
      <c r="G19" s="95"/>
      <c r="H19" s="115">
        <v>0</v>
      </c>
      <c r="I19" s="95">
        <f t="shared" si="3"/>
        <v>0</v>
      </c>
    </row>
    <row r="20" spans="3:12">
      <c r="E20" s="38">
        <f>SUM(E13:E19)</f>
        <v>1</v>
      </c>
      <c r="H20" s="38">
        <f>SUM(H13:H19)</f>
        <v>1</v>
      </c>
    </row>
    <row r="21" spans="3:12">
      <c r="E21" s="76" t="s">
        <v>270</v>
      </c>
      <c r="H21" s="76" t="s">
        <v>270</v>
      </c>
    </row>
    <row r="22" spans="3:12">
      <c r="E22" s="38">
        <v>1</v>
      </c>
      <c r="H22" s="38">
        <v>1</v>
      </c>
    </row>
    <row r="23" spans="3:12">
      <c r="F23" s="38" t="s">
        <v>699</v>
      </c>
      <c r="J23" s="38" t="s">
        <v>696</v>
      </c>
    </row>
    <row r="24" spans="3:12">
      <c r="F24" s="38" t="s">
        <v>697</v>
      </c>
      <c r="H24" s="38">
        <f>SUMPRODUCT(E13:E19,E4:E10)</f>
        <v>2.5</v>
      </c>
      <c r="J24" s="38">
        <f>4*H24+H25</f>
        <v>13.5</v>
      </c>
      <c r="K24" s="38" t="s">
        <v>144</v>
      </c>
      <c r="L24" s="38">
        <v>20</v>
      </c>
    </row>
    <row r="25" spans="3:12">
      <c r="F25" s="38" t="s">
        <v>698</v>
      </c>
      <c r="H25" s="38">
        <f>SUMPRODUCT(H13:H19,H4:H10)</f>
        <v>3.5</v>
      </c>
      <c r="J25" s="38">
        <f>H24+4*H25</f>
        <v>16.5</v>
      </c>
      <c r="K25" s="38" t="s">
        <v>144</v>
      </c>
      <c r="L25" s="38">
        <v>20</v>
      </c>
    </row>
    <row r="26" spans="3:12">
      <c r="D26" t="s">
        <v>695</v>
      </c>
      <c r="E26" s="118">
        <f>SUM(F13:F19)+SUM(I13:I19)</f>
        <v>13.5</v>
      </c>
    </row>
    <row r="28" spans="3:12">
      <c r="C28" t="s">
        <v>705</v>
      </c>
    </row>
    <row r="29" spans="3:12">
      <c r="C29" t="s">
        <v>704</v>
      </c>
    </row>
    <row r="30" spans="3:12">
      <c r="C30" t="s">
        <v>700</v>
      </c>
    </row>
  </sheetData>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BDD57-EDA3-456A-B6D8-F505C8E45589}">
  <dimension ref="B1:E8"/>
  <sheetViews>
    <sheetView workbookViewId="0">
      <selection activeCell="J25" sqref="J25"/>
    </sheetView>
  </sheetViews>
  <sheetFormatPr defaultRowHeight="15"/>
  <cols>
    <col min="2" max="2" width="11" bestFit="1" customWidth="1"/>
  </cols>
  <sheetData>
    <row r="1" spans="2:5">
      <c r="C1" t="s">
        <v>708</v>
      </c>
    </row>
    <row r="2" spans="2:5">
      <c r="B2" t="s">
        <v>706</v>
      </c>
      <c r="C2" t="s">
        <v>709</v>
      </c>
      <c r="D2" t="s">
        <v>710</v>
      </c>
      <c r="E2" t="s">
        <v>711</v>
      </c>
    </row>
    <row r="3" spans="2:5">
      <c r="B3" t="s">
        <v>362</v>
      </c>
      <c r="C3" s="96">
        <v>6</v>
      </c>
      <c r="D3" s="62">
        <v>2</v>
      </c>
      <c r="E3" s="53">
        <v>4</v>
      </c>
    </row>
    <row r="4" spans="2:5">
      <c r="B4" t="s">
        <v>363</v>
      </c>
      <c r="C4" s="167">
        <v>3</v>
      </c>
      <c r="D4">
        <v>4</v>
      </c>
      <c r="E4" s="54">
        <v>3</v>
      </c>
    </row>
    <row r="5" spans="2:5">
      <c r="B5" t="s">
        <v>707</v>
      </c>
      <c r="C5" s="169">
        <v>8</v>
      </c>
      <c r="D5" s="58">
        <v>1</v>
      </c>
      <c r="E5" s="57">
        <v>5</v>
      </c>
    </row>
    <row r="7" spans="2:5">
      <c r="B7" t="s">
        <v>712</v>
      </c>
    </row>
    <row r="8" spans="2:5">
      <c r="B8" t="s">
        <v>713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C0DC7-421A-4C56-B553-EE8964B4E92E}">
  <dimension ref="B1:F11"/>
  <sheetViews>
    <sheetView workbookViewId="0">
      <selection activeCell="J25" sqref="J25"/>
    </sheetView>
  </sheetViews>
  <sheetFormatPr defaultRowHeight="15"/>
  <cols>
    <col min="2" max="2" width="25.5703125" style="38" bestFit="1" customWidth="1"/>
    <col min="3" max="3" width="18.7109375" style="38" bestFit="1" customWidth="1"/>
    <col min="4" max="4" width="15.140625" style="38" bestFit="1" customWidth="1"/>
    <col min="5" max="5" width="19.28515625" style="38" bestFit="1" customWidth="1"/>
  </cols>
  <sheetData>
    <row r="1" spans="2:6">
      <c r="B1" s="38" t="s">
        <v>721</v>
      </c>
      <c r="C1" s="38" t="s">
        <v>718</v>
      </c>
      <c r="D1" s="38" t="s">
        <v>719</v>
      </c>
      <c r="E1" s="38" t="s">
        <v>720</v>
      </c>
      <c r="F1" s="14" t="s">
        <v>727</v>
      </c>
    </row>
    <row r="2" spans="2:6">
      <c r="B2" s="38" t="s">
        <v>715</v>
      </c>
      <c r="C2" s="173">
        <v>30</v>
      </c>
      <c r="D2" s="174">
        <v>5</v>
      </c>
      <c r="E2" s="175">
        <v>-10</v>
      </c>
      <c r="F2" s="67">
        <f>C2*$C$5+D2*$D$5+E2*$E$5</f>
        <v>1.5</v>
      </c>
    </row>
    <row r="3" spans="2:6">
      <c r="B3" s="38" t="s">
        <v>716</v>
      </c>
      <c r="C3" s="176">
        <v>40</v>
      </c>
      <c r="D3" s="40">
        <v>10</v>
      </c>
      <c r="E3" s="177">
        <v>-30</v>
      </c>
      <c r="F3" s="67">
        <f t="shared" ref="F3:F4" si="0">C3*$C$5+D3*$D$5+E3*$E$5</f>
        <v>-3</v>
      </c>
    </row>
    <row r="4" spans="2:6">
      <c r="B4" s="38" t="s">
        <v>717</v>
      </c>
      <c r="C4" s="178">
        <v>-10</v>
      </c>
      <c r="D4" s="179">
        <v>0</v>
      </c>
      <c r="E4" s="180">
        <v>15</v>
      </c>
      <c r="F4" s="67">
        <f t="shared" si="0"/>
        <v>5</v>
      </c>
    </row>
    <row r="5" spans="2:6">
      <c r="B5" s="38" t="s">
        <v>722</v>
      </c>
      <c r="C5" s="63">
        <v>0.1</v>
      </c>
      <c r="D5" s="63">
        <v>0.5</v>
      </c>
      <c r="E5" s="63">
        <v>0.4</v>
      </c>
      <c r="F5" s="67"/>
    </row>
    <row r="8" spans="2:6">
      <c r="B8" s="14" t="s">
        <v>723</v>
      </c>
    </row>
    <row r="9" spans="2:6">
      <c r="B9" s="14" t="s">
        <v>724</v>
      </c>
    </row>
    <row r="10" spans="2:6">
      <c r="B10" s="14" t="s">
        <v>725</v>
      </c>
    </row>
    <row r="11" spans="2:6">
      <c r="B11" s="14" t="s">
        <v>726</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5E794-E2D8-4B42-888C-1C40E8443C91}">
  <dimension ref="B1:F14"/>
  <sheetViews>
    <sheetView zoomScaleNormal="100" workbookViewId="0">
      <selection activeCell="M28" sqref="M28"/>
    </sheetView>
  </sheetViews>
  <sheetFormatPr defaultRowHeight="15"/>
  <cols>
    <col min="2" max="2" width="25.5703125" bestFit="1" customWidth="1"/>
    <col min="3" max="3" width="18.7109375" bestFit="1" customWidth="1"/>
    <col min="4" max="4" width="15.140625" bestFit="1" customWidth="1"/>
    <col min="5" max="5" width="19.28515625" bestFit="1" customWidth="1"/>
    <col min="6" max="6" width="15.42578125" bestFit="1" customWidth="1"/>
  </cols>
  <sheetData>
    <row r="1" spans="2:6">
      <c r="B1" s="38" t="s">
        <v>721</v>
      </c>
      <c r="C1" s="38" t="s">
        <v>718</v>
      </c>
      <c r="D1" s="38" t="s">
        <v>719</v>
      </c>
      <c r="E1" s="38" t="s">
        <v>720</v>
      </c>
      <c r="F1" s="14" t="s">
        <v>727</v>
      </c>
    </row>
    <row r="2" spans="2:6">
      <c r="B2" s="38" t="s">
        <v>715</v>
      </c>
      <c r="C2" s="173">
        <v>30</v>
      </c>
      <c r="D2" s="174">
        <v>5</v>
      </c>
      <c r="E2" s="175">
        <v>-10</v>
      </c>
      <c r="F2" s="67">
        <f>C2*$C$5+D2*$D$5+E2*$E$5</f>
        <v>4.5</v>
      </c>
    </row>
    <row r="3" spans="2:6">
      <c r="B3" s="38" t="s">
        <v>716</v>
      </c>
      <c r="C3" s="176">
        <v>40</v>
      </c>
      <c r="D3" s="40">
        <v>10</v>
      </c>
      <c r="E3" s="177">
        <v>-30</v>
      </c>
      <c r="F3" s="67">
        <f t="shared" ref="F3:F4" si="0">C3*$C$5+D3*$D$5+E3*$E$5</f>
        <v>5</v>
      </c>
    </row>
    <row r="4" spans="2:6">
      <c r="B4" s="38" t="s">
        <v>717</v>
      </c>
      <c r="C4" s="178">
        <v>-10</v>
      </c>
      <c r="D4" s="179">
        <v>0</v>
      </c>
      <c r="E4" s="180">
        <v>15</v>
      </c>
      <c r="F4" s="67">
        <f t="shared" si="0"/>
        <v>2</v>
      </c>
    </row>
    <row r="5" spans="2:6">
      <c r="B5" s="38" t="s">
        <v>722</v>
      </c>
      <c r="C5" s="63">
        <v>0.1</v>
      </c>
      <c r="D5" s="63">
        <v>0.7</v>
      </c>
      <c r="E5" s="63">
        <v>0.2</v>
      </c>
      <c r="F5" s="67"/>
    </row>
    <row r="6" spans="2:6">
      <c r="B6" s="38"/>
      <c r="C6" s="38"/>
      <c r="D6" s="38"/>
      <c r="E6" s="38"/>
    </row>
    <row r="12" spans="2:6">
      <c r="B12" t="s">
        <v>729</v>
      </c>
    </row>
    <row r="13" spans="2:6">
      <c r="B13" t="s">
        <v>730</v>
      </c>
    </row>
    <row r="14" spans="2:6">
      <c r="B14" t="s">
        <v>210</v>
      </c>
    </row>
  </sheetData>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89191-E14C-4823-A3AA-C878183DF5AB}">
  <dimension ref="B1:F7"/>
  <sheetViews>
    <sheetView workbookViewId="0">
      <selection activeCell="L30" sqref="L30"/>
    </sheetView>
  </sheetViews>
  <sheetFormatPr defaultRowHeight="15"/>
  <cols>
    <col min="2" max="2" width="11.5703125" style="38" bestFit="1" customWidth="1"/>
    <col min="3" max="3" width="9.140625" style="38"/>
    <col min="4" max="4" width="11.140625" style="38" bestFit="1" customWidth="1"/>
    <col min="5" max="5" width="9.140625" style="38"/>
  </cols>
  <sheetData>
    <row r="1" spans="2:6">
      <c r="C1" s="38" t="s">
        <v>739</v>
      </c>
      <c r="D1" s="38" t="s">
        <v>740</v>
      </c>
      <c r="E1" s="38" t="s">
        <v>734</v>
      </c>
      <c r="F1" s="38" t="s">
        <v>736</v>
      </c>
    </row>
    <row r="2" spans="2:6">
      <c r="B2" s="38" t="s">
        <v>733</v>
      </c>
      <c r="C2" s="173">
        <v>180</v>
      </c>
      <c r="D2" s="175">
        <v>160000</v>
      </c>
      <c r="E2" s="61">
        <f>C2*C4+D2*D4</f>
        <v>339.82</v>
      </c>
      <c r="F2">
        <f>SQRT(E2)</f>
        <v>18.434207333107654</v>
      </c>
    </row>
    <row r="3" spans="2:6">
      <c r="C3" s="178">
        <v>0</v>
      </c>
      <c r="D3" s="180">
        <v>250000</v>
      </c>
      <c r="E3" s="61">
        <f>D3*D4</f>
        <v>250</v>
      </c>
      <c r="F3">
        <f>SQRT(E3)</f>
        <v>15.811388300841896</v>
      </c>
    </row>
    <row r="4" spans="2:6">
      <c r="B4" s="38" t="s">
        <v>738</v>
      </c>
      <c r="C4" s="38">
        <v>0.999</v>
      </c>
      <c r="D4" s="38">
        <v>1E-3</v>
      </c>
    </row>
    <row r="6" spans="2:6">
      <c r="B6" s="14" t="s">
        <v>735</v>
      </c>
    </row>
    <row r="7" spans="2:6">
      <c r="B7" s="14" t="s">
        <v>737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BDE5A-9DD0-4879-BEDD-306613101F6A}">
  <dimension ref="A3:M16"/>
  <sheetViews>
    <sheetView workbookViewId="0">
      <selection activeCell="E27" sqref="E27"/>
    </sheetView>
  </sheetViews>
  <sheetFormatPr defaultRowHeight="15"/>
  <cols>
    <col min="1" max="1" width="15.5703125" customWidth="1"/>
    <col min="2" max="2" width="11.140625" bestFit="1" customWidth="1"/>
    <col min="4" max="4" width="17.85546875" bestFit="1" customWidth="1"/>
    <col min="5" max="5" width="12.5703125" bestFit="1" customWidth="1"/>
    <col min="10" max="10" width="6" bestFit="1" customWidth="1"/>
    <col min="11" max="11" width="11.140625" bestFit="1" customWidth="1"/>
    <col min="12" max="12" width="12.5703125" bestFit="1" customWidth="1"/>
    <col min="13" max="13" width="10.85546875" bestFit="1" customWidth="1"/>
  </cols>
  <sheetData>
    <row r="3" spans="1:13">
      <c r="B3" s="2" t="s">
        <v>1</v>
      </c>
      <c r="D3" s="2" t="s">
        <v>2</v>
      </c>
    </row>
    <row r="4" spans="1:13">
      <c r="A4" t="s">
        <v>7</v>
      </c>
      <c r="B4" s="3">
        <v>1700</v>
      </c>
      <c r="D4" t="s">
        <v>8</v>
      </c>
      <c r="E4" s="4">
        <f>B4*MIN(B7,B9)</f>
        <v>42500000</v>
      </c>
      <c r="J4" t="s">
        <v>133</v>
      </c>
      <c r="K4" t="s">
        <v>4</v>
      </c>
      <c r="L4" t="s">
        <v>5</v>
      </c>
      <c r="M4" t="s">
        <v>6</v>
      </c>
    </row>
    <row r="5" spans="1:13">
      <c r="A5" t="s">
        <v>9</v>
      </c>
      <c r="B5" s="3">
        <v>10000000</v>
      </c>
      <c r="D5" t="s">
        <v>10</v>
      </c>
      <c r="E5" s="6">
        <f>IF(B9&gt;0,B5,0)</f>
        <v>10000000</v>
      </c>
      <c r="J5">
        <v>1000</v>
      </c>
      <c r="K5" s="35">
        <f>J5*$B$4</f>
        <v>1700000</v>
      </c>
      <c r="L5" s="36">
        <f>$E$5+(J5*$B$6)</f>
        <v>11300000</v>
      </c>
      <c r="M5" s="35">
        <f>K5-L5</f>
        <v>-9600000</v>
      </c>
    </row>
    <row r="6" spans="1:13">
      <c r="A6" t="s">
        <v>11</v>
      </c>
      <c r="B6" s="3">
        <v>1300</v>
      </c>
      <c r="D6" t="s">
        <v>12</v>
      </c>
      <c r="E6" s="6">
        <f>B6*B9</f>
        <v>32500000</v>
      </c>
      <c r="J6">
        <v>5000</v>
      </c>
      <c r="K6" s="35">
        <f t="shared" ref="K6:K11" si="0">J6*$B$4</f>
        <v>8500000</v>
      </c>
      <c r="L6" s="36">
        <f t="shared" ref="L6:L11" si="1">$E$5+(J6*$B$6)</f>
        <v>16500000</v>
      </c>
      <c r="M6" s="35">
        <f t="shared" ref="M6:M11" si="2">K6-L6</f>
        <v>-8000000</v>
      </c>
    </row>
    <row r="7" spans="1:13">
      <c r="A7" t="s">
        <v>13</v>
      </c>
      <c r="B7" s="7"/>
      <c r="D7" t="s">
        <v>6</v>
      </c>
      <c r="E7" s="11">
        <f>E4-(E5+E6)</f>
        <v>0</v>
      </c>
      <c r="J7">
        <v>10000</v>
      </c>
      <c r="K7" s="35">
        <f t="shared" si="0"/>
        <v>17000000</v>
      </c>
      <c r="L7" s="36">
        <f t="shared" si="1"/>
        <v>23000000</v>
      </c>
      <c r="M7" s="35">
        <f t="shared" si="2"/>
        <v>-6000000</v>
      </c>
    </row>
    <row r="8" spans="1:13">
      <c r="J8">
        <v>15000</v>
      </c>
      <c r="K8" s="35">
        <f t="shared" si="0"/>
        <v>25500000</v>
      </c>
      <c r="L8" s="36">
        <f t="shared" si="1"/>
        <v>29500000</v>
      </c>
      <c r="M8" s="35">
        <f t="shared" si="2"/>
        <v>-4000000</v>
      </c>
    </row>
    <row r="9" spans="1:13">
      <c r="A9" t="s">
        <v>14</v>
      </c>
      <c r="B9" s="8">
        <v>25000</v>
      </c>
      <c r="D9" t="s">
        <v>15</v>
      </c>
      <c r="E9" s="37">
        <v>25000</v>
      </c>
      <c r="J9">
        <v>20000</v>
      </c>
      <c r="K9" s="35">
        <f t="shared" si="0"/>
        <v>34000000</v>
      </c>
      <c r="L9" s="36">
        <f t="shared" si="1"/>
        <v>36000000</v>
      </c>
      <c r="M9" s="35">
        <f t="shared" si="2"/>
        <v>-2000000</v>
      </c>
    </row>
    <row r="10" spans="1:13">
      <c r="J10">
        <v>25000</v>
      </c>
      <c r="K10" s="35">
        <f t="shared" si="0"/>
        <v>42500000</v>
      </c>
      <c r="L10" s="36">
        <f t="shared" si="1"/>
        <v>42500000</v>
      </c>
      <c r="M10" s="35">
        <f t="shared" si="2"/>
        <v>0</v>
      </c>
    </row>
    <row r="11" spans="1:13">
      <c r="J11">
        <v>30000</v>
      </c>
      <c r="K11" s="35">
        <f t="shared" si="0"/>
        <v>51000000</v>
      </c>
      <c r="L11" s="36">
        <f t="shared" si="1"/>
        <v>49000000</v>
      </c>
      <c r="M11" s="35">
        <f t="shared" si="2"/>
        <v>2000000</v>
      </c>
    </row>
    <row r="12" spans="1:13">
      <c r="A12" t="s">
        <v>29</v>
      </c>
    </row>
    <row r="13" spans="1:13">
      <c r="A13" t="s">
        <v>33</v>
      </c>
    </row>
    <row r="14" spans="1:13">
      <c r="A14" t="s">
        <v>30</v>
      </c>
    </row>
    <row r="15" spans="1:13">
      <c r="A15" t="s">
        <v>31</v>
      </c>
    </row>
    <row r="16" spans="1:13">
      <c r="A16" t="s">
        <v>32</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96F60-A63E-4A06-9A1D-E1967B5EC09D}">
  <dimension ref="A1:M21"/>
  <sheetViews>
    <sheetView workbookViewId="0">
      <selection activeCell="E17" sqref="E17"/>
    </sheetView>
  </sheetViews>
  <sheetFormatPr defaultRowHeight="15"/>
  <cols>
    <col min="1" max="1" width="19.7109375" customWidth="1"/>
    <col min="2" max="2" width="10.85546875" bestFit="1" customWidth="1"/>
    <col min="4" max="4" width="16.85546875" customWidth="1"/>
    <col min="5" max="5" width="12.5703125" bestFit="1" customWidth="1"/>
    <col min="11" max="12" width="12" bestFit="1" customWidth="1"/>
    <col min="13" max="13" width="12.5703125" bestFit="1" customWidth="1"/>
  </cols>
  <sheetData>
    <row r="1" spans="1:13" ht="20.25">
      <c r="A1" s="1" t="s">
        <v>0</v>
      </c>
    </row>
    <row r="3" spans="1:13">
      <c r="B3" s="2" t="s">
        <v>1</v>
      </c>
      <c r="D3" s="2" t="s">
        <v>2</v>
      </c>
      <c r="J3" t="s">
        <v>3</v>
      </c>
      <c r="K3" t="s">
        <v>4</v>
      </c>
      <c r="L3" t="s">
        <v>5</v>
      </c>
      <c r="M3" t="s">
        <v>6</v>
      </c>
    </row>
    <row r="4" spans="1:13">
      <c r="A4" t="s">
        <v>7</v>
      </c>
      <c r="B4" s="3">
        <v>4500</v>
      </c>
      <c r="D4" t="s">
        <v>8</v>
      </c>
      <c r="E4" s="4">
        <f>UniteRevenue1*MIN(SalesForecast1,ProductionQuantity1)</f>
        <v>1350000</v>
      </c>
      <c r="J4">
        <v>1</v>
      </c>
      <c r="K4" s="5">
        <f t="shared" ref="K4:K14" si="0">UniteRevenue*J4</f>
        <v>4500</v>
      </c>
      <c r="L4" s="5">
        <f t="shared" ref="L4:L14" si="1">FixedCost1+(MarginalCost1*J4)</f>
        <v>252000</v>
      </c>
      <c r="M4" s="5">
        <f>K4-L4</f>
        <v>-247500</v>
      </c>
    </row>
    <row r="5" spans="1:13">
      <c r="A5" t="s">
        <v>9</v>
      </c>
      <c r="B5" s="3">
        <v>250000</v>
      </c>
      <c r="D5" t="s">
        <v>10</v>
      </c>
      <c r="E5" s="6">
        <f>IF(ProductionQuantity1&gt;0,FixedCost1,0)</f>
        <v>250000</v>
      </c>
      <c r="J5">
        <v>10</v>
      </c>
      <c r="K5" s="5">
        <f t="shared" si="0"/>
        <v>45000</v>
      </c>
      <c r="L5" s="5">
        <f t="shared" si="1"/>
        <v>270000</v>
      </c>
      <c r="M5" s="5">
        <f t="shared" ref="M5:M14" si="2">K5-L5</f>
        <v>-225000</v>
      </c>
    </row>
    <row r="6" spans="1:13">
      <c r="A6" t="s">
        <v>11</v>
      </c>
      <c r="B6" s="3">
        <v>2000</v>
      </c>
      <c r="D6" t="s">
        <v>12</v>
      </c>
      <c r="E6" s="6">
        <f>MarginalCost1*ProductionQuantity1</f>
        <v>600000</v>
      </c>
      <c r="J6">
        <v>20</v>
      </c>
      <c r="K6" s="5">
        <f t="shared" si="0"/>
        <v>90000</v>
      </c>
      <c r="L6" s="5">
        <f t="shared" si="1"/>
        <v>290000</v>
      </c>
      <c r="M6" s="5">
        <f t="shared" si="2"/>
        <v>-200000</v>
      </c>
    </row>
    <row r="7" spans="1:13">
      <c r="A7" t="s">
        <v>13</v>
      </c>
      <c r="B7" s="7"/>
      <c r="D7" t="s">
        <v>6</v>
      </c>
      <c r="E7" s="10">
        <f>E4-(TotalFixedCost1+TotalVariableCost1)</f>
        <v>500000</v>
      </c>
      <c r="J7">
        <v>30</v>
      </c>
      <c r="K7" s="5">
        <f t="shared" si="0"/>
        <v>135000</v>
      </c>
      <c r="L7" s="5">
        <f t="shared" si="1"/>
        <v>310000</v>
      </c>
      <c r="M7" s="5">
        <f t="shared" si="2"/>
        <v>-175000</v>
      </c>
    </row>
    <row r="8" spans="1:13">
      <c r="J8">
        <v>40</v>
      </c>
      <c r="K8" s="5">
        <f t="shared" si="0"/>
        <v>180000</v>
      </c>
      <c r="L8" s="5">
        <f t="shared" si="1"/>
        <v>330000</v>
      </c>
      <c r="M8" s="5">
        <f t="shared" si="2"/>
        <v>-150000</v>
      </c>
    </row>
    <row r="9" spans="1:13">
      <c r="A9" t="s">
        <v>14</v>
      </c>
      <c r="B9" s="8">
        <v>300</v>
      </c>
      <c r="D9" t="s">
        <v>15</v>
      </c>
      <c r="E9" s="9">
        <v>100</v>
      </c>
      <c r="J9">
        <v>50</v>
      </c>
      <c r="K9" s="5">
        <f t="shared" si="0"/>
        <v>225000</v>
      </c>
      <c r="L9" s="5">
        <f t="shared" si="1"/>
        <v>350000</v>
      </c>
      <c r="M9" s="5">
        <f t="shared" si="2"/>
        <v>-125000</v>
      </c>
    </row>
    <row r="10" spans="1:13">
      <c r="J10">
        <v>60</v>
      </c>
      <c r="K10" s="5">
        <f t="shared" si="0"/>
        <v>270000</v>
      </c>
      <c r="L10" s="5">
        <f t="shared" si="1"/>
        <v>370000</v>
      </c>
      <c r="M10" s="5">
        <f t="shared" si="2"/>
        <v>-100000</v>
      </c>
    </row>
    <row r="11" spans="1:13">
      <c r="J11">
        <v>70</v>
      </c>
      <c r="K11" s="5">
        <f t="shared" si="0"/>
        <v>315000</v>
      </c>
      <c r="L11" s="5">
        <f t="shared" si="1"/>
        <v>390000</v>
      </c>
      <c r="M11" s="5">
        <f t="shared" si="2"/>
        <v>-75000</v>
      </c>
    </row>
    <row r="12" spans="1:13">
      <c r="J12">
        <v>80</v>
      </c>
      <c r="K12" s="5">
        <f t="shared" si="0"/>
        <v>360000</v>
      </c>
      <c r="L12" s="5">
        <f t="shared" si="1"/>
        <v>410000</v>
      </c>
      <c r="M12" s="5">
        <f t="shared" si="2"/>
        <v>-50000</v>
      </c>
    </row>
    <row r="13" spans="1:13">
      <c r="J13">
        <v>90</v>
      </c>
      <c r="K13" s="5">
        <f t="shared" si="0"/>
        <v>405000</v>
      </c>
      <c r="L13" s="5">
        <f t="shared" si="1"/>
        <v>430000</v>
      </c>
      <c r="M13" s="5">
        <f t="shared" si="2"/>
        <v>-25000</v>
      </c>
    </row>
    <row r="14" spans="1:13">
      <c r="J14">
        <v>100</v>
      </c>
      <c r="K14" s="5">
        <f t="shared" si="0"/>
        <v>450000</v>
      </c>
      <c r="L14" s="5">
        <f t="shared" si="1"/>
        <v>450000</v>
      </c>
      <c r="M14" s="5">
        <f t="shared" si="2"/>
        <v>0</v>
      </c>
    </row>
    <row r="18" spans="1:1">
      <c r="A18" t="s">
        <v>16</v>
      </c>
    </row>
    <row r="19" spans="1:1">
      <c r="A19">
        <v>4500</v>
      </c>
    </row>
    <row r="20" spans="1:1">
      <c r="A20">
        <v>250000</v>
      </c>
    </row>
    <row r="21" spans="1:1">
      <c r="A21">
        <v>2000</v>
      </c>
    </row>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C0FA4-9291-429B-ADF7-75DDB4D38533}">
  <dimension ref="A1:M18"/>
  <sheetViews>
    <sheetView zoomScaleNormal="100" workbookViewId="0">
      <selection activeCell="H10" sqref="H10"/>
    </sheetView>
  </sheetViews>
  <sheetFormatPr defaultRowHeight="15"/>
  <cols>
    <col min="1" max="1" width="19.7109375" customWidth="1"/>
    <col min="2" max="2" width="10.85546875" bestFit="1" customWidth="1"/>
    <col min="4" max="4" width="16.85546875" customWidth="1"/>
    <col min="5" max="5" width="12.5703125" bestFit="1" customWidth="1"/>
    <col min="11" max="12" width="12" bestFit="1" customWidth="1"/>
    <col min="13" max="13" width="12.5703125" bestFit="1" customWidth="1"/>
  </cols>
  <sheetData>
    <row r="1" spans="1:13" ht="20.25">
      <c r="A1" s="1" t="s">
        <v>0</v>
      </c>
    </row>
    <row r="3" spans="1:13">
      <c r="B3" s="2" t="s">
        <v>1</v>
      </c>
      <c r="D3" s="2" t="s">
        <v>2</v>
      </c>
    </row>
    <row r="4" spans="1:13">
      <c r="A4" t="s">
        <v>7</v>
      </c>
      <c r="B4" s="3">
        <v>4500</v>
      </c>
      <c r="D4" t="s">
        <v>8</v>
      </c>
      <c r="E4" s="4">
        <f>UniteRevenue1*MIN(SalesForecast1,ProductionQuantity1)</f>
        <v>900000</v>
      </c>
      <c r="K4" s="5"/>
      <c r="L4" s="5"/>
      <c r="M4" s="5"/>
    </row>
    <row r="5" spans="1:13">
      <c r="A5" t="s">
        <v>9</v>
      </c>
      <c r="B5" s="3">
        <f>250000</f>
        <v>250000</v>
      </c>
      <c r="D5" t="s">
        <v>10</v>
      </c>
      <c r="E5" s="6">
        <f>IF(ProductionQuantity1&gt;0,FixedCost1,0)</f>
        <v>250000</v>
      </c>
      <c r="K5" s="5"/>
      <c r="L5" s="5"/>
      <c r="M5" s="5"/>
    </row>
    <row r="6" spans="1:13">
      <c r="A6" t="s">
        <v>11</v>
      </c>
      <c r="B6" s="3">
        <f>2000</f>
        <v>2000</v>
      </c>
      <c r="D6" t="s">
        <v>12</v>
      </c>
      <c r="E6" s="6">
        <f>MarginalCost1*ProductionQuantity1</f>
        <v>600000</v>
      </c>
      <c r="K6" s="5"/>
      <c r="L6" s="5"/>
      <c r="M6" s="5"/>
    </row>
    <row r="7" spans="1:13">
      <c r="A7" t="s">
        <v>13</v>
      </c>
      <c r="B7" s="7">
        <v>200</v>
      </c>
      <c r="D7" t="s">
        <v>6</v>
      </c>
      <c r="E7" s="11">
        <f>E4-(TotalFixedCost1+TotalVariableCost1)</f>
        <v>50000</v>
      </c>
      <c r="K7" s="5"/>
      <c r="L7" s="5"/>
      <c r="M7" s="5"/>
    </row>
    <row r="8" spans="1:13">
      <c r="K8" s="5"/>
      <c r="L8" s="5"/>
      <c r="M8" s="5"/>
    </row>
    <row r="9" spans="1:13">
      <c r="A9" t="s">
        <v>14</v>
      </c>
      <c r="B9" s="8">
        <v>300</v>
      </c>
      <c r="D9" t="s">
        <v>15</v>
      </c>
      <c r="E9" s="9">
        <v>100</v>
      </c>
      <c r="K9" s="5"/>
      <c r="L9" s="5"/>
      <c r="M9" s="5"/>
    </row>
    <row r="10" spans="1:13">
      <c r="K10" s="5"/>
      <c r="L10" s="5"/>
      <c r="M10" s="5"/>
    </row>
    <row r="11" spans="1:13">
      <c r="K11" s="5"/>
      <c r="L11" s="5"/>
      <c r="M11" s="5"/>
    </row>
    <row r="12" spans="1:13">
      <c r="K12" s="5"/>
      <c r="L12" s="5"/>
      <c r="M12" s="5"/>
    </row>
    <row r="13" spans="1:13">
      <c r="A13" t="s">
        <v>22</v>
      </c>
      <c r="K13" s="5"/>
      <c r="L13" s="5"/>
      <c r="M13" s="5"/>
    </row>
    <row r="14" spans="1:13">
      <c r="A14" t="s">
        <v>17</v>
      </c>
      <c r="K14" s="5"/>
      <c r="L14" s="5"/>
      <c r="M14" s="5"/>
    </row>
    <row r="15" spans="1:13">
      <c r="A15" t="s">
        <v>18</v>
      </c>
    </row>
    <row r="16" spans="1:13">
      <c r="A16" t="s">
        <v>19</v>
      </c>
    </row>
    <row r="17" spans="1:1">
      <c r="A17" t="s">
        <v>20</v>
      </c>
    </row>
    <row r="18" spans="1:1">
      <c r="A18" t="s">
        <v>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549D8-D7BC-4F20-9041-551E710D8BC0}">
  <dimension ref="A1:N41"/>
  <sheetViews>
    <sheetView workbookViewId="0">
      <selection activeCell="E27" sqref="E27"/>
    </sheetView>
  </sheetViews>
  <sheetFormatPr defaultRowHeight="15"/>
  <sheetData>
    <row r="1" spans="1:14">
      <c r="A1" t="s">
        <v>134</v>
      </c>
      <c r="B1" s="38" t="s">
        <v>135</v>
      </c>
      <c r="C1" s="38" t="s">
        <v>136</v>
      </c>
      <c r="J1" t="s">
        <v>16</v>
      </c>
    </row>
    <row r="2" spans="1:14">
      <c r="B2" s="38" t="s">
        <v>137</v>
      </c>
      <c r="C2" s="38" t="s">
        <v>138</v>
      </c>
    </row>
    <row r="3" spans="1:14">
      <c r="A3" s="39" t="s">
        <v>6</v>
      </c>
      <c r="B3" s="40">
        <v>2800</v>
      </c>
      <c r="C3" s="40">
        <v>5400</v>
      </c>
      <c r="J3" s="40">
        <v>3600</v>
      </c>
      <c r="K3" s="40">
        <v>5400</v>
      </c>
    </row>
    <row r="4" spans="1:14">
      <c r="D4" s="38" t="s">
        <v>139</v>
      </c>
      <c r="F4" t="s">
        <v>139</v>
      </c>
      <c r="L4" s="38" t="s">
        <v>139</v>
      </c>
      <c r="N4" t="s">
        <v>139</v>
      </c>
    </row>
    <row r="5" spans="1:14">
      <c r="B5" s="181" t="s">
        <v>140</v>
      </c>
      <c r="C5" s="181"/>
      <c r="D5" s="38" t="s">
        <v>141</v>
      </c>
      <c r="F5" t="s">
        <v>142</v>
      </c>
      <c r="J5" s="181" t="s">
        <v>140</v>
      </c>
      <c r="K5" s="181"/>
      <c r="L5" s="38" t="s">
        <v>141</v>
      </c>
      <c r="N5" t="s">
        <v>142</v>
      </c>
    </row>
    <row r="6" spans="1:14">
      <c r="A6" s="39" t="s">
        <v>143</v>
      </c>
      <c r="B6" s="41">
        <v>7.5</v>
      </c>
      <c r="C6" s="41">
        <v>10.5</v>
      </c>
      <c r="D6" s="42">
        <f>SUMPRODUCT(B6:C6,Production)</f>
        <v>60000</v>
      </c>
      <c r="E6" t="s">
        <v>144</v>
      </c>
      <c r="F6" s="43">
        <f>48000*1.25</f>
        <v>60000</v>
      </c>
      <c r="J6" s="41">
        <v>6</v>
      </c>
      <c r="K6" s="41">
        <v>10.5</v>
      </c>
      <c r="L6" s="42">
        <f>SUMPRODUCT(J6:K6,Production)</f>
        <v>56820</v>
      </c>
      <c r="M6" t="s">
        <v>144</v>
      </c>
      <c r="N6" s="43">
        <v>48000</v>
      </c>
    </row>
    <row r="7" spans="1:14">
      <c r="A7" s="39" t="s">
        <v>145</v>
      </c>
      <c r="B7" s="41">
        <v>4</v>
      </c>
      <c r="C7" s="41">
        <v>2</v>
      </c>
      <c r="D7" s="42">
        <f>SUMPRODUCT(B7:C7,Production)</f>
        <v>16880</v>
      </c>
      <c r="E7" t="s">
        <v>144</v>
      </c>
      <c r="F7" s="43">
        <v>20000</v>
      </c>
      <c r="J7" s="41">
        <v>4</v>
      </c>
      <c r="K7" s="41">
        <v>2</v>
      </c>
      <c r="L7" s="42">
        <f>SUMPRODUCT(J7:K7,Production)</f>
        <v>16880</v>
      </c>
      <c r="M7" t="s">
        <v>144</v>
      </c>
      <c r="N7" s="43">
        <v>20000</v>
      </c>
    </row>
    <row r="10" spans="1:14">
      <c r="B10" s="38" t="s">
        <v>146</v>
      </c>
      <c r="C10" s="38" t="s">
        <v>147</v>
      </c>
      <c r="F10" t="s">
        <v>148</v>
      </c>
      <c r="J10" s="38" t="s">
        <v>146</v>
      </c>
      <c r="K10" s="38" t="s">
        <v>147</v>
      </c>
      <c r="N10" t="s">
        <v>148</v>
      </c>
    </row>
    <row r="11" spans="1:14">
      <c r="A11" s="39" t="s">
        <v>149</v>
      </c>
      <c r="B11" s="44">
        <v>2120</v>
      </c>
      <c r="C11" s="44">
        <v>4200</v>
      </c>
      <c r="F11" s="45">
        <f>SUMPRODUCT(UnitProfit,Production)</f>
        <v>28616000</v>
      </c>
      <c r="J11" s="44">
        <v>3800</v>
      </c>
      <c r="K11" s="44">
        <v>2400</v>
      </c>
      <c r="N11" s="45">
        <f>SUMPRODUCT(UnitProfit,Production)</f>
        <v>28616000</v>
      </c>
    </row>
    <row r="12" spans="1:14">
      <c r="C12" s="38" t="s">
        <v>144</v>
      </c>
      <c r="K12" s="38" t="s">
        <v>144</v>
      </c>
    </row>
    <row r="13" spans="1:14">
      <c r="B13" t="s">
        <v>150</v>
      </c>
      <c r="C13" s="46">
        <f>3500*1.2</f>
        <v>4200</v>
      </c>
      <c r="J13" t="s">
        <v>150</v>
      </c>
      <c r="K13" s="46">
        <v>3500</v>
      </c>
    </row>
    <row r="20" spans="1:4">
      <c r="A20" t="s">
        <v>151</v>
      </c>
    </row>
    <row r="21" spans="1:4">
      <c r="A21" t="s">
        <v>152</v>
      </c>
    </row>
    <row r="22" spans="1:4">
      <c r="A22" t="s">
        <v>153</v>
      </c>
    </row>
    <row r="24" spans="1:4">
      <c r="A24" t="s">
        <v>154</v>
      </c>
      <c r="C24" t="s">
        <v>155</v>
      </c>
    </row>
    <row r="25" spans="1:4">
      <c r="C25" t="s">
        <v>156</v>
      </c>
      <c r="D25" t="s">
        <v>157</v>
      </c>
    </row>
    <row r="26" spans="1:4">
      <c r="D26" t="s">
        <v>158</v>
      </c>
    </row>
    <row r="27" spans="1:4">
      <c r="D27" t="s">
        <v>159</v>
      </c>
    </row>
    <row r="29" spans="1:4">
      <c r="A29" t="s">
        <v>160</v>
      </c>
    </row>
    <row r="30" spans="1:4">
      <c r="A30" t="s">
        <v>35</v>
      </c>
    </row>
    <row r="31" spans="1:4">
      <c r="A31" t="s">
        <v>36</v>
      </c>
    </row>
    <row r="32" spans="1:4">
      <c r="A32" t="s">
        <v>37</v>
      </c>
    </row>
    <row r="33" spans="1:1">
      <c r="A33" t="s">
        <v>38</v>
      </c>
    </row>
    <row r="34" spans="1:1">
      <c r="A34" t="s">
        <v>39</v>
      </c>
    </row>
    <row r="35" spans="1:1">
      <c r="A35" t="s">
        <v>40</v>
      </c>
    </row>
    <row r="36" spans="1:1">
      <c r="A36" t="s">
        <v>41</v>
      </c>
    </row>
    <row r="37" spans="1:1">
      <c r="A37" t="s">
        <v>42</v>
      </c>
    </row>
    <row r="38" spans="1:1">
      <c r="A38" t="s">
        <v>43</v>
      </c>
    </row>
    <row r="39" spans="1:1">
      <c r="A39" t="s">
        <v>44</v>
      </c>
    </row>
    <row r="41" spans="1:1">
      <c r="A41" t="s">
        <v>161</v>
      </c>
    </row>
  </sheetData>
  <mergeCells count="2">
    <mergeCell ref="B5:C5"/>
    <mergeCell ref="J5:K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1FF13-3A38-4E3B-9DF5-2C21B8FE8DA1}">
  <dimension ref="A1:K34"/>
  <sheetViews>
    <sheetView workbookViewId="0">
      <selection activeCell="E27" sqref="E27"/>
    </sheetView>
  </sheetViews>
  <sheetFormatPr defaultRowHeight="15"/>
  <sheetData>
    <row r="1" spans="1:11">
      <c r="A1" t="s">
        <v>45</v>
      </c>
      <c r="C1" s="38" t="s">
        <v>162</v>
      </c>
      <c r="D1" s="38" t="s">
        <v>163</v>
      </c>
    </row>
    <row r="2" spans="1:11">
      <c r="B2" t="s">
        <v>164</v>
      </c>
      <c r="C2" s="47">
        <v>0.4</v>
      </c>
      <c r="D2" s="47">
        <v>0.5</v>
      </c>
    </row>
    <row r="4" spans="1:11">
      <c r="C4" s="181" t="s">
        <v>165</v>
      </c>
      <c r="D4" s="181"/>
      <c r="E4" t="s">
        <v>166</v>
      </c>
      <c r="G4" s="38" t="s">
        <v>167</v>
      </c>
    </row>
    <row r="5" spans="1:11">
      <c r="B5" t="s">
        <v>168</v>
      </c>
      <c r="C5" s="41">
        <v>6.81</v>
      </c>
      <c r="D5" s="41">
        <v>9.0719999999999992</v>
      </c>
      <c r="E5" s="48">
        <f>SUMPRODUCT(C5:D5, Quantity)</f>
        <v>180</v>
      </c>
      <c r="F5" t="s">
        <v>123</v>
      </c>
      <c r="G5" s="41">
        <v>180</v>
      </c>
      <c r="K5" s="38"/>
    </row>
    <row r="6" spans="1:11">
      <c r="B6" t="s">
        <v>169</v>
      </c>
      <c r="C6" s="41">
        <v>1.361</v>
      </c>
      <c r="D6" s="41">
        <v>5.4429999999999996</v>
      </c>
      <c r="E6" s="48">
        <f>SUMPRODUCT(C6:D6, Quantity)</f>
        <v>73.864300626304782</v>
      </c>
      <c r="F6" t="s">
        <v>123</v>
      </c>
      <c r="G6" s="41">
        <v>65</v>
      </c>
      <c r="K6" s="38"/>
    </row>
    <row r="7" spans="1:11">
      <c r="B7" t="s">
        <v>170</v>
      </c>
      <c r="C7" s="41">
        <v>54.432000000000002</v>
      </c>
      <c r="D7" s="41">
        <v>45.36</v>
      </c>
      <c r="E7" s="48">
        <f>SUMPRODUCT(C7:D7, Quantity)</f>
        <v>1155.3068893528184</v>
      </c>
      <c r="F7" t="s">
        <v>123</v>
      </c>
      <c r="G7" s="41">
        <v>1050</v>
      </c>
      <c r="K7" s="38"/>
    </row>
    <row r="9" spans="1:11">
      <c r="C9" s="38" t="s">
        <v>171</v>
      </c>
      <c r="D9" s="38" t="s">
        <v>172</v>
      </c>
      <c r="E9" t="s">
        <v>173</v>
      </c>
      <c r="G9" t="s">
        <v>130</v>
      </c>
    </row>
    <row r="10" spans="1:11">
      <c r="B10" t="s">
        <v>3</v>
      </c>
      <c r="C10" s="49">
        <v>12.526096033402924</v>
      </c>
      <c r="D10" s="49">
        <v>10.438413361169101</v>
      </c>
      <c r="E10" s="38">
        <f>SUM(Quantity)</f>
        <v>22.964509394572026</v>
      </c>
      <c r="G10" s="50">
        <f>SUMPRODUCT(unitCost3,Quantity)</f>
        <v>10.22964509394572</v>
      </c>
    </row>
    <row r="11" spans="1:11">
      <c r="E11" s="38" t="s">
        <v>123</v>
      </c>
    </row>
    <row r="12" spans="1:11">
      <c r="D12" t="s">
        <v>174</v>
      </c>
      <c r="E12" s="38">
        <v>22</v>
      </c>
    </row>
    <row r="14" spans="1:11">
      <c r="C14" t="s">
        <v>175</v>
      </c>
    </row>
    <row r="15" spans="1:11">
      <c r="A15" s="41">
        <v>5</v>
      </c>
      <c r="B15" t="s">
        <v>176</v>
      </c>
      <c r="C15" s="38">
        <f>A15*C10</f>
        <v>62.630480167014618</v>
      </c>
      <c r="D15" s="38" t="s">
        <v>123</v>
      </c>
      <c r="E15" s="38">
        <f>F15*D10</f>
        <v>62.630480167014603</v>
      </c>
      <c r="F15" s="41">
        <v>6</v>
      </c>
      <c r="G15" t="s">
        <v>177</v>
      </c>
    </row>
    <row r="20" spans="1:1">
      <c r="A20" t="s">
        <v>46</v>
      </c>
    </row>
    <row r="21" spans="1:1">
      <c r="A21" t="s">
        <v>47</v>
      </c>
    </row>
    <row r="22" spans="1:1">
      <c r="A22" t="s">
        <v>48</v>
      </c>
    </row>
    <row r="23" spans="1:1">
      <c r="A23" t="s">
        <v>49</v>
      </c>
    </row>
    <row r="24" spans="1:1">
      <c r="A24" t="s">
        <v>50</v>
      </c>
    </row>
    <row r="25" spans="1:1">
      <c r="A25" t="s">
        <v>51</v>
      </c>
    </row>
    <row r="26" spans="1:1">
      <c r="A26" t="s">
        <v>52</v>
      </c>
    </row>
    <row r="30" spans="1:1">
      <c r="A30" t="s">
        <v>178</v>
      </c>
    </row>
    <row r="31" spans="1:1">
      <c r="A31" t="s">
        <v>179</v>
      </c>
    </row>
    <row r="33" spans="1:1">
      <c r="A33" t="s">
        <v>180</v>
      </c>
    </row>
    <row r="34" spans="1:1">
      <c r="A34" t="s">
        <v>181</v>
      </c>
    </row>
  </sheetData>
  <mergeCells count="1">
    <mergeCell ref="C4:D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4B2BC-3549-4823-B88F-ED45632C9424}">
  <dimension ref="A1:P85"/>
  <sheetViews>
    <sheetView workbookViewId="0">
      <selection activeCell="E27" sqref="E27"/>
    </sheetView>
  </sheetViews>
  <sheetFormatPr defaultRowHeight="15"/>
  <sheetData>
    <row r="1" spans="1:16">
      <c r="A1" t="s">
        <v>182</v>
      </c>
    </row>
    <row r="2" spans="1:16">
      <c r="B2" s="38" t="s">
        <v>183</v>
      </c>
      <c r="E2" s="38" t="s">
        <v>184</v>
      </c>
      <c r="F2" s="38" t="s">
        <v>185</v>
      </c>
    </row>
    <row r="3" spans="1:16">
      <c r="B3" s="38" t="s">
        <v>186</v>
      </c>
      <c r="C3" s="38" t="s">
        <v>187</v>
      </c>
      <c r="D3" s="38" t="s">
        <v>187</v>
      </c>
      <c r="E3" s="38" t="s">
        <v>188</v>
      </c>
      <c r="F3" s="38" t="s">
        <v>188</v>
      </c>
    </row>
    <row r="4" spans="1:16">
      <c r="A4" s="51" t="s">
        <v>189</v>
      </c>
      <c r="B4" s="51" t="s">
        <v>190</v>
      </c>
      <c r="C4" s="51" t="s">
        <v>184</v>
      </c>
      <c r="D4" s="51" t="s">
        <v>185</v>
      </c>
      <c r="E4" s="51" t="s">
        <v>191</v>
      </c>
      <c r="F4" s="51" t="s">
        <v>191</v>
      </c>
      <c r="G4" s="38" t="s">
        <v>192</v>
      </c>
    </row>
    <row r="5" spans="1:16">
      <c r="A5" s="52" t="s">
        <v>193</v>
      </c>
      <c r="B5" s="41">
        <v>40</v>
      </c>
      <c r="C5" s="38">
        <f>B5*$C$13</f>
        <v>32</v>
      </c>
      <c r="D5" s="53">
        <f>B5-C5</f>
        <v>8</v>
      </c>
      <c r="E5">
        <f>ROUNDUP(C5/$C$15,0)</f>
        <v>6</v>
      </c>
      <c r="F5" s="53">
        <f>ROUNDUP(D5/$C$15,0)</f>
        <v>2</v>
      </c>
      <c r="G5">
        <f>SUM(E5:F5)</f>
        <v>8</v>
      </c>
    </row>
    <row r="6" spans="1:16">
      <c r="A6" s="38" t="s">
        <v>194</v>
      </c>
      <c r="B6" s="41">
        <v>85</v>
      </c>
      <c r="C6" s="38">
        <f t="shared" ref="C6:C11" si="0">B6*$C$13</f>
        <v>68</v>
      </c>
      <c r="D6" s="54">
        <f t="shared" ref="D6:D11" si="1">B6-C6</f>
        <v>17</v>
      </c>
      <c r="E6">
        <f t="shared" ref="E6:F11" si="2">ROUNDUP(C6/$C$15,0)</f>
        <v>12</v>
      </c>
      <c r="F6" s="54">
        <f t="shared" si="2"/>
        <v>3</v>
      </c>
      <c r="G6">
        <f t="shared" ref="G6:G11" si="3">SUM(E6:F6)</f>
        <v>15</v>
      </c>
      <c r="O6" t="s">
        <v>195</v>
      </c>
      <c r="P6" t="s">
        <v>196</v>
      </c>
    </row>
    <row r="7" spans="1:16">
      <c r="A7" s="38" t="s">
        <v>197</v>
      </c>
      <c r="B7" s="41">
        <v>70</v>
      </c>
      <c r="C7" s="38">
        <f t="shared" si="0"/>
        <v>56</v>
      </c>
      <c r="D7" s="54">
        <f t="shared" si="1"/>
        <v>14</v>
      </c>
      <c r="E7">
        <f t="shared" si="2"/>
        <v>10</v>
      </c>
      <c r="F7" s="54">
        <f t="shared" si="2"/>
        <v>3</v>
      </c>
      <c r="G7">
        <f t="shared" si="3"/>
        <v>13</v>
      </c>
      <c r="O7" s="55" t="s">
        <v>193</v>
      </c>
      <c r="P7">
        <v>40</v>
      </c>
    </row>
    <row r="8" spans="1:16">
      <c r="A8" s="38" t="s">
        <v>198</v>
      </c>
      <c r="B8" s="41">
        <v>95</v>
      </c>
      <c r="C8" s="38">
        <f t="shared" si="0"/>
        <v>76</v>
      </c>
      <c r="D8" s="54">
        <f t="shared" si="1"/>
        <v>19</v>
      </c>
      <c r="E8">
        <f t="shared" si="2"/>
        <v>13</v>
      </c>
      <c r="F8" s="54">
        <f t="shared" si="2"/>
        <v>4</v>
      </c>
      <c r="G8">
        <f t="shared" si="3"/>
        <v>17</v>
      </c>
      <c r="O8" t="s">
        <v>194</v>
      </c>
      <c r="P8">
        <v>85</v>
      </c>
    </row>
    <row r="9" spans="1:16">
      <c r="A9" s="38" t="s">
        <v>199</v>
      </c>
      <c r="B9" s="41">
        <v>80</v>
      </c>
      <c r="C9" s="38">
        <f t="shared" si="0"/>
        <v>64</v>
      </c>
      <c r="D9" s="54">
        <f t="shared" si="1"/>
        <v>16</v>
      </c>
      <c r="E9">
        <f t="shared" si="2"/>
        <v>11</v>
      </c>
      <c r="F9" s="54">
        <f t="shared" si="2"/>
        <v>3</v>
      </c>
      <c r="G9">
        <f t="shared" si="3"/>
        <v>14</v>
      </c>
      <c r="O9" t="s">
        <v>197</v>
      </c>
      <c r="P9">
        <v>70</v>
      </c>
    </row>
    <row r="10" spans="1:16">
      <c r="A10" s="38" t="s">
        <v>200</v>
      </c>
      <c r="B10" s="41">
        <v>35</v>
      </c>
      <c r="C10" s="38">
        <f t="shared" si="0"/>
        <v>28</v>
      </c>
      <c r="D10" s="54">
        <f t="shared" si="1"/>
        <v>7</v>
      </c>
      <c r="E10">
        <f t="shared" si="2"/>
        <v>5</v>
      </c>
      <c r="F10" s="54">
        <f t="shared" si="2"/>
        <v>2</v>
      </c>
      <c r="G10">
        <f t="shared" si="3"/>
        <v>7</v>
      </c>
      <c r="O10" t="s">
        <v>198</v>
      </c>
      <c r="P10">
        <v>95</v>
      </c>
    </row>
    <row r="11" spans="1:16">
      <c r="A11" s="51" t="s">
        <v>201</v>
      </c>
      <c r="B11" s="56">
        <v>10</v>
      </c>
      <c r="C11" s="38">
        <f t="shared" si="0"/>
        <v>8</v>
      </c>
      <c r="D11" s="57">
        <f t="shared" si="1"/>
        <v>2</v>
      </c>
      <c r="E11" s="58">
        <f t="shared" si="2"/>
        <v>2</v>
      </c>
      <c r="F11" s="57">
        <f t="shared" si="2"/>
        <v>1</v>
      </c>
      <c r="G11">
        <f t="shared" si="3"/>
        <v>3</v>
      </c>
      <c r="O11" t="s">
        <v>199</v>
      </c>
      <c r="P11">
        <v>80</v>
      </c>
    </row>
    <row r="12" spans="1:16">
      <c r="O12" t="s">
        <v>200</v>
      </c>
      <c r="P12">
        <v>35</v>
      </c>
    </row>
    <row r="13" spans="1:16">
      <c r="B13" t="s">
        <v>202</v>
      </c>
      <c r="C13" s="59">
        <v>0.8</v>
      </c>
      <c r="O13" t="s">
        <v>201</v>
      </c>
      <c r="P13">
        <v>10</v>
      </c>
    </row>
    <row r="15" spans="1:16">
      <c r="B15" s="39" t="s">
        <v>203</v>
      </c>
      <c r="C15" s="41">
        <v>6</v>
      </c>
      <c r="O15" t="s">
        <v>204</v>
      </c>
    </row>
    <row r="16" spans="1:16">
      <c r="O16" t="s">
        <v>205</v>
      </c>
    </row>
    <row r="17" spans="1:15">
      <c r="O17" t="s">
        <v>206</v>
      </c>
    </row>
    <row r="18" spans="1:15">
      <c r="O18" t="s">
        <v>207</v>
      </c>
    </row>
    <row r="19" spans="1:15">
      <c r="O19" t="s">
        <v>208</v>
      </c>
    </row>
    <row r="20" spans="1:15">
      <c r="A20" t="s">
        <v>64</v>
      </c>
    </row>
    <row r="21" spans="1:15">
      <c r="A21" t="s">
        <v>209</v>
      </c>
    </row>
    <row r="22" spans="1:15">
      <c r="A22" t="s">
        <v>210</v>
      </c>
    </row>
    <row r="23" spans="1:15">
      <c r="A23" t="s">
        <v>65</v>
      </c>
    </row>
    <row r="24" spans="1:15">
      <c r="A24" t="s">
        <v>66</v>
      </c>
    </row>
    <row r="25" spans="1:15">
      <c r="A25" t="s">
        <v>67</v>
      </c>
    </row>
    <row r="26" spans="1:15">
      <c r="A26" t="s">
        <v>69</v>
      </c>
    </row>
    <row r="27" spans="1:15">
      <c r="A27" t="s">
        <v>68</v>
      </c>
    </row>
    <row r="30" spans="1:15">
      <c r="A30" t="s">
        <v>211</v>
      </c>
      <c r="B30" s="38" t="s">
        <v>212</v>
      </c>
      <c r="C30" s="38" t="s">
        <v>212</v>
      </c>
      <c r="D30" s="38" t="s">
        <v>212</v>
      </c>
      <c r="E30" s="38" t="s">
        <v>212</v>
      </c>
      <c r="F30" s="60" t="s">
        <v>212</v>
      </c>
      <c r="G30" s="38" t="s">
        <v>213</v>
      </c>
      <c r="H30" s="38" t="s">
        <v>213</v>
      </c>
    </row>
    <row r="31" spans="1:15">
      <c r="B31" s="38" t="s">
        <v>214</v>
      </c>
      <c r="C31" s="38" t="s">
        <v>214</v>
      </c>
      <c r="D31" s="38" t="s">
        <v>214</v>
      </c>
      <c r="E31" s="38" t="s">
        <v>214</v>
      </c>
      <c r="F31" s="60" t="s">
        <v>214</v>
      </c>
      <c r="G31" s="38" t="s">
        <v>215</v>
      </c>
      <c r="H31" s="38" t="s">
        <v>215</v>
      </c>
    </row>
    <row r="32" spans="1:15">
      <c r="A32" t="s">
        <v>216</v>
      </c>
      <c r="B32" s="38" t="s">
        <v>217</v>
      </c>
      <c r="C32" s="38" t="s">
        <v>218</v>
      </c>
      <c r="D32" s="38" t="s">
        <v>197</v>
      </c>
      <c r="E32" s="38" t="s">
        <v>198</v>
      </c>
      <c r="F32" s="60" t="s">
        <v>199</v>
      </c>
      <c r="G32" s="38" t="s">
        <v>219</v>
      </c>
      <c r="H32" s="38" t="s">
        <v>220</v>
      </c>
    </row>
    <row r="33" spans="1:11">
      <c r="A33" s="39" t="s">
        <v>221</v>
      </c>
      <c r="B33" s="38">
        <v>2</v>
      </c>
      <c r="C33" s="38">
        <v>2</v>
      </c>
      <c r="D33" s="38">
        <v>2</v>
      </c>
      <c r="E33" s="38">
        <v>2</v>
      </c>
      <c r="F33" s="60">
        <v>2</v>
      </c>
      <c r="G33" s="38">
        <v>4</v>
      </c>
      <c r="H33" s="38">
        <v>4</v>
      </c>
    </row>
    <row r="34" spans="1:11">
      <c r="A34" s="39" t="s">
        <v>222</v>
      </c>
      <c r="B34" s="61">
        <f>15*(1+$B$27)</f>
        <v>15</v>
      </c>
      <c r="C34" s="61">
        <f t="shared" ref="C34:H34" si="4">15*(1+$B$27)</f>
        <v>15</v>
      </c>
      <c r="D34" s="61">
        <f t="shared" si="4"/>
        <v>15</v>
      </c>
      <c r="E34" s="61">
        <f t="shared" si="4"/>
        <v>15</v>
      </c>
      <c r="F34" s="61">
        <f t="shared" si="4"/>
        <v>15</v>
      </c>
      <c r="G34" s="61">
        <f t="shared" si="4"/>
        <v>15</v>
      </c>
      <c r="H34" s="61">
        <f t="shared" si="4"/>
        <v>15</v>
      </c>
    </row>
    <row r="35" spans="1:11">
      <c r="A35" s="62" t="s">
        <v>223</v>
      </c>
      <c r="B35" s="63" t="s">
        <v>197</v>
      </c>
      <c r="C35" s="63" t="s">
        <v>198</v>
      </c>
      <c r="D35" s="63" t="s">
        <v>199</v>
      </c>
      <c r="E35" s="63" t="s">
        <v>200</v>
      </c>
      <c r="F35" s="64" t="s">
        <v>201</v>
      </c>
      <c r="G35" s="62"/>
      <c r="H35" s="62"/>
    </row>
    <row r="36" spans="1:11">
      <c r="A36" s="39" t="s">
        <v>221</v>
      </c>
      <c r="B36" s="38">
        <v>2</v>
      </c>
      <c r="C36" s="38">
        <v>2</v>
      </c>
      <c r="D36" s="38">
        <v>2</v>
      </c>
      <c r="E36" s="38">
        <v>2</v>
      </c>
      <c r="F36" s="60">
        <v>2</v>
      </c>
    </row>
    <row r="37" spans="1:11">
      <c r="A37" s="39" t="s">
        <v>222</v>
      </c>
      <c r="B37" s="61">
        <f>15*(1+$B$27)</f>
        <v>15</v>
      </c>
      <c r="C37" s="61">
        <f t="shared" ref="C37:F37" si="5">15*(1+$B$27)</f>
        <v>15</v>
      </c>
      <c r="D37" s="61">
        <f t="shared" si="5"/>
        <v>15</v>
      </c>
      <c r="E37" s="61">
        <f t="shared" si="5"/>
        <v>15</v>
      </c>
      <c r="F37" s="61">
        <f t="shared" si="5"/>
        <v>15</v>
      </c>
    </row>
    <row r="39" spans="1:11">
      <c r="A39" s="39" t="s">
        <v>224</v>
      </c>
      <c r="B39" s="65">
        <f>B33*B34+B36*B37</f>
        <v>60</v>
      </c>
      <c r="C39" s="65">
        <f t="shared" ref="C39:H39" si="6">C33*C34+C36*C37</f>
        <v>60</v>
      </c>
      <c r="D39" s="65">
        <f t="shared" si="6"/>
        <v>60</v>
      </c>
      <c r="E39" s="65">
        <f t="shared" si="6"/>
        <v>60</v>
      </c>
      <c r="F39" s="65">
        <f t="shared" si="6"/>
        <v>60</v>
      </c>
      <c r="G39" s="65">
        <f t="shared" si="6"/>
        <v>60</v>
      </c>
      <c r="H39" s="65">
        <f t="shared" si="6"/>
        <v>60</v>
      </c>
    </row>
    <row r="40" spans="1:11">
      <c r="I40" s="38" t="s">
        <v>225</v>
      </c>
    </row>
    <row r="41" spans="1:11">
      <c r="A41" s="39" t="s">
        <v>189</v>
      </c>
      <c r="I41" s="38" t="s">
        <v>226</v>
      </c>
    </row>
    <row r="42" spans="1:11">
      <c r="A42" s="52" t="s">
        <v>193</v>
      </c>
      <c r="B42" s="46">
        <v>1</v>
      </c>
      <c r="C42" s="46">
        <v>0</v>
      </c>
      <c r="D42" s="46">
        <v>0</v>
      </c>
      <c r="E42" s="46">
        <v>0</v>
      </c>
      <c r="F42" s="46">
        <v>0</v>
      </c>
      <c r="G42" s="46">
        <v>0</v>
      </c>
      <c r="H42" s="46">
        <v>0</v>
      </c>
      <c r="I42" s="38">
        <f>SUMPRODUCT(B42:H42,$B$25:$H$25)</f>
        <v>0</v>
      </c>
      <c r="J42" s="38" t="s">
        <v>123</v>
      </c>
      <c r="K42" s="38">
        <v>8</v>
      </c>
    </row>
    <row r="43" spans="1:11">
      <c r="A43" s="38" t="s">
        <v>194</v>
      </c>
      <c r="B43" s="46">
        <v>0</v>
      </c>
      <c r="C43" s="46">
        <v>1</v>
      </c>
      <c r="D43" s="46">
        <v>0</v>
      </c>
      <c r="E43" s="46">
        <v>0</v>
      </c>
      <c r="F43" s="46">
        <v>0</v>
      </c>
      <c r="G43" s="46">
        <v>0</v>
      </c>
      <c r="H43" s="46">
        <v>0</v>
      </c>
      <c r="I43" s="38">
        <f t="shared" ref="I43:I48" si="7">SUMPRODUCT(B43:H43,$B$25:$H$25)</f>
        <v>0</v>
      </c>
      <c r="J43" s="38" t="s">
        <v>123</v>
      </c>
      <c r="K43" s="38">
        <v>15</v>
      </c>
    </row>
    <row r="44" spans="1:11">
      <c r="A44" s="38" t="s">
        <v>197</v>
      </c>
      <c r="B44" s="46">
        <v>1</v>
      </c>
      <c r="C44" s="46">
        <v>0</v>
      </c>
      <c r="D44" s="46">
        <v>1</v>
      </c>
      <c r="E44" s="46">
        <v>0</v>
      </c>
      <c r="F44" s="46">
        <v>0</v>
      </c>
      <c r="G44" s="46">
        <v>0</v>
      </c>
      <c r="H44" s="46">
        <v>0</v>
      </c>
      <c r="I44" s="38">
        <f t="shared" si="7"/>
        <v>0</v>
      </c>
      <c r="J44" s="38" t="s">
        <v>123</v>
      </c>
      <c r="K44" s="38">
        <v>13</v>
      </c>
    </row>
    <row r="45" spans="1:11">
      <c r="A45" s="38" t="s">
        <v>198</v>
      </c>
      <c r="B45" s="46">
        <v>0</v>
      </c>
      <c r="C45" s="46">
        <v>1</v>
      </c>
      <c r="D45" s="46">
        <v>0</v>
      </c>
      <c r="E45" s="46">
        <v>1</v>
      </c>
      <c r="F45" s="46">
        <v>0</v>
      </c>
      <c r="G45" s="46">
        <v>0</v>
      </c>
      <c r="H45" s="46">
        <v>0</v>
      </c>
      <c r="I45" s="38">
        <f t="shared" si="7"/>
        <v>0</v>
      </c>
      <c r="J45" s="38" t="s">
        <v>123</v>
      </c>
      <c r="K45" s="38">
        <v>17</v>
      </c>
    </row>
    <row r="46" spans="1:11">
      <c r="A46" s="38" t="s">
        <v>199</v>
      </c>
      <c r="B46" s="46">
        <v>0</v>
      </c>
      <c r="C46" s="46">
        <v>0</v>
      </c>
      <c r="D46" s="46">
        <v>1</v>
      </c>
      <c r="E46" s="46">
        <v>0</v>
      </c>
      <c r="F46" s="46">
        <v>1</v>
      </c>
      <c r="G46" s="46">
        <v>1</v>
      </c>
      <c r="H46" s="46">
        <v>0</v>
      </c>
      <c r="I46" s="38">
        <f t="shared" si="7"/>
        <v>0</v>
      </c>
      <c r="J46" s="38" t="s">
        <v>123</v>
      </c>
      <c r="K46" s="38">
        <v>14</v>
      </c>
    </row>
    <row r="47" spans="1:11">
      <c r="A47" s="38" t="s">
        <v>200</v>
      </c>
      <c r="B47" s="46">
        <v>0</v>
      </c>
      <c r="C47" s="46">
        <v>0</v>
      </c>
      <c r="D47" s="46">
        <v>0</v>
      </c>
      <c r="E47" s="46">
        <v>1</v>
      </c>
      <c r="F47" s="46">
        <v>0</v>
      </c>
      <c r="G47" s="46">
        <v>1</v>
      </c>
      <c r="H47" s="46">
        <v>1</v>
      </c>
      <c r="I47" s="38">
        <f t="shared" si="7"/>
        <v>0</v>
      </c>
      <c r="J47" s="38" t="s">
        <v>123</v>
      </c>
      <c r="K47" s="38">
        <v>7</v>
      </c>
    </row>
    <row r="48" spans="1:11">
      <c r="A48" s="51" t="s">
        <v>201</v>
      </c>
      <c r="B48" s="46">
        <v>0</v>
      </c>
      <c r="C48" s="46">
        <v>0</v>
      </c>
      <c r="D48" s="46">
        <v>0</v>
      </c>
      <c r="E48" s="46">
        <v>0</v>
      </c>
      <c r="F48" s="46">
        <v>1</v>
      </c>
      <c r="G48" s="46">
        <v>0</v>
      </c>
      <c r="H48" s="46">
        <v>1</v>
      </c>
      <c r="I48" s="38">
        <f t="shared" si="7"/>
        <v>0</v>
      </c>
      <c r="J48" s="38" t="s">
        <v>123</v>
      </c>
      <c r="K48" s="38">
        <v>3</v>
      </c>
    </row>
    <row r="50" spans="1:13">
      <c r="B50" s="38" t="s">
        <v>212</v>
      </c>
      <c r="C50" s="38" t="s">
        <v>212</v>
      </c>
      <c r="D50" s="38" t="s">
        <v>212</v>
      </c>
      <c r="E50" s="38" t="s">
        <v>212</v>
      </c>
      <c r="F50" s="60" t="s">
        <v>212</v>
      </c>
      <c r="G50" s="38" t="s">
        <v>213</v>
      </c>
      <c r="H50" s="38" t="s">
        <v>213</v>
      </c>
    </row>
    <row r="51" spans="1:13">
      <c r="B51" s="38" t="s">
        <v>214</v>
      </c>
      <c r="C51" s="38" t="s">
        <v>214</v>
      </c>
      <c r="D51" s="38" t="s">
        <v>214</v>
      </c>
      <c r="E51" s="38" t="s">
        <v>214</v>
      </c>
      <c r="F51" s="60" t="s">
        <v>214</v>
      </c>
      <c r="G51" s="38" t="s">
        <v>215</v>
      </c>
      <c r="H51" s="38" t="s">
        <v>215</v>
      </c>
    </row>
    <row r="52" spans="1:13">
      <c r="B52" s="38" t="s">
        <v>217</v>
      </c>
      <c r="C52" s="38" t="s">
        <v>218</v>
      </c>
      <c r="D52" s="38" t="s">
        <v>197</v>
      </c>
      <c r="E52" s="38" t="s">
        <v>198</v>
      </c>
      <c r="F52" s="60" t="s">
        <v>199</v>
      </c>
      <c r="G52" s="38" t="s">
        <v>219</v>
      </c>
      <c r="H52" s="38" t="s">
        <v>220</v>
      </c>
    </row>
    <row r="53" spans="1:13">
      <c r="B53" s="63" t="s">
        <v>197</v>
      </c>
      <c r="C53" s="63" t="s">
        <v>198</v>
      </c>
      <c r="D53" s="63" t="s">
        <v>199</v>
      </c>
      <c r="E53" s="63" t="s">
        <v>200</v>
      </c>
      <c r="F53" s="64" t="s">
        <v>201</v>
      </c>
      <c r="K53" t="s">
        <v>130</v>
      </c>
    </row>
    <row r="54" spans="1:13">
      <c r="A54" t="s">
        <v>227</v>
      </c>
      <c r="B54" s="66">
        <v>7</v>
      </c>
      <c r="C54" s="66">
        <v>15</v>
      </c>
      <c r="D54" s="66">
        <v>7</v>
      </c>
      <c r="E54" s="66">
        <v>1</v>
      </c>
      <c r="F54" s="66">
        <v>2</v>
      </c>
      <c r="G54" s="66">
        <v>5</v>
      </c>
      <c r="H54" s="66">
        <v>0</v>
      </c>
      <c r="K54" s="67">
        <f>SUMPRODUCT(B39:H39,B54:H54)</f>
        <v>2220</v>
      </c>
      <c r="L54" t="s">
        <v>144</v>
      </c>
      <c r="M54">
        <v>2460</v>
      </c>
    </row>
    <row r="55" spans="1:13">
      <c r="B55" s="38"/>
      <c r="F55" s="38"/>
    </row>
    <row r="56" spans="1:13">
      <c r="A56" t="s">
        <v>228</v>
      </c>
      <c r="B56" s="68">
        <v>0.10810810810810811</v>
      </c>
      <c r="F56" s="38"/>
    </row>
    <row r="60" spans="1:13">
      <c r="A60" t="s">
        <v>211</v>
      </c>
      <c r="B60" s="38" t="s">
        <v>212</v>
      </c>
      <c r="C60" s="38" t="s">
        <v>212</v>
      </c>
      <c r="D60" s="38" t="s">
        <v>212</v>
      </c>
      <c r="E60" s="38" t="s">
        <v>212</v>
      </c>
      <c r="F60" s="60" t="s">
        <v>212</v>
      </c>
    </row>
    <row r="61" spans="1:13">
      <c r="B61" s="38" t="s">
        <v>214</v>
      </c>
      <c r="C61" s="38" t="s">
        <v>214</v>
      </c>
      <c r="D61" s="38" t="s">
        <v>214</v>
      </c>
      <c r="E61" s="38" t="s">
        <v>214</v>
      </c>
      <c r="F61" s="60" t="s">
        <v>214</v>
      </c>
    </row>
    <row r="62" spans="1:13">
      <c r="A62" t="s">
        <v>216</v>
      </c>
      <c r="B62" s="38" t="s">
        <v>217</v>
      </c>
      <c r="C62" s="38" t="s">
        <v>218</v>
      </c>
      <c r="D62" s="38" t="s">
        <v>197</v>
      </c>
      <c r="E62" s="38" t="s">
        <v>198</v>
      </c>
      <c r="F62" s="60" t="s">
        <v>199</v>
      </c>
    </row>
    <row r="63" spans="1:13">
      <c r="A63" s="39" t="s">
        <v>221</v>
      </c>
      <c r="B63" s="38">
        <v>2</v>
      </c>
      <c r="C63" s="38">
        <v>2</v>
      </c>
      <c r="D63" s="38">
        <v>2</v>
      </c>
      <c r="E63" s="38">
        <v>2</v>
      </c>
      <c r="F63" s="60">
        <v>2</v>
      </c>
    </row>
    <row r="64" spans="1:13">
      <c r="A64" s="39" t="s">
        <v>222</v>
      </c>
      <c r="B64" s="61">
        <v>15</v>
      </c>
      <c r="C64" s="61">
        <v>15</v>
      </c>
      <c r="D64" s="61">
        <v>15</v>
      </c>
      <c r="E64" s="61">
        <v>15</v>
      </c>
      <c r="F64" s="69">
        <v>15</v>
      </c>
    </row>
    <row r="65" spans="1:9">
      <c r="A65" s="62" t="s">
        <v>223</v>
      </c>
      <c r="B65" s="63" t="s">
        <v>197</v>
      </c>
      <c r="C65" s="63" t="s">
        <v>198</v>
      </c>
      <c r="D65" s="63" t="s">
        <v>199</v>
      </c>
      <c r="E65" s="63" t="s">
        <v>200</v>
      </c>
      <c r="F65" s="64" t="s">
        <v>201</v>
      </c>
    </row>
    <row r="66" spans="1:9">
      <c r="A66" s="39" t="s">
        <v>221</v>
      </c>
      <c r="B66" s="38">
        <v>2</v>
      </c>
      <c r="C66" s="38">
        <v>2</v>
      </c>
      <c r="D66" s="38">
        <v>2</v>
      </c>
      <c r="E66" s="38">
        <v>2</v>
      </c>
      <c r="F66" s="60">
        <v>2</v>
      </c>
    </row>
    <row r="67" spans="1:9">
      <c r="A67" s="39" t="s">
        <v>222</v>
      </c>
      <c r="B67" s="61">
        <v>15</v>
      </c>
      <c r="C67" s="61">
        <v>15</v>
      </c>
      <c r="D67" s="61">
        <v>15</v>
      </c>
      <c r="E67" s="61">
        <v>18</v>
      </c>
      <c r="F67" s="69">
        <v>18</v>
      </c>
    </row>
    <row r="69" spans="1:9">
      <c r="A69" s="39" t="s">
        <v>224</v>
      </c>
      <c r="B69" s="65">
        <f>B63*B64+B66*B67</f>
        <v>60</v>
      </c>
      <c r="C69" s="65">
        <f t="shared" ref="C69:F69" si="8">C63*C64+C66*C67</f>
        <v>60</v>
      </c>
      <c r="D69" s="65">
        <f t="shared" si="8"/>
        <v>60</v>
      </c>
      <c r="E69" s="65">
        <f t="shared" si="8"/>
        <v>66</v>
      </c>
      <c r="F69" s="65">
        <f t="shared" si="8"/>
        <v>66</v>
      </c>
    </row>
    <row r="70" spans="1:9">
      <c r="G70" s="38" t="s">
        <v>225</v>
      </c>
    </row>
    <row r="71" spans="1:9">
      <c r="A71" s="39" t="s">
        <v>189</v>
      </c>
      <c r="G71" s="38" t="s">
        <v>226</v>
      </c>
    </row>
    <row r="72" spans="1:9">
      <c r="A72" s="52" t="s">
        <v>193</v>
      </c>
      <c r="B72" s="46">
        <v>1</v>
      </c>
      <c r="C72" s="46">
        <v>0</v>
      </c>
      <c r="D72" s="46">
        <v>0</v>
      </c>
      <c r="E72" s="46">
        <v>0</v>
      </c>
      <c r="F72" s="46">
        <v>0</v>
      </c>
      <c r="G72" s="38">
        <f t="shared" ref="G72:G78" si="9">SUMPRODUCT(B72:F72,$B$25:$F$25)</f>
        <v>0</v>
      </c>
      <c r="H72" s="38" t="s">
        <v>123</v>
      </c>
      <c r="I72" s="41">
        <v>2</v>
      </c>
    </row>
    <row r="73" spans="1:9">
      <c r="A73" s="38" t="s">
        <v>194</v>
      </c>
      <c r="B73" s="46">
        <v>0</v>
      </c>
      <c r="C73" s="46">
        <v>1</v>
      </c>
      <c r="D73" s="46">
        <v>0</v>
      </c>
      <c r="E73" s="46">
        <v>0</v>
      </c>
      <c r="F73" s="46">
        <v>0</v>
      </c>
      <c r="G73" s="38">
        <f t="shared" si="9"/>
        <v>0</v>
      </c>
      <c r="H73" s="38" t="s">
        <v>123</v>
      </c>
      <c r="I73" s="41">
        <v>3</v>
      </c>
    </row>
    <row r="74" spans="1:9">
      <c r="A74" s="38" t="s">
        <v>197</v>
      </c>
      <c r="B74" s="46">
        <v>1</v>
      </c>
      <c r="C74" s="46">
        <v>0</v>
      </c>
      <c r="D74" s="46">
        <v>1</v>
      </c>
      <c r="E74" s="46">
        <v>0</v>
      </c>
      <c r="F74" s="46">
        <v>0</v>
      </c>
      <c r="G74" s="38">
        <f t="shared" si="9"/>
        <v>0</v>
      </c>
      <c r="H74" s="38" t="s">
        <v>123</v>
      </c>
      <c r="I74" s="41">
        <v>3</v>
      </c>
    </row>
    <row r="75" spans="1:9">
      <c r="A75" s="38" t="s">
        <v>198</v>
      </c>
      <c r="B75" s="46">
        <v>0</v>
      </c>
      <c r="C75" s="46">
        <v>1</v>
      </c>
      <c r="D75" s="46">
        <v>0</v>
      </c>
      <c r="E75" s="46">
        <v>1</v>
      </c>
      <c r="F75" s="46">
        <v>0</v>
      </c>
      <c r="G75" s="38">
        <f t="shared" si="9"/>
        <v>0</v>
      </c>
      <c r="H75" s="38" t="s">
        <v>123</v>
      </c>
      <c r="I75" s="41">
        <v>4</v>
      </c>
    </row>
    <row r="76" spans="1:9">
      <c r="A76" s="38" t="s">
        <v>199</v>
      </c>
      <c r="B76" s="46">
        <v>0</v>
      </c>
      <c r="C76" s="46">
        <v>0</v>
      </c>
      <c r="D76" s="46">
        <v>1</v>
      </c>
      <c r="E76" s="46">
        <v>0</v>
      </c>
      <c r="F76" s="46">
        <v>1</v>
      </c>
      <c r="G76" s="38">
        <f t="shared" si="9"/>
        <v>0</v>
      </c>
      <c r="H76" s="38" t="s">
        <v>123</v>
      </c>
      <c r="I76" s="41">
        <v>3</v>
      </c>
    </row>
    <row r="77" spans="1:9">
      <c r="A77" s="38" t="s">
        <v>200</v>
      </c>
      <c r="B77" s="46">
        <v>0</v>
      </c>
      <c r="C77" s="46">
        <v>0</v>
      </c>
      <c r="D77" s="46">
        <v>0</v>
      </c>
      <c r="E77" s="46">
        <v>1</v>
      </c>
      <c r="F77" s="46">
        <v>0</v>
      </c>
      <c r="G77" s="38">
        <f t="shared" si="9"/>
        <v>0</v>
      </c>
      <c r="H77" s="38" t="s">
        <v>123</v>
      </c>
      <c r="I77" s="41">
        <v>2</v>
      </c>
    </row>
    <row r="78" spans="1:9">
      <c r="A78" s="51" t="s">
        <v>201</v>
      </c>
      <c r="B78" s="70">
        <v>0</v>
      </c>
      <c r="C78" s="70">
        <v>0</v>
      </c>
      <c r="D78" s="70">
        <v>0</v>
      </c>
      <c r="E78" s="70">
        <v>0</v>
      </c>
      <c r="F78" s="70">
        <v>1</v>
      </c>
      <c r="G78" s="38">
        <f t="shared" si="9"/>
        <v>0</v>
      </c>
      <c r="H78" s="38" t="s">
        <v>123</v>
      </c>
      <c r="I78" s="41">
        <v>1</v>
      </c>
    </row>
    <row r="80" spans="1:9">
      <c r="B80" s="38" t="s">
        <v>212</v>
      </c>
      <c r="C80" s="38" t="s">
        <v>212</v>
      </c>
      <c r="D80" s="38" t="s">
        <v>212</v>
      </c>
      <c r="E80" s="38" t="s">
        <v>212</v>
      </c>
      <c r="F80" s="60" t="s">
        <v>212</v>
      </c>
    </row>
    <row r="81" spans="1:9">
      <c r="B81" s="38" t="s">
        <v>214</v>
      </c>
      <c r="C81" s="38" t="s">
        <v>214</v>
      </c>
      <c r="D81" s="38" t="s">
        <v>214</v>
      </c>
      <c r="E81" s="38" t="s">
        <v>214</v>
      </c>
      <c r="F81" s="60" t="s">
        <v>214</v>
      </c>
    </row>
    <row r="82" spans="1:9">
      <c r="B82" s="38" t="s">
        <v>217</v>
      </c>
      <c r="C82" s="38" t="s">
        <v>218</v>
      </c>
      <c r="D82" s="38" t="s">
        <v>197</v>
      </c>
      <c r="E82" s="38" t="s">
        <v>198</v>
      </c>
      <c r="F82" s="60" t="s">
        <v>199</v>
      </c>
    </row>
    <row r="83" spans="1:9">
      <c r="B83" s="63" t="s">
        <v>197</v>
      </c>
      <c r="C83" s="63" t="s">
        <v>198</v>
      </c>
      <c r="D83" s="63" t="s">
        <v>199</v>
      </c>
      <c r="E83" s="63" t="s">
        <v>200</v>
      </c>
      <c r="F83" s="64" t="s">
        <v>201</v>
      </c>
      <c r="I83" t="s">
        <v>130</v>
      </c>
    </row>
    <row r="84" spans="1:9">
      <c r="A84" t="s">
        <v>227</v>
      </c>
      <c r="B84" s="66">
        <v>2</v>
      </c>
      <c r="C84" s="66">
        <v>3</v>
      </c>
      <c r="D84" s="66">
        <v>2</v>
      </c>
      <c r="E84" s="66">
        <v>2</v>
      </c>
      <c r="F84" s="66">
        <v>1</v>
      </c>
      <c r="I84" s="67">
        <f>SUMPRODUCT(B69:F69,B84:F84)</f>
        <v>618</v>
      </c>
    </row>
    <row r="85" spans="1:9">
      <c r="B85" s="3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E9E3C-59A3-4A4B-99CA-B4831D31FD91}">
  <dimension ref="A1:J17"/>
  <sheetViews>
    <sheetView workbookViewId="0">
      <selection activeCell="E27" sqref="E27"/>
    </sheetView>
  </sheetViews>
  <sheetFormatPr defaultRowHeight="15"/>
  <sheetData>
    <row r="1" spans="1:10" ht="18">
      <c r="A1" s="15" t="s">
        <v>229</v>
      </c>
      <c r="B1" s="17"/>
      <c r="C1" s="17"/>
      <c r="D1" s="17"/>
      <c r="E1" s="17"/>
      <c r="F1" s="17"/>
      <c r="G1" s="17"/>
      <c r="H1" s="17"/>
      <c r="I1" s="17"/>
      <c r="J1" s="17"/>
    </row>
    <row r="2" spans="1:10" ht="15.75" thickBot="1">
      <c r="A2" s="17"/>
      <c r="B2" s="17"/>
      <c r="C2" s="17"/>
      <c r="D2" s="17"/>
      <c r="E2" s="17"/>
      <c r="F2" s="17"/>
      <c r="G2" s="17"/>
      <c r="H2" s="17"/>
      <c r="I2" s="17"/>
      <c r="J2" s="17"/>
    </row>
    <row r="3" spans="1:10" ht="15.75" thickBot="1">
      <c r="A3" s="17"/>
      <c r="B3" s="17"/>
      <c r="C3" s="17" t="s">
        <v>145</v>
      </c>
      <c r="D3" s="17" t="s">
        <v>230</v>
      </c>
      <c r="E3" s="17"/>
      <c r="F3" s="17"/>
      <c r="G3" s="17"/>
      <c r="H3" s="17"/>
      <c r="I3" s="18" t="s">
        <v>106</v>
      </c>
      <c r="J3" s="19" t="s">
        <v>107</v>
      </c>
    </row>
    <row r="4" spans="1:10">
      <c r="A4" s="17"/>
      <c r="B4" s="16" t="s">
        <v>231</v>
      </c>
      <c r="C4" s="20">
        <v>300</v>
      </c>
      <c r="D4" s="20">
        <v>500</v>
      </c>
      <c r="E4" s="17"/>
      <c r="F4" s="17"/>
      <c r="G4" s="17"/>
      <c r="H4" s="17"/>
      <c r="I4" s="21" t="s">
        <v>232</v>
      </c>
      <c r="J4" s="22" t="s">
        <v>233</v>
      </c>
    </row>
    <row r="5" spans="1:10">
      <c r="A5" s="17"/>
      <c r="B5" s="16"/>
      <c r="C5" s="17"/>
      <c r="D5" s="25"/>
      <c r="E5" s="17" t="s">
        <v>234</v>
      </c>
      <c r="F5" s="17"/>
      <c r="G5" s="17" t="s">
        <v>234</v>
      </c>
      <c r="H5" s="17"/>
      <c r="I5" s="23" t="s">
        <v>235</v>
      </c>
      <c r="J5" s="24" t="s">
        <v>236</v>
      </c>
    </row>
    <row r="6" spans="1:10">
      <c r="A6" s="17"/>
      <c r="B6" s="16"/>
      <c r="C6" s="182" t="s">
        <v>237</v>
      </c>
      <c r="D6" s="182"/>
      <c r="E6" s="17" t="s">
        <v>141</v>
      </c>
      <c r="F6" s="17"/>
      <c r="G6" s="17" t="s">
        <v>142</v>
      </c>
      <c r="H6" s="17"/>
      <c r="I6" s="23" t="s">
        <v>238</v>
      </c>
      <c r="J6" s="24" t="s">
        <v>239</v>
      </c>
    </row>
    <row r="7" spans="1:10">
      <c r="A7" s="17"/>
      <c r="B7" s="16" t="s">
        <v>240</v>
      </c>
      <c r="C7" s="71">
        <v>1</v>
      </c>
      <c r="D7" s="71">
        <v>0</v>
      </c>
      <c r="E7" s="17">
        <f>SUMPRODUCT(C7:D7,UnitsProduced)</f>
        <v>2</v>
      </c>
      <c r="F7" s="17" t="s">
        <v>144</v>
      </c>
      <c r="G7" s="71">
        <v>4</v>
      </c>
      <c r="H7" s="17"/>
      <c r="I7" s="23" t="s">
        <v>241</v>
      </c>
      <c r="J7" s="24" t="s">
        <v>242</v>
      </c>
    </row>
    <row r="8" spans="1:10">
      <c r="A8" s="17"/>
      <c r="B8" s="16" t="s">
        <v>243</v>
      </c>
      <c r="C8" s="71">
        <v>0</v>
      </c>
      <c r="D8" s="71">
        <v>2</v>
      </c>
      <c r="E8" s="17">
        <f>SUMPRODUCT(C8:D8,UnitsProduced)</f>
        <v>12</v>
      </c>
      <c r="F8" s="17" t="s">
        <v>144</v>
      </c>
      <c r="G8" s="71">
        <v>12</v>
      </c>
      <c r="H8" s="17"/>
      <c r="I8" s="23" t="s">
        <v>244</v>
      </c>
      <c r="J8" s="24" t="s">
        <v>128</v>
      </c>
    </row>
    <row r="9" spans="1:10" ht="15.75" thickBot="1">
      <c r="A9" s="17"/>
      <c r="B9" s="16" t="s">
        <v>245</v>
      </c>
      <c r="C9" s="71">
        <v>3</v>
      </c>
      <c r="D9" s="71">
        <v>2</v>
      </c>
      <c r="E9" s="17">
        <f>SUMPRODUCT(C9:D9,UnitsProduced)</f>
        <v>18</v>
      </c>
      <c r="F9" s="17" t="s">
        <v>144</v>
      </c>
      <c r="G9" s="71">
        <v>18</v>
      </c>
      <c r="H9" s="17"/>
      <c r="I9" s="28" t="s">
        <v>246</v>
      </c>
      <c r="J9" s="29" t="s">
        <v>247</v>
      </c>
    </row>
    <row r="10" spans="1:10">
      <c r="A10" s="17"/>
      <c r="B10" s="16"/>
      <c r="C10" s="17"/>
      <c r="D10" s="17"/>
      <c r="E10" s="17"/>
      <c r="F10" s="31"/>
      <c r="G10" s="17"/>
      <c r="H10" s="17"/>
      <c r="I10" s="17"/>
      <c r="J10" s="17"/>
    </row>
    <row r="11" spans="1:10" ht="15.75" thickBot="1">
      <c r="A11" s="17"/>
      <c r="B11" s="16"/>
      <c r="C11" s="17" t="s">
        <v>145</v>
      </c>
      <c r="D11" s="17" t="s">
        <v>230</v>
      </c>
      <c r="E11" s="17"/>
      <c r="F11" s="17"/>
      <c r="G11" s="17" t="s">
        <v>148</v>
      </c>
      <c r="H11" s="17"/>
      <c r="I11" s="17"/>
      <c r="J11" s="17"/>
    </row>
    <row r="12" spans="1:10" ht="15.75" thickBot="1">
      <c r="A12" s="17"/>
      <c r="B12" s="16" t="s">
        <v>248</v>
      </c>
      <c r="C12" s="72">
        <v>2</v>
      </c>
      <c r="D12" s="33">
        <v>6</v>
      </c>
      <c r="E12" s="17"/>
      <c r="F12" s="17"/>
      <c r="G12" s="73">
        <f>SUMPRODUCT(UnitProfit4,UnitsProduced)</f>
        <v>3600</v>
      </c>
      <c r="H12" s="17"/>
      <c r="I12" s="17"/>
      <c r="J12" s="17"/>
    </row>
    <row r="13" spans="1:10">
      <c r="A13" s="17"/>
      <c r="B13" s="17"/>
      <c r="C13" s="17"/>
      <c r="D13" s="17"/>
      <c r="E13" s="17"/>
      <c r="F13" s="17"/>
      <c r="G13" s="17"/>
      <c r="H13" s="17"/>
      <c r="I13" s="17"/>
      <c r="J13" s="17"/>
    </row>
    <row r="14" spans="1:10">
      <c r="A14" s="13" t="s">
        <v>54</v>
      </c>
      <c r="B14" s="17"/>
      <c r="C14" s="17"/>
      <c r="D14" s="17"/>
      <c r="E14" s="17"/>
      <c r="F14" s="17"/>
      <c r="G14" s="17"/>
      <c r="H14" s="17"/>
      <c r="I14" s="17"/>
      <c r="J14" s="17"/>
    </row>
    <row r="15" spans="1:10">
      <c r="A15" s="14" t="s">
        <v>55</v>
      </c>
    </row>
    <row r="16" spans="1:10">
      <c r="A16" s="14" t="s">
        <v>56</v>
      </c>
    </row>
    <row r="17" spans="1:1">
      <c r="A17" s="13" t="s">
        <v>57</v>
      </c>
    </row>
  </sheetData>
  <mergeCells count="1">
    <mergeCell ref="C6:D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DD2C2-2342-4034-B973-A8EAA9D8530C}">
  <dimension ref="A3:G15"/>
  <sheetViews>
    <sheetView workbookViewId="0">
      <selection activeCell="E27" sqref="E27"/>
    </sheetView>
  </sheetViews>
  <sheetFormatPr defaultRowHeight="15"/>
  <sheetData>
    <row r="3" spans="1:7">
      <c r="A3" t="s">
        <v>249</v>
      </c>
    </row>
    <row r="4" spans="1:7">
      <c r="B4" t="s">
        <v>250</v>
      </c>
      <c r="C4" t="s">
        <v>251</v>
      </c>
      <c r="E4" t="s">
        <v>252</v>
      </c>
      <c r="G4" t="s">
        <v>253</v>
      </c>
    </row>
    <row r="5" spans="1:7">
      <c r="A5" t="s">
        <v>59</v>
      </c>
    </row>
    <row r="6" spans="1:7">
      <c r="A6" t="s">
        <v>254</v>
      </c>
    </row>
    <row r="7" spans="1:7">
      <c r="A7" t="s">
        <v>60</v>
      </c>
    </row>
    <row r="8" spans="1:7">
      <c r="A8" t="s">
        <v>61</v>
      </c>
    </row>
    <row r="9" spans="1:7">
      <c r="A9" t="s">
        <v>62</v>
      </c>
    </row>
    <row r="11" spans="1:7">
      <c r="C11" s="38" t="s">
        <v>255</v>
      </c>
      <c r="D11" s="38" t="s">
        <v>256</v>
      </c>
      <c r="F11" s="38" t="s">
        <v>257</v>
      </c>
    </row>
    <row r="12" spans="1:7">
      <c r="C12" s="74">
        <v>2.9999999999999996</v>
      </c>
      <c r="D12" s="74">
        <v>2</v>
      </c>
      <c r="F12" s="75">
        <f>C12+2*D12</f>
        <v>7</v>
      </c>
    </row>
    <row r="14" spans="1:7">
      <c r="C14" s="38" t="s">
        <v>258</v>
      </c>
      <c r="D14" s="38" t="s">
        <v>259</v>
      </c>
    </row>
    <row r="15" spans="1:7">
      <c r="C15" s="38">
        <f>C12+D12</f>
        <v>5</v>
      </c>
      <c r="D15" s="38">
        <f>C12+3*D12</f>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41</vt:i4>
      </vt:variant>
      <vt:variant>
        <vt:lpstr>Named Ranges</vt:lpstr>
      </vt:variant>
      <vt:variant>
        <vt:i4>68</vt:i4>
      </vt:variant>
    </vt:vector>
  </HeadingPairs>
  <TitlesOfParts>
    <vt:vector size="109" baseType="lpstr">
      <vt:lpstr>Answers part 1</vt:lpstr>
      <vt:lpstr>1-1</vt:lpstr>
      <vt:lpstr>1.3</vt:lpstr>
      <vt:lpstr>1.4</vt:lpstr>
      <vt:lpstr>2-1</vt:lpstr>
      <vt:lpstr>2-2</vt:lpstr>
      <vt:lpstr>2-3</vt:lpstr>
      <vt:lpstr>2.4</vt:lpstr>
      <vt:lpstr>2.7</vt:lpstr>
      <vt:lpstr>3-1</vt:lpstr>
      <vt:lpstr>3-3</vt:lpstr>
      <vt:lpstr>3-4</vt:lpstr>
      <vt:lpstr>3.3</vt:lpstr>
      <vt:lpstr>3.9</vt:lpstr>
      <vt:lpstr>3.16</vt:lpstr>
      <vt:lpstr>4-1</vt:lpstr>
      <vt:lpstr>Answers part 2</vt:lpstr>
      <vt:lpstr>5-1</vt:lpstr>
      <vt:lpstr>5-3</vt:lpstr>
      <vt:lpstr>5.4</vt:lpstr>
      <vt:lpstr>5.6</vt:lpstr>
      <vt:lpstr>5.17</vt:lpstr>
      <vt:lpstr>5.18</vt:lpstr>
      <vt:lpstr>6-4</vt:lpstr>
      <vt:lpstr>6-4 part 2</vt:lpstr>
      <vt:lpstr>6-1 part 1</vt:lpstr>
      <vt:lpstr>6-1 part 2</vt:lpstr>
      <vt:lpstr>6.4</vt:lpstr>
      <vt:lpstr>6.11</vt:lpstr>
      <vt:lpstr>7-4</vt:lpstr>
      <vt:lpstr>7-3</vt:lpstr>
      <vt:lpstr>7.3</vt:lpstr>
      <vt:lpstr>7.6</vt:lpstr>
      <vt:lpstr>8-2</vt:lpstr>
      <vt:lpstr>8.14</vt:lpstr>
      <vt:lpstr>9.1</vt:lpstr>
      <vt:lpstr>9.4</vt:lpstr>
      <vt:lpstr>9.5</vt:lpstr>
      <vt:lpstr>9.34</vt:lpstr>
      <vt:lpstr>Keeping Time</vt:lpstr>
      <vt:lpstr>Keeping Time (2)</vt:lpstr>
      <vt:lpstr>AcresPlanted</vt:lpstr>
      <vt:lpstr>AddedCapacity</vt:lpstr>
      <vt:lpstr>AdvertisingUnits</vt:lpstr>
      <vt:lpstr>BusingCost</vt:lpstr>
      <vt:lpstr>CostForAdded</vt:lpstr>
      <vt:lpstr>CostOfMaterial</vt:lpstr>
      <vt:lpstr>CostOfSurvey</vt:lpstr>
      <vt:lpstr>CostPerShift</vt:lpstr>
      <vt:lpstr>'Keeping Time (2)'!FixedCost1</vt:lpstr>
      <vt:lpstr>FixedCost1</vt:lpstr>
      <vt:lpstr>FixedCost2</vt:lpstr>
      <vt:lpstr>'6-4 part 2'!Flow</vt:lpstr>
      <vt:lpstr>Flow</vt:lpstr>
      <vt:lpstr>Flowst</vt:lpstr>
      <vt:lpstr>'6-4 part 2'!From</vt:lpstr>
      <vt:lpstr>From</vt:lpstr>
      <vt:lpstr>From1</vt:lpstr>
      <vt:lpstr>Fromst</vt:lpstr>
      <vt:lpstr>HoursWorked</vt:lpstr>
      <vt:lpstr>ItemsProduced</vt:lpstr>
      <vt:lpstr>'Keeping Time (2)'!MarginalCost1</vt:lpstr>
      <vt:lpstr>MarginalCost1</vt:lpstr>
      <vt:lpstr>MarginalCost2</vt:lpstr>
      <vt:lpstr>NetContrib</vt:lpstr>
      <vt:lpstr>NewLivestock</vt:lpstr>
      <vt:lpstr>NewRouter</vt:lpstr>
      <vt:lpstr>NumberToSurvey</vt:lpstr>
      <vt:lpstr>NumberWorking</vt:lpstr>
      <vt:lpstr>OnRoute</vt:lpstr>
      <vt:lpstr>Portfolio</vt:lpstr>
      <vt:lpstr>Production</vt:lpstr>
      <vt:lpstr>'Keeping Time (2)'!ProductionQuantity1</vt:lpstr>
      <vt:lpstr>ProductionQuantity1</vt:lpstr>
      <vt:lpstr>ProductionQuantity2</vt:lpstr>
      <vt:lpstr>Quantity</vt:lpstr>
      <vt:lpstr>RequiredSurveys</vt:lpstr>
      <vt:lpstr>'Keeping Time (2)'!SalesForecast1</vt:lpstr>
      <vt:lpstr>SalesForecast1</vt:lpstr>
      <vt:lpstr>SalesForecast2</vt:lpstr>
      <vt:lpstr>StockExpectedReturn</vt:lpstr>
      <vt:lpstr>StudentAssignments</vt:lpstr>
      <vt:lpstr>Time</vt:lpstr>
      <vt:lpstr>'6-4 part 2'!To</vt:lpstr>
      <vt:lpstr>To</vt:lpstr>
      <vt:lpstr>ToBeShipped</vt:lpstr>
      <vt:lpstr>Tost</vt:lpstr>
      <vt:lpstr>'Keeping Time (2)'!TotalFixedCost1</vt:lpstr>
      <vt:lpstr>TotalFixedCost1</vt:lpstr>
      <vt:lpstr>TotalFixedCost2</vt:lpstr>
      <vt:lpstr>TotalLivestock</vt:lpstr>
      <vt:lpstr>'Keeping Time (2)'!TotalVariableCost1</vt:lpstr>
      <vt:lpstr>TotalVariableCost1</vt:lpstr>
      <vt:lpstr>TotalVariableCost2</vt:lpstr>
      <vt:lpstr>UnitCost</vt:lpstr>
      <vt:lpstr>unitCost3</vt:lpstr>
      <vt:lpstr>'Keeping Time (2)'!UniteRevenue</vt:lpstr>
      <vt:lpstr>UniteRevenue</vt:lpstr>
      <vt:lpstr>'Keeping Time (2)'!UniteRevenue1</vt:lpstr>
      <vt:lpstr>UniteRevenue1</vt:lpstr>
      <vt:lpstr>UnitProfit</vt:lpstr>
      <vt:lpstr>UnitProfit4</vt:lpstr>
      <vt:lpstr>UnitProfit5</vt:lpstr>
      <vt:lpstr>'Keeping Time (2)'!UnitRevenue</vt:lpstr>
      <vt:lpstr>UnitRevenue</vt:lpstr>
      <vt:lpstr>UnitRevenue2</vt:lpstr>
      <vt:lpstr>'2.4'!UnitsProduced</vt:lpstr>
      <vt:lpstr>'5.17'!UnitsProduced</vt:lpstr>
      <vt:lpstr>'5.18'!UnitsProduced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 Kirk</dc:creator>
  <cp:lastModifiedBy>Nathaniel Kirk</cp:lastModifiedBy>
  <dcterms:created xsi:type="dcterms:W3CDTF">2023-08-31T22:03:24Z</dcterms:created>
  <dcterms:modified xsi:type="dcterms:W3CDTF">2023-12-06T17:27:50Z</dcterms:modified>
</cp:coreProperties>
</file>