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drawings/drawing9.xml" ContentType="application/vnd.openxmlformats-officedocument.drawing+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drawings/drawing10.xml" ContentType="application/vnd.openxmlformats-officedocument.drawing+xml"/>
  <Override PartName="/xl/drawings/drawing11.xml" ContentType="application/vnd.openxmlformats-officedocument.drawing+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drawings/drawing12.xml" ContentType="application/vnd.openxmlformats-officedocument.drawing+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drawings/drawing13.xml" ContentType="application/vnd.openxmlformats-officedocument.drawing+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drawings/drawing14.xml" ContentType="application/vnd.openxmlformats-officedocument.drawing+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drawings/drawing15.xml" ContentType="application/vnd.openxmlformats-officedocument.drawing+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drawings/drawing16.xml" ContentType="application/vnd.openxmlformats-officedocument.drawing+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drawings/drawing17.xml" ContentType="application/vnd.openxmlformats-officedocument.drawing+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drawings/drawing18.xml" ContentType="application/vnd.openxmlformats-officedocument.drawing+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19.xml" ContentType="application/vnd.openxmlformats-officedocument.drawing+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drawings/drawing20.xml" ContentType="application/vnd.openxmlformats-officedocument.drawing+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drawings/drawing21.xml" ContentType="application/vnd.openxmlformats-officedocument.drawing+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DEF20584-37B9-462D-B478-FA9E25E41109}" xr6:coauthVersionLast="45" xr6:coauthVersionMax="45" xr10:uidLastSave="{00000000-0000-0000-0000-000000000000}"/>
  <bookViews>
    <workbookView xWindow="-110" yWindow="-110" windowWidth="19420" windowHeight="10420" firstSheet="1" activeTab="4" xr2:uid="{00000000-000D-0000-FFFF-FFFF00000000}"/>
  </bookViews>
  <sheets>
    <sheet name="Input Sheet" sheetId="2" r:id="rId1"/>
    <sheet name="Property Calc_Design Flow" sheetId="1" r:id="rId2"/>
    <sheet name="FOR AL HMB Only (Dry Gas)" sheetId="10" state="hidden" r:id="rId3"/>
    <sheet name="HMB_Design Case" sheetId="3" r:id="rId4"/>
    <sheet name="Property Calc_Min. Flow" sheetId="31" r:id="rId5"/>
    <sheet name="HMB_Min Op. Case" sheetId="32" r:id="rId6"/>
    <sheet name="Heat and Mass for AL" sheetId="11" state="hidden" r:id="rId7"/>
    <sheet name="Calculation Basis" sheetId="7" state="hidden" r:id="rId8"/>
    <sheet name="Sheet1" sheetId="8" state="hidden" r:id="rId9"/>
    <sheet name="AL Datasheet" sheetId="12" r:id="rId10"/>
    <sheet name="Feed Compress_Delete" sheetId="13" state="hidden" r:id="rId11"/>
    <sheet name="API Datasheet Format" sheetId="15" state="hidden" r:id="rId12"/>
    <sheet name="Feed Gas Compressor Datasheet" sheetId="22" r:id="rId13"/>
    <sheet name="Recycle Gas_Delete" sheetId="17" state="hidden" r:id="rId14"/>
    <sheet name="Recycle Gas Comp Datasheet" sheetId="23" r:id="rId15"/>
    <sheet name="Product Gas_Delete" sheetId="18" state="hidden" r:id="rId16"/>
    <sheet name="Product Gas Comp Datasheet" sheetId="24" r:id="rId17"/>
    <sheet name="Blower Datasheet" sheetId="21" state="hidden" r:id="rId18"/>
    <sheet name="H2S Vessel Media Datasheet" sheetId="25" r:id="rId19"/>
    <sheet name="H2S Vessel Datasheet" sheetId="27" r:id="rId20"/>
    <sheet name="Polishing_Carbon Bed" sheetId="28" r:id="rId21"/>
    <sheet name="Polishing_Silica Bed" sheetId="29" r:id="rId22"/>
    <sheet name="Polishing Vessel Datasheet" sheetId="30" r:id="rId23"/>
    <sheet name="Sheet2" sheetId="26" r:id="rId24"/>
  </sheets>
  <externalReferences>
    <externalReference r:id="rId25"/>
    <externalReference r:id="rId26"/>
  </externalReferences>
  <definedNames>
    <definedName name="Fluid" localSheetId="17">Table23[Fluid Phase]</definedName>
    <definedName name="Fluid" localSheetId="10">Table23[Fluid Phase]</definedName>
    <definedName name="Fluid" localSheetId="12">[1]!Table23[Fluid Phase]</definedName>
    <definedName name="Fluid" localSheetId="2">Table23[Fluid Phase]</definedName>
    <definedName name="Fluid" localSheetId="19">[1]!Table23[Fluid Phase]</definedName>
    <definedName name="Fluid" localSheetId="18">[1]!Table23[Fluid Phase]</definedName>
    <definedName name="Fluid" localSheetId="6">Table23[Fluid Phase]</definedName>
    <definedName name="Fluid" localSheetId="5">Table23[Fluid Phase]</definedName>
    <definedName name="Fluid" localSheetId="22">[1]!Table23[Fluid Phase]</definedName>
    <definedName name="Fluid" localSheetId="20">[1]!Table23[Fluid Phase]</definedName>
    <definedName name="Fluid" localSheetId="21">[1]!Table23[Fluid Phase]</definedName>
    <definedName name="Fluid" localSheetId="16">[1]!Table23[Fluid Phase]</definedName>
    <definedName name="Fluid" localSheetId="15">Table23[Fluid Phase]</definedName>
    <definedName name="Fluid" localSheetId="4">Table23[Fluid Phase]</definedName>
    <definedName name="Fluid" localSheetId="14">[1]!Table23[Fluid Phase]</definedName>
    <definedName name="Fluid" localSheetId="13">Table23[Fluid Phase]</definedName>
    <definedName name="Fluid">Table23[Fluid Phase]</definedName>
    <definedName name="Gas" localSheetId="17">Table25[Gas Fluid]</definedName>
    <definedName name="Gas" localSheetId="10">Table25[Gas Fluid]</definedName>
    <definedName name="Gas" localSheetId="12">[1]!Table25[Gas Fluid]</definedName>
    <definedName name="Gas" localSheetId="2">Table25[Gas Fluid]</definedName>
    <definedName name="Gas" localSheetId="19">[1]!Table25[Gas Fluid]</definedName>
    <definedName name="Gas" localSheetId="18">[1]!Table25[Gas Fluid]</definedName>
    <definedName name="Gas" localSheetId="6">Table25[Gas Fluid]</definedName>
    <definedName name="Gas" localSheetId="5">Table25[Gas Fluid]</definedName>
    <definedName name="Gas" localSheetId="22">[1]!Table25[Gas Fluid]</definedName>
    <definedName name="Gas" localSheetId="20">[1]!Table25[Gas Fluid]</definedName>
    <definedName name="Gas" localSheetId="21">[1]!Table25[Gas Fluid]</definedName>
    <definedName name="Gas" localSheetId="16">[1]!Table25[Gas Fluid]</definedName>
    <definedName name="Gas" localSheetId="15">Table25[Gas Fluid]</definedName>
    <definedName name="Gas" localSheetId="4">Table25[Gas Fluid]</definedName>
    <definedName name="Gas" localSheetId="14">[1]!Table25[Gas Fluid]</definedName>
    <definedName name="Gas" localSheetId="13">Table25[Gas Fluid]</definedName>
    <definedName name="Gas">Table25[Gas Fluid]</definedName>
    <definedName name="Liquid" localSheetId="17">Table24[Liquid Fluid]</definedName>
    <definedName name="Liquid" localSheetId="10">Table24[Liquid Fluid]</definedName>
    <definedName name="Liquid" localSheetId="12">[1]!Table24[Liquid Fluid]</definedName>
    <definedName name="Liquid" localSheetId="2">Table24[Liquid Fluid]</definedName>
    <definedName name="Liquid" localSheetId="19">[1]!Table24[Liquid Fluid]</definedName>
    <definedName name="Liquid" localSheetId="18">[1]!Table24[Liquid Fluid]</definedName>
    <definedName name="Liquid" localSheetId="6">Table24[Liquid Fluid]</definedName>
    <definedName name="Liquid" localSheetId="5">Table24[Liquid Fluid]</definedName>
    <definedName name="Liquid" localSheetId="22">[1]!Table24[Liquid Fluid]</definedName>
    <definedName name="Liquid" localSheetId="20">[1]!Table24[Liquid Fluid]</definedName>
    <definedName name="Liquid" localSheetId="21">[1]!Table24[Liquid Fluid]</definedName>
    <definedName name="Liquid" localSheetId="16">[1]!Table24[Liquid Fluid]</definedName>
    <definedName name="Liquid" localSheetId="15">Table24[Liquid Fluid]</definedName>
    <definedName name="Liquid" localSheetId="4">Table24[Liquid Fluid]</definedName>
    <definedName name="Liquid" localSheetId="14">[1]!Table24[Liquid Fluid]</definedName>
    <definedName name="Liquid" localSheetId="13">Table24[Liquid Fluid]</definedName>
    <definedName name="Liquid">Table24[Liquid Fluid]</definedName>
    <definedName name="_xlnm.Print_Area" localSheetId="9">'AL Datasheet'!$A$1:$K$101</definedName>
    <definedName name="_xlnm.Print_Area" localSheetId="17">'Blower Datasheet'!$A$1:$K$94</definedName>
    <definedName name="_xlnm.Print_Area" localSheetId="10">'Feed Compress_Delete'!$A$1:$K$95</definedName>
    <definedName name="_xlnm.Print_Area" localSheetId="12">'Feed Gas Compressor Datasheet'!$A$1:$K$97</definedName>
    <definedName name="_xlnm.Print_Area" localSheetId="19">'H2S Vessel Datasheet'!$A$1:$K$94</definedName>
    <definedName name="_xlnm.Print_Area" localSheetId="18">'H2S Vessel Media Datasheet'!$A$1:$K$102</definedName>
    <definedName name="_xlnm.Print_Area" localSheetId="6">'Heat and Mass for AL'!$A$1:$W$37</definedName>
    <definedName name="_xlnm.Print_Area" localSheetId="3">'HMB_Design Case'!$A$1:$Y$34</definedName>
    <definedName name="_xlnm.Print_Area" localSheetId="5">'HMB_Min Op. Case'!$A$1:$Y$34</definedName>
    <definedName name="_xlnm.Print_Area" localSheetId="22">'Polishing Vessel Datasheet'!$A$1:$K$96</definedName>
    <definedName name="_xlnm.Print_Area" localSheetId="20">'Polishing_Carbon Bed'!$A$1:$K$102</definedName>
    <definedName name="_xlnm.Print_Area" localSheetId="21">'Polishing_Silica Bed'!$A$1:$K$102</definedName>
    <definedName name="_xlnm.Print_Area" localSheetId="16">'Product Gas Comp Datasheet'!$A$1:$K$96</definedName>
    <definedName name="_xlnm.Print_Area" localSheetId="15">'Product Gas_Delete'!$A$1:$K$93</definedName>
    <definedName name="_xlnm.Print_Area" localSheetId="14">'Recycle Gas Comp Datasheet'!$A$1:$K$97</definedName>
    <definedName name="_xlnm.Print_Area" localSheetId="13">'Recycle Gas_Delete'!$A$1:$K$95</definedName>
    <definedName name="_xlnm.Print_Titles" localSheetId="9">'AL Datasheet'!$1:$5</definedName>
    <definedName name="_xlnm.Print_Titles" localSheetId="17">'Blower Datasheet'!$1:$5</definedName>
    <definedName name="_xlnm.Print_Titles" localSheetId="10">'Feed Compress_Delete'!$1:$5</definedName>
    <definedName name="_xlnm.Print_Titles" localSheetId="12">'Feed Gas Compressor Datasheet'!$1:$5</definedName>
    <definedName name="_xlnm.Print_Titles" localSheetId="19">'H2S Vessel Datasheet'!$1:$5</definedName>
    <definedName name="_xlnm.Print_Titles" localSheetId="18">'H2S Vessel Media Datasheet'!$1:$5</definedName>
    <definedName name="_xlnm.Print_Titles" localSheetId="22">'Polishing Vessel Datasheet'!$1:$5</definedName>
    <definedName name="_xlnm.Print_Titles" localSheetId="20">'Polishing_Carbon Bed'!$1:$5</definedName>
    <definedName name="_xlnm.Print_Titles" localSheetId="21">'Polishing_Silica Bed'!$1:$5</definedName>
    <definedName name="_xlnm.Print_Titles" localSheetId="16">'Product Gas Comp Datasheet'!$1:$5</definedName>
    <definedName name="_xlnm.Print_Titles" localSheetId="15">'Product Gas_Delete'!$1:$5</definedName>
    <definedName name="_xlnm.Print_Titles" localSheetId="14">'Recycle Gas Comp Datasheet'!$1:$5</definedName>
    <definedName name="_xlnm.Print_Titles" localSheetId="13">'Recycle Gas_Delete'!$1:$5</definedName>
    <definedName name="Steam" localSheetId="17">Table26[Fluid_Steam]</definedName>
    <definedName name="Steam" localSheetId="10">Table26[Fluid_Steam]</definedName>
    <definedName name="Steam" localSheetId="12">[1]!Table26[Fluid_Steam]</definedName>
    <definedName name="Steam" localSheetId="2">Table26[Fluid_Steam]</definedName>
    <definedName name="Steam" localSheetId="19">[1]!Table26[Fluid_Steam]</definedName>
    <definedName name="Steam" localSheetId="18">[1]!Table26[Fluid_Steam]</definedName>
    <definedName name="Steam" localSheetId="6">Table26[Fluid_Steam]</definedName>
    <definedName name="Steam" localSheetId="5">Table26[Fluid_Steam]</definedName>
    <definedName name="Steam" localSheetId="22">[1]!Table26[Fluid_Steam]</definedName>
    <definedName name="Steam" localSheetId="20">[1]!Table26[Fluid_Steam]</definedName>
    <definedName name="Steam" localSheetId="21">[1]!Table26[Fluid_Steam]</definedName>
    <definedName name="Steam" localSheetId="16">[1]!Table26[Fluid_Steam]</definedName>
    <definedName name="Steam" localSheetId="15">Table26[Fluid_Steam]</definedName>
    <definedName name="Steam" localSheetId="4">Table26[Fluid_Steam]</definedName>
    <definedName name="Steam" localSheetId="14">[1]!Table26[Fluid_Steam]</definedName>
    <definedName name="Steam" localSheetId="13">Table26[Fluid_Steam]</definedName>
    <definedName name="Steam">Table26[Fluid_Steam]</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S23" i="1" l="1"/>
  <c r="DO16" i="1"/>
  <c r="DP168" i="1"/>
  <c r="DP165" i="1"/>
  <c r="DP161" i="1"/>
  <c r="DQ157" i="1"/>
  <c r="DP157" i="1" s="1"/>
  <c r="DP153" i="1"/>
  <c r="DQ143" i="1"/>
  <c r="DO137" i="1"/>
  <c r="DO127" i="1"/>
  <c r="DQ119" i="1"/>
  <c r="DO113" i="1"/>
  <c r="DO65" i="1"/>
  <c r="DO32" i="1"/>
  <c r="DO30" i="1"/>
  <c r="DT24" i="1"/>
  <c r="DQ24" i="1"/>
  <c r="DP24" i="1"/>
  <c r="DT23" i="1"/>
  <c r="DT22" i="1"/>
  <c r="DQ22" i="1"/>
  <c r="DR22" i="1" s="1"/>
  <c r="DT21" i="1"/>
  <c r="DQ21" i="1"/>
  <c r="DT20" i="1"/>
  <c r="DQ20" i="1"/>
  <c r="DR20" i="1" s="1"/>
  <c r="DP20" i="1"/>
  <c r="DT19" i="1"/>
  <c r="DT18" i="1"/>
  <c r="DQ18" i="1"/>
  <c r="DR18" i="1" s="1"/>
  <c r="DP18" i="1"/>
  <c r="DO6" i="1"/>
  <c r="DO14" i="1" s="1"/>
  <c r="DO10" i="1" l="1"/>
  <c r="DP21" i="1"/>
  <c r="DR21" i="1"/>
  <c r="DO38" i="1"/>
  <c r="DR24" i="1"/>
  <c r="DO9" i="1"/>
  <c r="DQ19" i="1"/>
  <c r="DQ23" i="1"/>
  <c r="DP22" i="1"/>
  <c r="DQ133" i="1"/>
  <c r="V12" i="32"/>
  <c r="T9" i="32"/>
  <c r="S9" i="32"/>
  <c r="P9" i="32"/>
  <c r="O9" i="32"/>
  <c r="L9" i="32"/>
  <c r="K9" i="32"/>
  <c r="H9" i="32"/>
  <c r="T8" i="32"/>
  <c r="P8" i="32"/>
  <c r="L8" i="32"/>
  <c r="H8" i="32"/>
  <c r="D17" i="32"/>
  <c r="V7" i="32"/>
  <c r="V17" i="32" s="1"/>
  <c r="U7" i="32"/>
  <c r="U12" i="32" s="1"/>
  <c r="T7" i="32"/>
  <c r="T12" i="32" s="1"/>
  <c r="S7" i="32"/>
  <c r="S8" i="32" s="1"/>
  <c r="R7" i="32"/>
  <c r="R9" i="32" s="1"/>
  <c r="Q7" i="32"/>
  <c r="Q8" i="32" s="1"/>
  <c r="P7" i="32"/>
  <c r="O7" i="32"/>
  <c r="O8" i="32" s="1"/>
  <c r="N7" i="32"/>
  <c r="N9" i="32" s="1"/>
  <c r="M7" i="32"/>
  <c r="M17" i="32" s="1"/>
  <c r="L7" i="32"/>
  <c r="L17" i="32" s="1"/>
  <c r="K7" i="32"/>
  <c r="K8" i="32" s="1"/>
  <c r="J7" i="32"/>
  <c r="J9" i="32" s="1"/>
  <c r="I7" i="32"/>
  <c r="I8" i="32" s="1"/>
  <c r="H7" i="32"/>
  <c r="G7" i="32"/>
  <c r="G8" i="32" s="1"/>
  <c r="F7" i="32"/>
  <c r="F9" i="32" s="1"/>
  <c r="E7" i="32"/>
  <c r="E9" i="32" s="1"/>
  <c r="D7" i="32"/>
  <c r="D9" i="32" s="1"/>
  <c r="C27" i="32"/>
  <c r="C26" i="32"/>
  <c r="W7" i="32"/>
  <c r="E8" i="32" l="1"/>
  <c r="M8" i="32"/>
  <c r="U8" i="32"/>
  <c r="F8" i="32"/>
  <c r="N8" i="32"/>
  <c r="V8" i="32"/>
  <c r="M9" i="32"/>
  <c r="U9" i="32"/>
  <c r="V9" i="32"/>
  <c r="R17" i="32"/>
  <c r="R12" i="32"/>
  <c r="S17" i="32"/>
  <c r="S12" i="32"/>
  <c r="T17" i="32"/>
  <c r="D8" i="32"/>
  <c r="J8" i="32"/>
  <c r="R8" i="32"/>
  <c r="I9" i="32"/>
  <c r="Q9" i="32"/>
  <c r="U17" i="32"/>
  <c r="DO7" i="1"/>
  <c r="DO18" i="1" s="1"/>
  <c r="DO34" i="1"/>
  <c r="DO11" i="1"/>
  <c r="DR23" i="1"/>
  <c r="DP23" i="1"/>
  <c r="DR19" i="1"/>
  <c r="DP19" i="1"/>
  <c r="W17" i="32"/>
  <c r="W11" i="32"/>
  <c r="W9" i="32"/>
  <c r="W15" i="32"/>
  <c r="W8" i="32"/>
  <c r="W10" i="32"/>
  <c r="W12" i="32"/>
  <c r="W14" i="32"/>
  <c r="W16" i="32"/>
  <c r="W13" i="32"/>
  <c r="D32" i="27"/>
  <c r="DO8" i="1" l="1"/>
  <c r="DO12" i="1" s="1"/>
  <c r="DO13" i="1" s="1"/>
  <c r="DO57" i="1" s="1"/>
  <c r="DO19" i="1"/>
  <c r="DO20" i="1"/>
  <c r="DO24" i="1"/>
  <c r="DO21" i="1"/>
  <c r="DO23" i="1"/>
  <c r="DO15" i="1" s="1"/>
  <c r="DO22" i="1"/>
  <c r="D32" i="30"/>
  <c r="DO39" i="1" l="1"/>
  <c r="A80" i="27"/>
  <c r="BA16" i="31"/>
  <c r="H4" i="2"/>
  <c r="H3" i="2"/>
  <c r="DI188" i="31"/>
  <c r="DC188" i="31"/>
  <c r="CW188" i="31"/>
  <c r="CQ188" i="31"/>
  <c r="CK188" i="31"/>
  <c r="CE188" i="31"/>
  <c r="BY188" i="31"/>
  <c r="BS188" i="31"/>
  <c r="BM188" i="31"/>
  <c r="BG188" i="31"/>
  <c r="BA188" i="31"/>
  <c r="AU188" i="31"/>
  <c r="AO188" i="31"/>
  <c r="AI188" i="31"/>
  <c r="AC188" i="31"/>
  <c r="W188" i="31"/>
  <c r="Q188" i="31"/>
  <c r="K188" i="31"/>
  <c r="E188" i="31"/>
  <c r="CX169" i="31"/>
  <c r="DJ168" i="31"/>
  <c r="DD168" i="31"/>
  <c r="CR168" i="31"/>
  <c r="CL168" i="31"/>
  <c r="CF168" i="31"/>
  <c r="BZ168" i="31"/>
  <c r="BT168" i="31"/>
  <c r="BN168" i="31"/>
  <c r="BH168" i="31"/>
  <c r="BB168" i="31"/>
  <c r="AV168" i="31"/>
  <c r="AP168" i="31"/>
  <c r="AJ168" i="31"/>
  <c r="AD168" i="31"/>
  <c r="X168" i="31"/>
  <c r="R168" i="31"/>
  <c r="L168" i="31"/>
  <c r="F168" i="31"/>
  <c r="CX166" i="31"/>
  <c r="DJ165" i="31"/>
  <c r="DD165" i="31"/>
  <c r="CR165" i="31"/>
  <c r="CL165" i="31"/>
  <c r="CF165" i="31"/>
  <c r="BZ165" i="31"/>
  <c r="BT165" i="31"/>
  <c r="BN165" i="31"/>
  <c r="BH165" i="31"/>
  <c r="BB165" i="31"/>
  <c r="AV165" i="31"/>
  <c r="AP165" i="31"/>
  <c r="AJ165" i="31"/>
  <c r="AD165" i="31"/>
  <c r="X165" i="31"/>
  <c r="R165" i="31"/>
  <c r="L165" i="31"/>
  <c r="F165" i="31"/>
  <c r="CX162" i="31"/>
  <c r="DJ161" i="31"/>
  <c r="DD161" i="31"/>
  <c r="CR161" i="31"/>
  <c r="CL161" i="31"/>
  <c r="CF161" i="31"/>
  <c r="BZ161" i="31"/>
  <c r="BT161" i="31"/>
  <c r="BN161" i="31"/>
  <c r="BH161" i="31"/>
  <c r="BB161" i="31"/>
  <c r="AV161" i="31"/>
  <c r="AP161" i="31"/>
  <c r="AJ161" i="31"/>
  <c r="AD161" i="31"/>
  <c r="X161" i="31"/>
  <c r="R161" i="31"/>
  <c r="L161" i="31"/>
  <c r="F161" i="31"/>
  <c r="CY158" i="31"/>
  <c r="CX158" i="31"/>
  <c r="DK157" i="31"/>
  <c r="DJ157" i="31" s="1"/>
  <c r="DE157" i="31"/>
  <c r="DD157" i="31" s="1"/>
  <c r="CS157" i="31"/>
  <c r="CR157" i="31"/>
  <c r="CM157" i="31"/>
  <c r="CL157" i="31"/>
  <c r="CG157" i="31"/>
  <c r="CF157" i="31" s="1"/>
  <c r="CA157" i="31"/>
  <c r="BZ157" i="31" s="1"/>
  <c r="BU157" i="31"/>
  <c r="BT157" i="31"/>
  <c r="BO157" i="31"/>
  <c r="BN157" i="31"/>
  <c r="BI157" i="31"/>
  <c r="BH157" i="31" s="1"/>
  <c r="BC157" i="31"/>
  <c r="BB157" i="31" s="1"/>
  <c r="AW157" i="31"/>
  <c r="AV157" i="31"/>
  <c r="AQ157" i="31"/>
  <c r="AP157" i="31"/>
  <c r="AK157" i="31"/>
  <c r="AJ157" i="31" s="1"/>
  <c r="AE157" i="31"/>
  <c r="AD157" i="31" s="1"/>
  <c r="Y157" i="31"/>
  <c r="X157" i="31"/>
  <c r="S157" i="31"/>
  <c r="R157" i="31"/>
  <c r="M157" i="31"/>
  <c r="L157" i="31" s="1"/>
  <c r="G157" i="31"/>
  <c r="F157" i="31" s="1"/>
  <c r="CX154" i="31"/>
  <c r="DJ153" i="31"/>
  <c r="DD153" i="31"/>
  <c r="CR153" i="31"/>
  <c r="CL153" i="31"/>
  <c r="CF153" i="31"/>
  <c r="BZ153" i="31"/>
  <c r="BT153" i="31"/>
  <c r="BN153" i="31"/>
  <c r="BH153" i="31"/>
  <c r="BB153" i="31"/>
  <c r="AV153" i="31"/>
  <c r="AP153" i="31"/>
  <c r="AJ153" i="31"/>
  <c r="AD153" i="31"/>
  <c r="X153" i="31"/>
  <c r="R153" i="31"/>
  <c r="L153" i="31"/>
  <c r="F153" i="31"/>
  <c r="CY144" i="31"/>
  <c r="DK143" i="31"/>
  <c r="DE143" i="31"/>
  <c r="CS143" i="31"/>
  <c r="CM143" i="31"/>
  <c r="CG143" i="31"/>
  <c r="CA143" i="31"/>
  <c r="BU143" i="31"/>
  <c r="BO143" i="31"/>
  <c r="BI143" i="31"/>
  <c r="BC143" i="31"/>
  <c r="AW143" i="31"/>
  <c r="AQ143" i="31"/>
  <c r="AK143" i="31"/>
  <c r="AE143" i="31"/>
  <c r="Y143" i="31"/>
  <c r="S143" i="31"/>
  <c r="M143" i="31"/>
  <c r="G143" i="31"/>
  <c r="CW138" i="31"/>
  <c r="DI137" i="31"/>
  <c r="DC137" i="31"/>
  <c r="CQ137" i="31"/>
  <c r="CK137" i="31"/>
  <c r="CE137" i="31"/>
  <c r="BY137" i="31"/>
  <c r="BS137" i="31"/>
  <c r="BM137" i="31"/>
  <c r="BG137" i="31"/>
  <c r="BA137" i="31"/>
  <c r="AU137" i="31"/>
  <c r="AO137" i="31"/>
  <c r="AI137" i="31"/>
  <c r="AC137" i="31"/>
  <c r="W137" i="31"/>
  <c r="Q137" i="31"/>
  <c r="K137" i="31"/>
  <c r="E137" i="31"/>
  <c r="CY134" i="31"/>
  <c r="CY135" i="31" s="1"/>
  <c r="CX135" i="31" s="1"/>
  <c r="CM133" i="31"/>
  <c r="BU133" i="31"/>
  <c r="BO133" i="31"/>
  <c r="AQ133" i="31"/>
  <c r="Y133" i="31"/>
  <c r="S133" i="31"/>
  <c r="CY130" i="31"/>
  <c r="CX130" i="31"/>
  <c r="CW128" i="31"/>
  <c r="DI127" i="31"/>
  <c r="DK133" i="31" s="1"/>
  <c r="DC127" i="31"/>
  <c r="CQ127" i="31"/>
  <c r="CK127" i="31"/>
  <c r="CE127" i="31"/>
  <c r="CG133" i="31" s="1"/>
  <c r="BY127" i="31"/>
  <c r="BS127" i="31"/>
  <c r="BM127" i="31"/>
  <c r="BG127" i="31"/>
  <c r="BI133" i="31" s="1"/>
  <c r="BA127" i="31"/>
  <c r="AU127" i="31"/>
  <c r="AO127" i="31"/>
  <c r="AI127" i="31"/>
  <c r="AK133" i="31" s="1"/>
  <c r="AC127" i="31"/>
  <c r="W127" i="31"/>
  <c r="Q127" i="31"/>
  <c r="K127" i="31"/>
  <c r="M133" i="31" s="1"/>
  <c r="E127" i="31"/>
  <c r="CY120" i="31"/>
  <c r="DK119" i="31"/>
  <c r="DE119" i="31"/>
  <c r="CS119" i="31"/>
  <c r="CM119" i="31"/>
  <c r="CG119" i="31"/>
  <c r="CA119" i="31"/>
  <c r="BU119" i="31"/>
  <c r="BO119" i="31"/>
  <c r="BI119" i="31"/>
  <c r="BC119" i="31"/>
  <c r="AW119" i="31"/>
  <c r="AQ119" i="31"/>
  <c r="AK119" i="31"/>
  <c r="AE119" i="31"/>
  <c r="Y119" i="31"/>
  <c r="S119" i="31"/>
  <c r="M119" i="31"/>
  <c r="G119" i="31"/>
  <c r="CW114" i="31"/>
  <c r="DI113" i="31"/>
  <c r="DC113" i="31"/>
  <c r="CQ113" i="31"/>
  <c r="CK113" i="31"/>
  <c r="CE113" i="31"/>
  <c r="BY113" i="31"/>
  <c r="BS113" i="31"/>
  <c r="BM113" i="31"/>
  <c r="BG113" i="31"/>
  <c r="BA113" i="31"/>
  <c r="AU113" i="31"/>
  <c r="AO113" i="31"/>
  <c r="AI113" i="31"/>
  <c r="AC113" i="31"/>
  <c r="W113" i="31"/>
  <c r="Q113" i="31"/>
  <c r="K113" i="31"/>
  <c r="E113" i="31"/>
  <c r="DI65" i="31"/>
  <c r="DC65" i="31"/>
  <c r="CW65" i="31"/>
  <c r="CQ65" i="31"/>
  <c r="CK65" i="31"/>
  <c r="CE65" i="31"/>
  <c r="BY65" i="31"/>
  <c r="BS65" i="31"/>
  <c r="BM65" i="31"/>
  <c r="BG65" i="31"/>
  <c r="BA65" i="31"/>
  <c r="AU65" i="31"/>
  <c r="AO65" i="31"/>
  <c r="AI65" i="31"/>
  <c r="AC65" i="31"/>
  <c r="W65" i="31"/>
  <c r="Q65" i="31"/>
  <c r="K65" i="31"/>
  <c r="E65" i="31"/>
  <c r="CW54" i="31"/>
  <c r="CW38" i="31"/>
  <c r="CK38" i="31"/>
  <c r="CE38" i="31"/>
  <c r="BS38" i="31"/>
  <c r="BA38" i="31"/>
  <c r="AO38" i="31"/>
  <c r="DI32" i="31"/>
  <c r="DC32" i="31"/>
  <c r="CW32" i="31"/>
  <c r="CQ32" i="31"/>
  <c r="CK32" i="31"/>
  <c r="CE32" i="31"/>
  <c r="BY32" i="31"/>
  <c r="BS32" i="31"/>
  <c r="BM32" i="31"/>
  <c r="BG32" i="31"/>
  <c r="BA32" i="31"/>
  <c r="AU32" i="31"/>
  <c r="AO32" i="31"/>
  <c r="AI32" i="31"/>
  <c r="AC32" i="31"/>
  <c r="W32" i="31"/>
  <c r="Q32" i="31"/>
  <c r="K32" i="31"/>
  <c r="E32" i="31"/>
  <c r="DI30" i="31"/>
  <c r="DC30" i="31"/>
  <c r="CW30" i="31"/>
  <c r="CQ30" i="31"/>
  <c r="CK30" i="31"/>
  <c r="CE30" i="31"/>
  <c r="BY30" i="31"/>
  <c r="BS30" i="31"/>
  <c r="BM30" i="31"/>
  <c r="BG30" i="31"/>
  <c r="BA30" i="31"/>
  <c r="AU30" i="31"/>
  <c r="AO30" i="31"/>
  <c r="AI30" i="31"/>
  <c r="AI38" i="31" s="1"/>
  <c r="AC30" i="31"/>
  <c r="W30" i="31"/>
  <c r="Q30" i="31"/>
  <c r="K30" i="31"/>
  <c r="E30" i="31"/>
  <c r="E38" i="31" s="1"/>
  <c r="D24" i="31"/>
  <c r="C24" i="31"/>
  <c r="BE23" i="31"/>
  <c r="D23" i="31"/>
  <c r="AZ23" i="31" s="1"/>
  <c r="C23" i="31"/>
  <c r="D22" i="31"/>
  <c r="C22" i="31"/>
  <c r="D21" i="31"/>
  <c r="C21" i="31"/>
  <c r="D20" i="31"/>
  <c r="C20" i="31"/>
  <c r="D19" i="31"/>
  <c r="C19" i="31"/>
  <c r="D18" i="31"/>
  <c r="C18" i="31"/>
  <c r="BY14" i="31"/>
  <c r="AU14" i="31"/>
  <c r="AC14" i="31"/>
  <c r="DI6" i="31"/>
  <c r="DI14" i="31" s="1"/>
  <c r="DC6" i="31"/>
  <c r="DC14" i="31" s="1"/>
  <c r="CW6" i="31"/>
  <c r="CW14" i="31" s="1"/>
  <c r="CQ6" i="31"/>
  <c r="CQ14" i="31" s="1"/>
  <c r="CE6" i="31"/>
  <c r="CE14" i="31" s="1"/>
  <c r="BY6" i="31"/>
  <c r="BS6" i="31"/>
  <c r="BS14" i="31" s="1"/>
  <c r="BM6" i="31"/>
  <c r="BM14" i="31" s="1"/>
  <c r="BG6" i="31"/>
  <c r="BG14" i="31" s="1"/>
  <c r="BA6" i="31"/>
  <c r="BA14" i="31" s="1"/>
  <c r="AU6" i="31"/>
  <c r="AO6" i="31"/>
  <c r="AO14" i="31" s="1"/>
  <c r="AI6" i="31"/>
  <c r="AI14" i="31" s="1"/>
  <c r="AC6" i="31"/>
  <c r="K6" i="31"/>
  <c r="K14" i="31" s="1"/>
  <c r="E6" i="31"/>
  <c r="E14" i="31" s="1"/>
  <c r="DI5" i="31"/>
  <c r="CK5" i="31"/>
  <c r="CK6" i="31" s="1"/>
  <c r="CK14" i="31" s="1"/>
  <c r="K5" i="31"/>
  <c r="Q5" i="31" s="1"/>
  <c r="Q6" i="31" s="1"/>
  <c r="Q14" i="31" s="1"/>
  <c r="CK4" i="31"/>
  <c r="W4" i="31"/>
  <c r="DO40" i="1" l="1"/>
  <c r="DO41" i="1" s="1"/>
  <c r="DO170" i="1"/>
  <c r="AW23" i="31"/>
  <c r="BF23" i="31"/>
  <c r="BC23" i="31"/>
  <c r="BK23" i="31"/>
  <c r="BG16" i="31" s="1"/>
  <c r="AC38" i="31"/>
  <c r="AU38" i="31"/>
  <c r="CY140" i="31"/>
  <c r="CX140" i="31"/>
  <c r="K38" i="31"/>
  <c r="BG38" i="31"/>
  <c r="DC38" i="31"/>
  <c r="Q38" i="31"/>
  <c r="BM38" i="31"/>
  <c r="DI38" i="31"/>
  <c r="BY38" i="31"/>
  <c r="CQ38" i="31"/>
  <c r="W38" i="31"/>
  <c r="AE133" i="31"/>
  <c r="CA133" i="31"/>
  <c r="AW133" i="31"/>
  <c r="CS133" i="31"/>
  <c r="G133" i="31"/>
  <c r="BC133" i="31"/>
  <c r="DE133" i="31"/>
  <c r="D31" i="27"/>
  <c r="DP109" i="1" l="1"/>
  <c r="DP101" i="1"/>
  <c r="DP92" i="1"/>
  <c r="DP82" i="1"/>
  <c r="DP73" i="1"/>
  <c r="DO45" i="1"/>
  <c r="DP108" i="1"/>
  <c r="DP100" i="1"/>
  <c r="DP91" i="1"/>
  <c r="DP80" i="1"/>
  <c r="DP72" i="1"/>
  <c r="DO44" i="1"/>
  <c r="DP107" i="1"/>
  <c r="DP99" i="1"/>
  <c r="DP89" i="1"/>
  <c r="DP79" i="1"/>
  <c r="DP71" i="1"/>
  <c r="DO43" i="1"/>
  <c r="DQ129" i="1"/>
  <c r="DP106" i="1"/>
  <c r="DP97" i="1"/>
  <c r="DP88" i="1"/>
  <c r="DP78" i="1"/>
  <c r="DP70" i="1"/>
  <c r="DP105" i="1"/>
  <c r="DP96" i="1"/>
  <c r="DP87" i="1"/>
  <c r="DP77" i="1"/>
  <c r="DP104" i="1"/>
  <c r="DP95" i="1"/>
  <c r="DP85" i="1"/>
  <c r="DP76" i="1"/>
  <c r="DQ124" i="1"/>
  <c r="DP124" i="1" s="1"/>
  <c r="DP111" i="1"/>
  <c r="DP103" i="1"/>
  <c r="DP94" i="1"/>
  <c r="DP84" i="1"/>
  <c r="DP75" i="1"/>
  <c r="DP110" i="1"/>
  <c r="DP102" i="1"/>
  <c r="DP93" i="1"/>
  <c r="DP83" i="1"/>
  <c r="DP74" i="1"/>
  <c r="DO46" i="1"/>
  <c r="AX23" i="31"/>
  <c r="AV23" i="31"/>
  <c r="BD23" i="31"/>
  <c r="BB23" i="31"/>
  <c r="CY145" i="31"/>
  <c r="CX145" i="31" s="1"/>
  <c r="CY148" i="31"/>
  <c r="CX148" i="31" s="1"/>
  <c r="BI23" i="31"/>
  <c r="BL23" i="31"/>
  <c r="DO47" i="1" l="1"/>
  <c r="DO49" i="1" s="1"/>
  <c r="DO50" i="1" s="1"/>
  <c r="DQ115" i="1" s="1"/>
  <c r="DP129" i="1"/>
  <c r="DQ134" i="1"/>
  <c r="DP134" i="1" s="1"/>
  <c r="BH23" i="31"/>
  <c r="BJ23" i="31"/>
  <c r="D71" i="30"/>
  <c r="D70" i="30"/>
  <c r="D69" i="30"/>
  <c r="A9" i="30"/>
  <c r="A10" i="30" s="1"/>
  <c r="A11" i="30" s="1"/>
  <c r="A12" i="30" s="1"/>
  <c r="A14" i="30" s="1"/>
  <c r="A15" i="30" s="1"/>
  <c r="A16" i="30" s="1"/>
  <c r="A17" i="30" s="1"/>
  <c r="A18" i="30" s="1"/>
  <c r="A19" i="30" s="1"/>
  <c r="A20" i="30" s="1"/>
  <c r="A21" i="30" s="1"/>
  <c r="A22" i="30" s="1"/>
  <c r="A23" i="30" s="1"/>
  <c r="A24" i="30" s="1"/>
  <c r="A25" i="30" s="1"/>
  <c r="A26" i="30" s="1"/>
  <c r="A28" i="30" s="1"/>
  <c r="A29" i="30" s="1"/>
  <c r="A30" i="30" s="1"/>
  <c r="A31" i="30" s="1"/>
  <c r="A32" i="30" s="1"/>
  <c r="A33" i="30" s="1"/>
  <c r="A34" i="30" s="1"/>
  <c r="A35" i="30" s="1"/>
  <c r="A36" i="30" s="1"/>
  <c r="A37" i="30" s="1"/>
  <c r="A38" i="30" s="1"/>
  <c r="A39" i="30" s="1"/>
  <c r="A41" i="30" s="1"/>
  <c r="A42" i="30" s="1"/>
  <c r="A43" i="30" s="1"/>
  <c r="A44" i="30" s="1"/>
  <c r="A45" i="30" s="1"/>
  <c r="A46" i="30" s="1"/>
  <c r="A47" i="30" s="1"/>
  <c r="A48" i="30" s="1"/>
  <c r="A49" i="30" s="1"/>
  <c r="A50" i="30" s="1"/>
  <c r="A51" i="30" s="1"/>
  <c r="A52" i="30" s="1"/>
  <c r="A54" i="30" s="1"/>
  <c r="A55" i="30" s="1"/>
  <c r="A56" i="30" s="1"/>
  <c r="A57" i="30" s="1"/>
  <c r="A58" i="30" s="1"/>
  <c r="A59" i="30" s="1"/>
  <c r="A60" i="30" s="1"/>
  <c r="A61" i="30" s="1"/>
  <c r="A62" i="30" s="1"/>
  <c r="A63" i="30" s="1"/>
  <c r="A64" i="30" s="1"/>
  <c r="A65" i="30" s="1"/>
  <c r="A66" i="30" s="1"/>
  <c r="A68" i="30" s="1"/>
  <c r="A69" i="30" s="1"/>
  <c r="A70" i="30" s="1"/>
  <c r="A71" i="30" s="1"/>
  <c r="A72" i="30" s="1"/>
  <c r="A73" i="30" s="1"/>
  <c r="A75" i="30" s="1"/>
  <c r="A76" i="30" s="1"/>
  <c r="A77" i="30" s="1"/>
  <c r="A78" i="30" s="1"/>
  <c r="A79" i="30" s="1"/>
  <c r="P8" i="30"/>
  <c r="O8" i="30"/>
  <c r="F30" i="29"/>
  <c r="D30" i="29"/>
  <c r="F16" i="29"/>
  <c r="D16" i="29"/>
  <c r="F30" i="28"/>
  <c r="D30" i="28"/>
  <c r="D71" i="29"/>
  <c r="D70" i="29"/>
  <c r="D69" i="29"/>
  <c r="A11" i="29"/>
  <c r="A12" i="29" s="1"/>
  <c r="A14" i="29" s="1"/>
  <c r="A15" i="29" s="1"/>
  <c r="A16" i="29" s="1"/>
  <c r="A17" i="29" s="1"/>
  <c r="A18" i="29" s="1"/>
  <c r="A19" i="29" s="1"/>
  <c r="A20" i="29" s="1"/>
  <c r="A21" i="29" s="1"/>
  <c r="A22" i="29" s="1"/>
  <c r="A23" i="29" s="1"/>
  <c r="A24" i="29" s="1"/>
  <c r="A25" i="29" s="1"/>
  <c r="A26" i="29" s="1"/>
  <c r="A28" i="29" s="1"/>
  <c r="A29" i="29" s="1"/>
  <c r="A30" i="29" s="1"/>
  <c r="A31" i="29" s="1"/>
  <c r="A32" i="29" s="1"/>
  <c r="A33" i="29" s="1"/>
  <c r="A34" i="29" s="1"/>
  <c r="A35" i="29" s="1"/>
  <c r="A36" i="29" s="1"/>
  <c r="A37" i="29" s="1"/>
  <c r="A38" i="29" s="1"/>
  <c r="A39" i="29" s="1"/>
  <c r="A40" i="29" s="1"/>
  <c r="A42" i="29" s="1"/>
  <c r="A43" i="29" s="1"/>
  <c r="A44" i="29" s="1"/>
  <c r="A45" i="29" s="1"/>
  <c r="A46" i="29" s="1"/>
  <c r="A47" i="29" s="1"/>
  <c r="A48" i="29" s="1"/>
  <c r="A49" i="29" s="1"/>
  <c r="A50" i="29" s="1"/>
  <c r="A51" i="29" s="1"/>
  <c r="A52" i="29" s="1"/>
  <c r="A53" i="29" s="1"/>
  <c r="A54" i="29" s="1"/>
  <c r="A55" i="29" s="1"/>
  <c r="A56" i="29" s="1"/>
  <c r="A57" i="29" s="1"/>
  <c r="A58" i="29" s="1"/>
  <c r="A60" i="29" s="1"/>
  <c r="A61" i="29" s="1"/>
  <c r="A62" i="29" s="1"/>
  <c r="A63" i="29" s="1"/>
  <c r="A64" i="29" s="1"/>
  <c r="A65" i="29" s="1"/>
  <c r="A66" i="29" s="1"/>
  <c r="A68" i="29" s="1"/>
  <c r="A69" i="29" s="1"/>
  <c r="A70" i="29" s="1"/>
  <c r="A71" i="29" s="1"/>
  <c r="A72" i="29" s="1"/>
  <c r="A73" i="29" s="1"/>
  <c r="A10" i="29"/>
  <c r="A9" i="29"/>
  <c r="P8" i="29"/>
  <c r="O8" i="29"/>
  <c r="D71" i="28"/>
  <c r="D70" i="28"/>
  <c r="D69" i="28"/>
  <c r="A9" i="28"/>
  <c r="A10" i="28" s="1"/>
  <c r="A11" i="28" s="1"/>
  <c r="A12" i="28" s="1"/>
  <c r="A14" i="28" s="1"/>
  <c r="A15" i="28" s="1"/>
  <c r="A16" i="28" s="1"/>
  <c r="A17" i="28" s="1"/>
  <c r="A18" i="28" s="1"/>
  <c r="A19" i="28" s="1"/>
  <c r="A20" i="28" s="1"/>
  <c r="A21" i="28" s="1"/>
  <c r="A22" i="28" s="1"/>
  <c r="A23" i="28" s="1"/>
  <c r="A24" i="28" s="1"/>
  <c r="A25" i="28" s="1"/>
  <c r="A26" i="28" s="1"/>
  <c r="A28" i="28" s="1"/>
  <c r="A29" i="28" s="1"/>
  <c r="A30" i="28" s="1"/>
  <c r="A31" i="28" s="1"/>
  <c r="A32" i="28" s="1"/>
  <c r="A33" i="28" s="1"/>
  <c r="A34" i="28" s="1"/>
  <c r="A35" i="28" s="1"/>
  <c r="A36" i="28" s="1"/>
  <c r="A37" i="28" s="1"/>
  <c r="A38" i="28" s="1"/>
  <c r="A39" i="28" s="1"/>
  <c r="A40" i="28" s="1"/>
  <c r="A42" i="28" s="1"/>
  <c r="A43" i="28" s="1"/>
  <c r="A44" i="28" s="1"/>
  <c r="A45" i="28" s="1"/>
  <c r="A46" i="28" s="1"/>
  <c r="A47" i="28" s="1"/>
  <c r="A48" i="28" s="1"/>
  <c r="A49" i="28" s="1"/>
  <c r="A50" i="28" s="1"/>
  <c r="A51" i="28" s="1"/>
  <c r="A52" i="28" s="1"/>
  <c r="A53" i="28" s="1"/>
  <c r="A54" i="28" s="1"/>
  <c r="A55" i="28" s="1"/>
  <c r="A56" i="28" s="1"/>
  <c r="A57" i="28" s="1"/>
  <c r="A58" i="28" s="1"/>
  <c r="A60" i="28" s="1"/>
  <c r="A61" i="28" s="1"/>
  <c r="A62" i="28" s="1"/>
  <c r="A63" i="28" s="1"/>
  <c r="A64" i="28" s="1"/>
  <c r="A65" i="28" s="1"/>
  <c r="A66" i="28" s="1"/>
  <c r="A68" i="28" s="1"/>
  <c r="A69" i="28" s="1"/>
  <c r="A70" i="28" s="1"/>
  <c r="A71" i="28" s="1"/>
  <c r="A72" i="28" s="1"/>
  <c r="A73" i="28" s="1"/>
  <c r="P8" i="28"/>
  <c r="O8" i="28"/>
  <c r="DO60" i="1" l="1"/>
  <c r="DO64" i="1" s="1"/>
  <c r="DO56" i="1"/>
  <c r="DQ139" i="1"/>
  <c r="DQ147" i="1" s="1"/>
  <c r="DP147" i="1" s="1"/>
  <c r="DP115" i="1"/>
  <c r="DQ121" i="1"/>
  <c r="DP121" i="1" s="1"/>
  <c r="A80" i="30"/>
  <c r="A81" i="30" s="1"/>
  <c r="A82" i="30" s="1"/>
  <c r="P20" i="30"/>
  <c r="P10" i="30"/>
  <c r="O9" i="30"/>
  <c r="E16" i="30" s="1"/>
  <c r="P9" i="30"/>
  <c r="O10" i="30"/>
  <c r="D17" i="30" s="1"/>
  <c r="E17" i="30" s="1"/>
  <c r="F17" i="30" s="1"/>
  <c r="O9" i="29"/>
  <c r="E16" i="29" s="1"/>
  <c r="E30" i="29" s="1"/>
  <c r="P10" i="29"/>
  <c r="P9" i="29"/>
  <c r="P20" i="29"/>
  <c r="O10" i="29"/>
  <c r="D17" i="29" s="1"/>
  <c r="O10" i="28"/>
  <c r="D17" i="28" s="1"/>
  <c r="P10" i="28"/>
  <c r="P20" i="28"/>
  <c r="O9" i="28"/>
  <c r="E16" i="28" s="1"/>
  <c r="E30" i="28" s="1"/>
  <c r="P9" i="28"/>
  <c r="DQ144" i="1" l="1"/>
  <c r="DP144" i="1" s="1"/>
  <c r="DO169" i="1" s="1"/>
  <c r="DO54" i="1" s="1"/>
  <c r="DO58" i="1" s="1"/>
  <c r="DO59" i="1" s="1"/>
  <c r="DP139" i="1"/>
  <c r="E17" i="29"/>
  <c r="F17" i="29" s="1"/>
  <c r="D31" i="29"/>
  <c r="E31" i="29" s="1"/>
  <c r="F31" i="29" s="1"/>
  <c r="E17" i="28"/>
  <c r="F17" i="28" s="1"/>
  <c r="D31" i="28"/>
  <c r="E31" i="28" s="1"/>
  <c r="F31" i="28" s="1"/>
  <c r="A62" i="25"/>
  <c r="A61" i="25"/>
  <c r="A60" i="25"/>
  <c r="D71" i="27"/>
  <c r="D70" i="27"/>
  <c r="D69" i="27"/>
  <c r="A9" i="27"/>
  <c r="A10" i="27" s="1"/>
  <c r="A11" i="27" s="1"/>
  <c r="A12" i="27" s="1"/>
  <c r="A14" i="27" s="1"/>
  <c r="A15" i="27" s="1"/>
  <c r="A16" i="27" s="1"/>
  <c r="A17" i="27" s="1"/>
  <c r="A18" i="27" s="1"/>
  <c r="A19" i="27" s="1"/>
  <c r="A20" i="27" s="1"/>
  <c r="A21" i="27" s="1"/>
  <c r="A22" i="27" s="1"/>
  <c r="A23" i="27" s="1"/>
  <c r="A24" i="27" s="1"/>
  <c r="A25" i="27" s="1"/>
  <c r="A26" i="27" s="1"/>
  <c r="P8" i="27"/>
  <c r="O8" i="27"/>
  <c r="A28" i="27" l="1"/>
  <c r="A29" i="27" s="1"/>
  <c r="O9" i="27"/>
  <c r="E16" i="27" s="1"/>
  <c r="O10" i="27"/>
  <c r="D17" i="27" s="1"/>
  <c r="P20" i="27"/>
  <c r="P9" i="27"/>
  <c r="P10" i="27"/>
  <c r="O20" i="27"/>
  <c r="E6" i="1"/>
  <c r="E14" i="1"/>
  <c r="E30" i="1"/>
  <c r="E32" i="1"/>
  <c r="E38" i="1"/>
  <c r="E65" i="1"/>
  <c r="E113" i="1"/>
  <c r="DI188" i="1"/>
  <c r="DC188" i="1"/>
  <c r="CW188" i="1"/>
  <c r="CQ188" i="1"/>
  <c r="CK188" i="1"/>
  <c r="CE188" i="1"/>
  <c r="BY188" i="1"/>
  <c r="BS188" i="1"/>
  <c r="BM188" i="1"/>
  <c r="BG188" i="1"/>
  <c r="BA188" i="1"/>
  <c r="AU188" i="1"/>
  <c r="AO188" i="1"/>
  <c r="AI188" i="1"/>
  <c r="AC188" i="1"/>
  <c r="W188" i="1"/>
  <c r="Q188" i="1"/>
  <c r="K188" i="1"/>
  <c r="E188" i="1"/>
  <c r="P8" i="24"/>
  <c r="DI5" i="1"/>
  <c r="CK5" i="1"/>
  <c r="CK4" i="1"/>
  <c r="A30" i="27" l="1"/>
  <c r="A31" i="27" s="1"/>
  <c r="A32" i="27" s="1"/>
  <c r="A33" i="27" s="1"/>
  <c r="A34" i="27" s="1"/>
  <c r="A35" i="27" s="1"/>
  <c r="A36" i="27" s="1"/>
  <c r="A37" i="27" s="1"/>
  <c r="A38" i="27" s="1"/>
  <c r="A39" i="27" s="1"/>
  <c r="A41" i="27" s="1"/>
  <c r="A42" i="27" s="1"/>
  <c r="A43" i="27" s="1"/>
  <c r="A44" i="27" s="1"/>
  <c r="A45" i="27" s="1"/>
  <c r="A46" i="27" s="1"/>
  <c r="A47" i="27" s="1"/>
  <c r="A48" i="27" s="1"/>
  <c r="A49" i="27" s="1"/>
  <c r="A50" i="27" s="1"/>
  <c r="A51" i="27" s="1"/>
  <c r="A52" i="27" s="1"/>
  <c r="A54" i="27" s="1"/>
  <c r="A55" i="27" s="1"/>
  <c r="A56" i="27" s="1"/>
  <c r="A57" i="27" s="1"/>
  <c r="A58" i="27" s="1"/>
  <c r="A59" i="27" s="1"/>
  <c r="A60" i="27" s="1"/>
  <c r="A61" i="27" s="1"/>
  <c r="A62" i="27" s="1"/>
  <c r="A63" i="27" s="1"/>
  <c r="A64" i="27" s="1"/>
  <c r="A65" i="27" s="1"/>
  <c r="A66" i="27" s="1"/>
  <c r="A68" i="27" s="1"/>
  <c r="A69" i="27" s="1"/>
  <c r="A70" i="27" s="1"/>
  <c r="A71" i="27" s="1"/>
  <c r="A72" i="27" s="1"/>
  <c r="A73" i="27" s="1"/>
  <c r="A75" i="27" s="1"/>
  <c r="A76" i="27" s="1"/>
  <c r="A77" i="27" s="1"/>
  <c r="A78" i="27" s="1"/>
  <c r="A79" i="27" s="1"/>
  <c r="A81" i="27" s="1"/>
  <c r="A82" i="27" s="1"/>
  <c r="E17" i="27"/>
  <c r="F17" i="27" s="1"/>
  <c r="P9" i="24"/>
  <c r="E31" i="24" s="1"/>
  <c r="P10" i="24"/>
  <c r="P8" i="25" l="1"/>
  <c r="O8" i="25"/>
  <c r="D71" i="25"/>
  <c r="D70" i="25"/>
  <c r="D69" i="25"/>
  <c r="F30" i="25"/>
  <c r="D30" i="25"/>
  <c r="A9" i="25"/>
  <c r="A10" i="25" s="1"/>
  <c r="A11" i="25" s="1"/>
  <c r="A12" i="25" s="1"/>
  <c r="A14" i="25" s="1"/>
  <c r="A15" i="25" s="1"/>
  <c r="A16" i="25" s="1"/>
  <c r="A17" i="25" s="1"/>
  <c r="A18" i="25" s="1"/>
  <c r="A19" i="25" s="1"/>
  <c r="A20" i="25" s="1"/>
  <c r="A21" i="25" s="1"/>
  <c r="A22" i="25" s="1"/>
  <c r="A23" i="25" s="1"/>
  <c r="A24" i="25" s="1"/>
  <c r="A25" i="25" s="1"/>
  <c r="A26" i="25" s="1"/>
  <c r="A28" i="25" s="1"/>
  <c r="A29" i="25" s="1"/>
  <c r="A30" i="25" s="1"/>
  <c r="A31" i="25" s="1"/>
  <c r="A32" i="25" s="1"/>
  <c r="A33" i="25" s="1"/>
  <c r="A34" i="25" s="1"/>
  <c r="A35" i="25" s="1"/>
  <c r="A36" i="25" s="1"/>
  <c r="A37" i="25" s="1"/>
  <c r="A38" i="25" s="1"/>
  <c r="A39" i="25" s="1"/>
  <c r="A40" i="25" s="1"/>
  <c r="A42" i="25" s="1"/>
  <c r="A43" i="25" s="1"/>
  <c r="A44" i="25" s="1"/>
  <c r="A45" i="25" s="1"/>
  <c r="A46" i="25" s="1"/>
  <c r="A47" i="25" s="1"/>
  <c r="A48" i="25" s="1"/>
  <c r="A49" i="25" s="1"/>
  <c r="A50" i="25" s="1"/>
  <c r="A51" i="25" s="1"/>
  <c r="A52" i="25" s="1"/>
  <c r="A53" i="25" s="1"/>
  <c r="A54" i="25" s="1"/>
  <c r="A55" i="25" s="1"/>
  <c r="A56" i="25" s="1"/>
  <c r="A57" i="25" s="1"/>
  <c r="A58" i="25" s="1"/>
  <c r="O9" i="25" l="1"/>
  <c r="E16" i="25" s="1"/>
  <c r="E30" i="25" s="1"/>
  <c r="O10" i="25"/>
  <c r="D17" i="25" s="1"/>
  <c r="O20" i="25"/>
  <c r="P9" i="25"/>
  <c r="P10" i="25"/>
  <c r="P20" i="25"/>
  <c r="D31" i="25" l="1"/>
  <c r="E31" i="25" s="1"/>
  <c r="F31" i="25" s="1"/>
  <c r="E17" i="25"/>
  <c r="F17" i="25" s="1"/>
  <c r="A63" i="25" l="1"/>
  <c r="A64" i="25" s="1"/>
  <c r="A65" i="25" s="1"/>
  <c r="A66" i="25" s="1"/>
  <c r="A68" i="25" l="1"/>
  <c r="A69" i="25" s="1"/>
  <c r="A70" i="25" s="1"/>
  <c r="A71" i="25" s="1"/>
  <c r="A72" i="25" s="1"/>
  <c r="A73" i="25" s="1"/>
  <c r="P17" i="2" l="1"/>
  <c r="L28" i="12"/>
  <c r="A9" i="12"/>
  <c r="A10" i="12" s="1"/>
  <c r="A11" i="12" s="1"/>
  <c r="A12" i="12" s="1"/>
  <c r="A14" i="12" s="1"/>
  <c r="A15" i="12" s="1"/>
  <c r="A16" i="12" s="1"/>
  <c r="A17" i="12" s="1"/>
  <c r="A18" i="12" s="1"/>
  <c r="A19" i="12" s="1"/>
  <c r="A20" i="12" s="1"/>
  <c r="A21" i="12" s="1"/>
  <c r="A22" i="12" s="1"/>
  <c r="A23" i="12" s="1"/>
  <c r="A24" i="12" s="1"/>
  <c r="A25" i="12" s="1"/>
  <c r="A27" i="12" s="1"/>
  <c r="A28" i="12" s="1"/>
  <c r="A29" i="12" s="1"/>
  <c r="A30" i="12" s="1"/>
  <c r="A31" i="12" s="1"/>
  <c r="A32" i="12" s="1"/>
  <c r="A33" i="12" s="1"/>
  <c r="A34" i="12" s="1"/>
  <c r="A35" i="12" s="1"/>
  <c r="A36" i="12" s="1"/>
  <c r="A37" i="12" s="1"/>
  <c r="A38" i="12" s="1"/>
  <c r="A40" i="12" s="1"/>
  <c r="A41" i="12" s="1"/>
  <c r="A42" i="12" s="1"/>
  <c r="A43" i="12" s="1"/>
  <c r="A44" i="12" s="1"/>
  <c r="A45" i="12" s="1"/>
  <c r="A46" i="12" s="1"/>
  <c r="A47" i="12" s="1"/>
  <c r="A48" i="12" s="1"/>
  <c r="A49" i="12" s="1"/>
  <c r="A50" i="12" s="1"/>
  <c r="A51" i="12" s="1"/>
  <c r="A53" i="12" s="1"/>
  <c r="A54" i="12" s="1"/>
  <c r="A55" i="12" s="1"/>
  <c r="A56" i="12" s="1"/>
  <c r="A57" i="12" s="1"/>
  <c r="A58" i="12" s="1"/>
  <c r="A59" i="12" s="1"/>
  <c r="A60" i="12" s="1"/>
  <c r="A61" i="12" s="1"/>
  <c r="A62" i="12" s="1"/>
  <c r="A63" i="12" s="1"/>
  <c r="A65" i="12" s="1"/>
  <c r="A66" i="12" s="1"/>
  <c r="A67" i="12" s="1"/>
  <c r="A68" i="12" s="1"/>
  <c r="A69" i="12" s="1"/>
  <c r="A70" i="12" s="1"/>
  <c r="A71" i="12" s="1"/>
  <c r="A72" i="12" s="1"/>
  <c r="A73" i="12" s="1"/>
  <c r="A74" i="12" s="1"/>
  <c r="A75" i="12" s="1"/>
  <c r="A76" i="12" s="1"/>
  <c r="A78" i="12" s="1"/>
  <c r="A79" i="12" s="1"/>
  <c r="A80" i="12" s="1"/>
  <c r="A82" i="12" s="1"/>
  <c r="A83" i="12" s="1"/>
  <c r="A84" i="12" s="1"/>
  <c r="A85" i="12" s="1"/>
  <c r="A86" i="12" s="1"/>
  <c r="A87" i="12" s="1"/>
  <c r="A89" i="12" s="1"/>
  <c r="A90" i="12" s="1"/>
  <c r="A91" i="12" s="1"/>
  <c r="A92" i="12" s="1"/>
  <c r="A93" i="12" s="1"/>
  <c r="A94" i="12" s="1"/>
  <c r="A96" i="12" s="1"/>
  <c r="A97" i="12" s="1"/>
  <c r="A98" i="12" s="1"/>
  <c r="A99" i="12" s="1"/>
  <c r="A100" i="12" s="1"/>
  <c r="A101" i="12" s="1"/>
  <c r="A102" i="12" s="1"/>
  <c r="A103" i="12" s="1"/>
  <c r="L17" i="2" l="1"/>
  <c r="G17" i="2" l="1"/>
  <c r="D66" i="24" l="1"/>
  <c r="D65" i="24"/>
  <c r="D64" i="24"/>
  <c r="F54" i="24"/>
  <c r="E54" i="24"/>
  <c r="D54" i="24"/>
  <c r="F53" i="24"/>
  <c r="E53" i="24"/>
  <c r="D53" i="24"/>
  <c r="F52" i="24"/>
  <c r="E52" i="24"/>
  <c r="D52" i="24"/>
  <c r="F51" i="24"/>
  <c r="E51" i="24"/>
  <c r="D51" i="24"/>
  <c r="F50" i="24"/>
  <c r="E50" i="24"/>
  <c r="D50" i="24"/>
  <c r="P8" i="22"/>
  <c r="O8" i="22"/>
  <c r="Q8" i="23"/>
  <c r="P8" i="23"/>
  <c r="O8" i="23"/>
  <c r="Q8" i="24"/>
  <c r="O8" i="24"/>
  <c r="O9" i="24" s="1"/>
  <c r="M31" i="24"/>
  <c r="E19" i="24"/>
  <c r="A12" i="24"/>
  <c r="A13" i="24" s="1"/>
  <c r="A14" i="24" s="1"/>
  <c r="A16" i="24" s="1"/>
  <c r="A17" i="24" s="1"/>
  <c r="A18" i="24" s="1"/>
  <c r="A19" i="24" s="1"/>
  <c r="A20" i="24" s="1"/>
  <c r="A21" i="24" s="1"/>
  <c r="A22" i="24" s="1"/>
  <c r="A23" i="24" s="1"/>
  <c r="A24" i="24" s="1"/>
  <c r="A25" i="24" s="1"/>
  <c r="A26" i="24" s="1"/>
  <c r="A27" i="24" s="1"/>
  <c r="A28" i="24" s="1"/>
  <c r="A30" i="24" s="1"/>
  <c r="A31" i="24" s="1"/>
  <c r="A32" i="24" s="1"/>
  <c r="A33" i="24" s="1"/>
  <c r="A34" i="24" s="1"/>
  <c r="A35" i="24" s="1"/>
  <c r="A36" i="24" s="1"/>
  <c r="A37" i="24" s="1"/>
  <c r="A38" i="24" s="1"/>
  <c r="A39" i="24" s="1"/>
  <c r="A40" i="24" s="1"/>
  <c r="A41" i="24" s="1"/>
  <c r="A43" i="24" s="1"/>
  <c r="A44" i="24" s="1"/>
  <c r="A45" i="24" s="1"/>
  <c r="A46" i="24" s="1"/>
  <c r="A47" i="24" s="1"/>
  <c r="A49" i="24" s="1"/>
  <c r="A50" i="24" s="1"/>
  <c r="A51" i="24" s="1"/>
  <c r="A52" i="24" s="1"/>
  <c r="A53" i="24" s="1"/>
  <c r="A54" i="24" s="1"/>
  <c r="A56" i="24" s="1"/>
  <c r="A57" i="24" s="1"/>
  <c r="A58" i="24" s="1"/>
  <c r="A59" i="24" s="1"/>
  <c r="A60" i="24" s="1"/>
  <c r="A61" i="24" s="1"/>
  <c r="A63" i="24" s="1"/>
  <c r="A64" i="24" s="1"/>
  <c r="A65" i="24" s="1"/>
  <c r="A66" i="24" s="1"/>
  <c r="A67" i="24" s="1"/>
  <c r="A68" i="24" s="1"/>
  <c r="A70" i="24" s="1"/>
  <c r="A11" i="24"/>
  <c r="A10" i="24"/>
  <c r="A9" i="24"/>
  <c r="Q10" i="24" l="1"/>
  <c r="E33" i="24" s="1"/>
  <c r="E18" i="24"/>
  <c r="Q9" i="24"/>
  <c r="A72" i="24"/>
  <c r="A73" i="24" s="1"/>
  <c r="A74" i="24" s="1"/>
  <c r="A75" i="24" s="1"/>
  <c r="A76" i="24" s="1"/>
  <c r="A77" i="24" s="1"/>
  <c r="A78" i="24" s="1"/>
  <c r="A79" i="24" s="1"/>
  <c r="A80" i="24" s="1"/>
  <c r="A81" i="24" s="1"/>
  <c r="A82" i="24" s="1"/>
  <c r="A71" i="24"/>
  <c r="F53" i="23" l="1"/>
  <c r="E53" i="23"/>
  <c r="D53" i="23"/>
  <c r="F52" i="23"/>
  <c r="E52" i="23"/>
  <c r="D52" i="23"/>
  <c r="D68" i="23"/>
  <c r="D67" i="23"/>
  <c r="D66" i="23"/>
  <c r="D68" i="22"/>
  <c r="D67" i="22"/>
  <c r="D66" i="22"/>
  <c r="F56" i="22"/>
  <c r="E56" i="22"/>
  <c r="D56" i="22"/>
  <c r="F55" i="22"/>
  <c r="E55" i="22"/>
  <c r="D55" i="22"/>
  <c r="F54" i="22"/>
  <c r="E54" i="22"/>
  <c r="D54" i="22"/>
  <c r="F53" i="22"/>
  <c r="E53" i="22"/>
  <c r="D53" i="22"/>
  <c r="F52" i="22"/>
  <c r="E52" i="22"/>
  <c r="D52" i="22"/>
  <c r="A10" i="23"/>
  <c r="A9" i="23"/>
  <c r="A11" i="23" s="1"/>
  <c r="A12" i="23" s="1"/>
  <c r="A13" i="23" s="1"/>
  <c r="A14" i="23" s="1"/>
  <c r="A16" i="23" s="1"/>
  <c r="A17" i="23" s="1"/>
  <c r="A18" i="23" s="1"/>
  <c r="A19" i="23" s="1"/>
  <c r="A20" i="23" s="1"/>
  <c r="A21" i="23" s="1"/>
  <c r="A22" i="23" s="1"/>
  <c r="A23" i="23" s="1"/>
  <c r="A24" i="23" s="1"/>
  <c r="A25" i="23" s="1"/>
  <c r="A26" i="23" s="1"/>
  <c r="A27" i="23" s="1"/>
  <c r="A28" i="23" s="1"/>
  <c r="A30" i="23" s="1"/>
  <c r="A31" i="23" s="1"/>
  <c r="A32" i="23" s="1"/>
  <c r="A33" i="23" s="1"/>
  <c r="A34" i="23" s="1"/>
  <c r="A35" i="23" s="1"/>
  <c r="A36" i="23" s="1"/>
  <c r="A37" i="23" s="1"/>
  <c r="A38" i="23" s="1"/>
  <c r="A39" i="23" s="1"/>
  <c r="A40" i="23" s="1"/>
  <c r="A41" i="23" s="1"/>
  <c r="A42" i="23" s="1"/>
  <c r="A44" i="23" s="1"/>
  <c r="A45" i="23" s="1"/>
  <c r="A46" i="23" s="1"/>
  <c r="A47" i="23" s="1"/>
  <c r="A48" i="23" s="1"/>
  <c r="A49" i="23" s="1"/>
  <c r="A51" i="23" s="1"/>
  <c r="A52" i="23" s="1"/>
  <c r="A53" i="23" s="1"/>
  <c r="A54" i="23" s="1"/>
  <c r="A55" i="23" s="1"/>
  <c r="A56" i="23" s="1"/>
  <c r="A58" i="23" s="1"/>
  <c r="A59" i="23" s="1"/>
  <c r="A60" i="23" s="1"/>
  <c r="A61" i="23" s="1"/>
  <c r="A62" i="23" s="1"/>
  <c r="A63" i="23" s="1"/>
  <c r="A65" i="23" s="1"/>
  <c r="A66" i="23" s="1"/>
  <c r="A67" i="23" s="1"/>
  <c r="A68" i="23" s="1"/>
  <c r="A69" i="23" s="1"/>
  <c r="A70" i="23" s="1"/>
  <c r="A72" i="23" s="1"/>
  <c r="A73" i="23" s="1"/>
  <c r="A74" i="23" s="1"/>
  <c r="A75" i="23" s="1"/>
  <c r="A76" i="23" s="1"/>
  <c r="A77" i="23" s="1"/>
  <c r="A78" i="23" s="1"/>
  <c r="A79" i="23" s="1"/>
  <c r="A80" i="23" s="1"/>
  <c r="A81" i="23" s="1"/>
  <c r="A82" i="23" s="1"/>
  <c r="A83" i="23" s="1"/>
  <c r="A84" i="23" s="1"/>
  <c r="O11" i="23" l="1"/>
  <c r="D19" i="23" s="1"/>
  <c r="E19" i="23" s="1"/>
  <c r="Q10" i="23"/>
  <c r="D33" i="23" s="1"/>
  <c r="P11" i="23"/>
  <c r="E32" i="23" s="1"/>
  <c r="O9" i="23"/>
  <c r="D18" i="23" s="1"/>
  <c r="Q11" i="23"/>
  <c r="P9" i="23"/>
  <c r="E31" i="23" s="1"/>
  <c r="Q9" i="23"/>
  <c r="O10" i="23"/>
  <c r="P10" i="23"/>
  <c r="D32" i="23" l="1"/>
  <c r="F32" i="23"/>
  <c r="A10" i="22" l="1"/>
  <c r="A9" i="22"/>
  <c r="A11" i="22" s="1"/>
  <c r="A12" i="22" s="1"/>
  <c r="A13" i="22" s="1"/>
  <c r="A14" i="22" s="1"/>
  <c r="A16" i="22" s="1"/>
  <c r="A17" i="22" s="1"/>
  <c r="A18" i="22" s="1"/>
  <c r="A19" i="22" s="1"/>
  <c r="A20" i="22" s="1"/>
  <c r="A21" i="22" s="1"/>
  <c r="A22" i="22" s="1"/>
  <c r="A23" i="22" s="1"/>
  <c r="A24" i="22" s="1"/>
  <c r="A25" i="22" s="1"/>
  <c r="A26" i="22" s="1"/>
  <c r="A27" i="22" s="1"/>
  <c r="A28" i="22" s="1"/>
  <c r="A30" i="22" s="1"/>
  <c r="A31" i="22" s="1"/>
  <c r="A32" i="22" s="1"/>
  <c r="A33" i="22" s="1"/>
  <c r="A34" i="22" s="1"/>
  <c r="A35" i="22" s="1"/>
  <c r="A36" i="22" s="1"/>
  <c r="A37" i="22" s="1"/>
  <c r="A38" i="22" s="1"/>
  <c r="A39" i="22" s="1"/>
  <c r="A40" i="22" s="1"/>
  <c r="A41" i="22" s="1"/>
  <c r="A42" i="22" s="1"/>
  <c r="A44" i="22" s="1"/>
  <c r="A45" i="22" s="1"/>
  <c r="A46" i="22" s="1"/>
  <c r="A47" i="22" s="1"/>
  <c r="A48" i="22" s="1"/>
  <c r="A49" i="22" s="1"/>
  <c r="A51" i="22" s="1"/>
  <c r="A52" i="22" s="1"/>
  <c r="A53" i="22" s="1"/>
  <c r="A54" i="22" s="1"/>
  <c r="A55" i="22" s="1"/>
  <c r="A56" i="22" s="1"/>
  <c r="A58" i="22" s="1"/>
  <c r="A59" i="22" s="1"/>
  <c r="A60" i="22" s="1"/>
  <c r="A61" i="22" s="1"/>
  <c r="A62" i="22" s="1"/>
  <c r="A63" i="22" s="1"/>
  <c r="A65" i="22" s="1"/>
  <c r="A66" i="22" s="1"/>
  <c r="A67" i="22" s="1"/>
  <c r="A68" i="22" s="1"/>
  <c r="A69" i="22" s="1"/>
  <c r="A70" i="22" s="1"/>
  <c r="A72" i="22" s="1"/>
  <c r="A73" i="22" s="1"/>
  <c r="A74" i="22" s="1"/>
  <c r="A75" i="22" s="1"/>
  <c r="A76" i="22" s="1"/>
  <c r="A77" i="22" s="1"/>
  <c r="A78" i="22" s="1"/>
  <c r="A79" i="22" s="1"/>
  <c r="A80" i="22" s="1"/>
  <c r="A81" i="22" s="1"/>
  <c r="A82" i="22" s="1"/>
  <c r="A83" i="22" s="1"/>
  <c r="A84" i="22" s="1"/>
  <c r="P9" i="22" l="1"/>
  <c r="E31" i="22" s="1"/>
  <c r="P10" i="22"/>
  <c r="E32" i="22" s="1"/>
  <c r="F32" i="22" l="1"/>
  <c r="D32" i="22"/>
  <c r="C27" i="3" l="1"/>
  <c r="C26" i="3"/>
  <c r="D66" i="21" l="1"/>
  <c r="D65" i="21"/>
  <c r="D64" i="21"/>
  <c r="D65" i="18"/>
  <c r="D64" i="18"/>
  <c r="D63" i="18"/>
  <c r="D67" i="17"/>
  <c r="D66" i="17"/>
  <c r="D65" i="17"/>
  <c r="D67" i="13"/>
  <c r="D66" i="13"/>
  <c r="D65" i="13"/>
  <c r="DJ168" i="1" l="1"/>
  <c r="DJ165" i="1"/>
  <c r="DJ161" i="1"/>
  <c r="DK157" i="1"/>
  <c r="DJ157" i="1" s="1"/>
  <c r="DJ153" i="1"/>
  <c r="DK143" i="1"/>
  <c r="DI137" i="1"/>
  <c r="DI127" i="1"/>
  <c r="DK119" i="1"/>
  <c r="DI113" i="1"/>
  <c r="DD168" i="1"/>
  <c r="DD165" i="1"/>
  <c r="DD161" i="1"/>
  <c r="DE157" i="1"/>
  <c r="DD157" i="1" s="1"/>
  <c r="DD153" i="1"/>
  <c r="DE143" i="1"/>
  <c r="DC137" i="1"/>
  <c r="DC127" i="1"/>
  <c r="DE119" i="1"/>
  <c r="DC113" i="1"/>
  <c r="CX169" i="1"/>
  <c r="CX166" i="1"/>
  <c r="CX162" i="1"/>
  <c r="CY158" i="1"/>
  <c r="CX158" i="1" s="1"/>
  <c r="CX154" i="1"/>
  <c r="CY144" i="1"/>
  <c r="CY140" i="1"/>
  <c r="CY148" i="1" s="1"/>
  <c r="CX148" i="1" s="1"/>
  <c r="CW138" i="1"/>
  <c r="CW128" i="1"/>
  <c r="CY120" i="1"/>
  <c r="CW114" i="1"/>
  <c r="CR168" i="1"/>
  <c r="CR165" i="1"/>
  <c r="CR161" i="1"/>
  <c r="CS157" i="1"/>
  <c r="CR157" i="1" s="1"/>
  <c r="CR153" i="1"/>
  <c r="CS143" i="1"/>
  <c r="CQ137" i="1"/>
  <c r="CQ127" i="1"/>
  <c r="CS119" i="1"/>
  <c r="CQ113" i="1"/>
  <c r="CL168" i="1"/>
  <c r="CL165" i="1"/>
  <c r="CL161" i="1"/>
  <c r="CM157" i="1"/>
  <c r="CL157" i="1" s="1"/>
  <c r="CL153" i="1"/>
  <c r="CM143" i="1"/>
  <c r="CK137" i="1"/>
  <c r="CK127" i="1"/>
  <c r="CM119" i="1"/>
  <c r="CK113" i="1"/>
  <c r="CF168" i="1"/>
  <c r="CF165" i="1"/>
  <c r="CF161" i="1"/>
  <c r="CG157" i="1"/>
  <c r="CF157" i="1" s="1"/>
  <c r="CF153" i="1"/>
  <c r="CG143" i="1"/>
  <c r="CE137" i="1"/>
  <c r="CE127" i="1"/>
  <c r="CG119" i="1"/>
  <c r="CE113" i="1"/>
  <c r="BZ168" i="1"/>
  <c r="BZ165" i="1"/>
  <c r="BZ161" i="1"/>
  <c r="CA157" i="1"/>
  <c r="BZ157" i="1" s="1"/>
  <c r="BZ153" i="1"/>
  <c r="CA143" i="1"/>
  <c r="BY137" i="1"/>
  <c r="CA133" i="1"/>
  <c r="BY127" i="1"/>
  <c r="CA119" i="1"/>
  <c r="BY113" i="1"/>
  <c r="BT168" i="1"/>
  <c r="BT165" i="1"/>
  <c r="BT161" i="1"/>
  <c r="BU157" i="1"/>
  <c r="BT157" i="1" s="1"/>
  <c r="BT153" i="1"/>
  <c r="BU143" i="1"/>
  <c r="BS137" i="1"/>
  <c r="BS127" i="1"/>
  <c r="BU133" i="1" s="1"/>
  <c r="BU119" i="1"/>
  <c r="BS113" i="1"/>
  <c r="BN168" i="1"/>
  <c r="BN165" i="1"/>
  <c r="BN161" i="1"/>
  <c r="BO157" i="1"/>
  <c r="BN157" i="1" s="1"/>
  <c r="BN153" i="1"/>
  <c r="BO143" i="1"/>
  <c r="BM137" i="1"/>
  <c r="BM127" i="1"/>
  <c r="BO119" i="1"/>
  <c r="BM113" i="1"/>
  <c r="BH168" i="1"/>
  <c r="BH165" i="1"/>
  <c r="BH161" i="1"/>
  <c r="BI157" i="1"/>
  <c r="BH157" i="1" s="1"/>
  <c r="BH153" i="1"/>
  <c r="BI143" i="1"/>
  <c r="BG137" i="1"/>
  <c r="BG127" i="1"/>
  <c r="BI119" i="1"/>
  <c r="BG113" i="1"/>
  <c r="BB168" i="1"/>
  <c r="BB165" i="1"/>
  <c r="BB161" i="1"/>
  <c r="BC157" i="1"/>
  <c r="BB157" i="1" s="1"/>
  <c r="BB153" i="1"/>
  <c r="BC143" i="1"/>
  <c r="BA137" i="1"/>
  <c r="BA127" i="1"/>
  <c r="BC119" i="1"/>
  <c r="BA113" i="1"/>
  <c r="AV168" i="1"/>
  <c r="AV165" i="1"/>
  <c r="AV161" i="1"/>
  <c r="AW157" i="1"/>
  <c r="AV157" i="1" s="1"/>
  <c r="AV153" i="1"/>
  <c r="AW143" i="1"/>
  <c r="AU137" i="1"/>
  <c r="AU127" i="1"/>
  <c r="AW133" i="1" s="1"/>
  <c r="AW119" i="1"/>
  <c r="AU113" i="1"/>
  <c r="AP168" i="1"/>
  <c r="AP165" i="1"/>
  <c r="AP161" i="1"/>
  <c r="AQ157" i="1"/>
  <c r="AP157" i="1" s="1"/>
  <c r="AP153" i="1"/>
  <c r="AQ143" i="1"/>
  <c r="AO137" i="1"/>
  <c r="AO127" i="1"/>
  <c r="AQ119" i="1"/>
  <c r="AO113" i="1"/>
  <c r="AJ168" i="1"/>
  <c r="AJ165" i="1"/>
  <c r="AJ161" i="1"/>
  <c r="AK157" i="1"/>
  <c r="AJ157" i="1" s="1"/>
  <c r="AJ153" i="1"/>
  <c r="AK143" i="1"/>
  <c r="AI137" i="1"/>
  <c r="AI127" i="1"/>
  <c r="AK133" i="1" s="1"/>
  <c r="AK119" i="1"/>
  <c r="AI113" i="1"/>
  <c r="AD168" i="1"/>
  <c r="AD165" i="1"/>
  <c r="AD161" i="1"/>
  <c r="AE157" i="1"/>
  <c r="AD157" i="1" s="1"/>
  <c r="AD153" i="1"/>
  <c r="AE143" i="1"/>
  <c r="AC137" i="1"/>
  <c r="AC127" i="1"/>
  <c r="AE133" i="1" s="1"/>
  <c r="AE119" i="1"/>
  <c r="AC113" i="1"/>
  <c r="X168" i="1"/>
  <c r="X165" i="1"/>
  <c r="X161" i="1"/>
  <c r="Y157" i="1"/>
  <c r="X157" i="1" s="1"/>
  <c r="X153" i="1"/>
  <c r="Y143" i="1"/>
  <c r="W137" i="1"/>
  <c r="W127" i="1"/>
  <c r="Y133" i="1" s="1"/>
  <c r="Y119" i="1"/>
  <c r="W113" i="1"/>
  <c r="R168" i="1"/>
  <c r="R165" i="1"/>
  <c r="R161" i="1"/>
  <c r="S157" i="1"/>
  <c r="R157" i="1" s="1"/>
  <c r="R153" i="1"/>
  <c r="S143" i="1"/>
  <c r="Q137" i="1"/>
  <c r="Q127" i="1"/>
  <c r="S119" i="1"/>
  <c r="Q113" i="1"/>
  <c r="L168" i="1"/>
  <c r="L165" i="1"/>
  <c r="L161" i="1"/>
  <c r="M157" i="1"/>
  <c r="L157" i="1" s="1"/>
  <c r="L153" i="1"/>
  <c r="M143" i="1"/>
  <c r="K137" i="1"/>
  <c r="K127" i="1"/>
  <c r="M119" i="1"/>
  <c r="K113" i="1"/>
  <c r="E137" i="1"/>
  <c r="E127" i="1"/>
  <c r="DK133" i="1" l="1"/>
  <c r="DE133" i="1"/>
  <c r="CX140" i="1"/>
  <c r="CY130" i="1"/>
  <c r="CX130" i="1" s="1"/>
  <c r="CY134" i="1"/>
  <c r="CY145" i="1"/>
  <c r="CX145" i="1" s="1"/>
  <c r="CS133" i="1"/>
  <c r="CM133" i="1"/>
  <c r="CG133" i="1"/>
  <c r="BO133" i="1"/>
  <c r="BI133" i="1"/>
  <c r="BC133" i="1"/>
  <c r="AQ133" i="1"/>
  <c r="S133" i="1"/>
  <c r="M133" i="1"/>
  <c r="G157" i="1"/>
  <c r="F157" i="1" s="1"/>
  <c r="F168" i="1"/>
  <c r="F165" i="1"/>
  <c r="F161" i="1"/>
  <c r="F153" i="1"/>
  <c r="G143" i="1"/>
  <c r="G133" i="1"/>
  <c r="G119" i="1"/>
  <c r="CY135" i="1" l="1"/>
  <c r="CX135" i="1" s="1"/>
  <c r="A36" i="21"/>
  <c r="A9" i="21"/>
  <c r="A10" i="21" s="1"/>
  <c r="A11" i="21" s="1"/>
  <c r="A12" i="21" s="1"/>
  <c r="A13" i="21" s="1"/>
  <c r="A15" i="21" s="1"/>
  <c r="A16" i="21" s="1"/>
  <c r="A17" i="21" s="1"/>
  <c r="A18" i="21" s="1"/>
  <c r="A19" i="21" s="1"/>
  <c r="A20" i="21" s="1"/>
  <c r="A21" i="21" s="1"/>
  <c r="A22" i="21" s="1"/>
  <c r="A23" i="21" s="1"/>
  <c r="A24" i="21" s="1"/>
  <c r="A25" i="21" s="1"/>
  <c r="A26" i="21" s="1"/>
  <c r="A27" i="21" s="1"/>
  <c r="A29" i="21" s="1"/>
  <c r="A30" i="21" s="1"/>
  <c r="A31" i="21" s="1"/>
  <c r="A32" i="21" s="1"/>
  <c r="A33" i="21" s="1"/>
  <c r="A34" i="21" s="1"/>
  <c r="A35" i="21" s="1"/>
  <c r="Q8" i="21"/>
  <c r="P8" i="21"/>
  <c r="O8" i="21"/>
  <c r="A15" i="18"/>
  <c r="A13" i="18"/>
  <c r="Q8" i="17"/>
  <c r="A33" i="17"/>
  <c r="A31" i="17"/>
  <c r="A32" i="17" s="1"/>
  <c r="A15" i="17"/>
  <c r="A13" i="17"/>
  <c r="A15" i="13"/>
  <c r="A13" i="13"/>
  <c r="W7" i="3"/>
  <c r="CE65" i="1"/>
  <c r="CE32" i="1"/>
  <c r="CE30" i="1"/>
  <c r="CE6" i="1"/>
  <c r="CE14" i="1" s="1"/>
  <c r="W4" i="1"/>
  <c r="O9" i="22" s="1"/>
  <c r="E18" i="22" s="1"/>
  <c r="Q9" i="17" l="1"/>
  <c r="Q10" i="17"/>
  <c r="A37" i="21"/>
  <c r="A38" i="21" s="1"/>
  <c r="A39" i="21" s="1"/>
  <c r="A40" i="21" s="1"/>
  <c r="A42" i="21" s="1"/>
  <c r="A43" i="21" s="1"/>
  <c r="A44" i="21" s="1"/>
  <c r="A45" i="21" s="1"/>
  <c r="A46" i="21" s="1"/>
  <c r="A47" i="21" s="1"/>
  <c r="A49" i="21" s="1"/>
  <c r="A50" i="21" s="1"/>
  <c r="A51" i="21" s="1"/>
  <c r="A52" i="21" s="1"/>
  <c r="A53" i="21" s="1"/>
  <c r="A54" i="21" s="1"/>
  <c r="A56" i="21" s="1"/>
  <c r="A57" i="21" s="1"/>
  <c r="A58" i="21" s="1"/>
  <c r="A59" i="21" s="1"/>
  <c r="A60" i="21" s="1"/>
  <c r="A61" i="21" s="1"/>
  <c r="A63" i="21" s="1"/>
  <c r="A64" i="21" s="1"/>
  <c r="A65" i="21" s="1"/>
  <c r="A66" i="21" s="1"/>
  <c r="A67" i="21" s="1"/>
  <c r="A68" i="21" s="1"/>
  <c r="A70" i="21" s="1"/>
  <c r="A71" i="21" s="1"/>
  <c r="A72" i="21" s="1"/>
  <c r="A73" i="21" s="1"/>
  <c r="A74" i="21" s="1"/>
  <c r="A75" i="21" s="1"/>
  <c r="A76" i="21" s="1"/>
  <c r="A77" i="21" s="1"/>
  <c r="A78" i="21" s="1"/>
  <c r="A79" i="21" s="1"/>
  <c r="A80" i="21" s="1"/>
  <c r="A81" i="21" s="1"/>
  <c r="P9" i="21"/>
  <c r="P14" i="21"/>
  <c r="Q17" i="21"/>
  <c r="Q9" i="21"/>
  <c r="Q11" i="21"/>
  <c r="Q14" i="21"/>
  <c r="P16" i="21"/>
  <c r="O10" i="21"/>
  <c r="E18" i="21" s="1"/>
  <c r="Q16" i="21"/>
  <c r="P10" i="21"/>
  <c r="P12" i="21"/>
  <c r="P15" i="21"/>
  <c r="Q10" i="21"/>
  <c r="Q12" i="21"/>
  <c r="Q15" i="21"/>
  <c r="P18" i="21"/>
  <c r="P20" i="21"/>
  <c r="P11" i="21"/>
  <c r="Q18" i="21"/>
  <c r="Q20" i="21"/>
  <c r="O9" i="21"/>
  <c r="E17" i="21" s="1"/>
  <c r="P17" i="21"/>
  <c r="W8" i="3"/>
  <c r="W9" i="3"/>
  <c r="CE38" i="1"/>
  <c r="E75" i="17" l="1"/>
  <c r="E32" i="17"/>
  <c r="F31" i="21"/>
  <c r="F32" i="17" l="1"/>
  <c r="D32" i="17"/>
  <c r="F32" i="21"/>
  <c r="A11" i="17" l="1"/>
  <c r="A12" i="17" s="1"/>
  <c r="A9" i="18"/>
  <c r="A10" i="18" s="1"/>
  <c r="A11" i="18" s="1"/>
  <c r="A12" i="18" s="1"/>
  <c r="P8" i="18"/>
  <c r="O8" i="18"/>
  <c r="A9" i="17"/>
  <c r="A10" i="17" s="1"/>
  <c r="P8" i="17"/>
  <c r="O8" i="17"/>
  <c r="A9" i="13"/>
  <c r="A10" i="13" s="1"/>
  <c r="A11" i="13" s="1"/>
  <c r="A12" i="13" s="1"/>
  <c r="A16" i="18" l="1"/>
  <c r="A17" i="18" s="1"/>
  <c r="A18" i="18" s="1"/>
  <c r="A19" i="18" s="1"/>
  <c r="A20" i="18" s="1"/>
  <c r="A21" i="18" s="1"/>
  <c r="A22" i="18" s="1"/>
  <c r="A23" i="18" s="1"/>
  <c r="A24" i="18" s="1"/>
  <c r="A25" i="18" s="1"/>
  <c r="A26" i="18" s="1"/>
  <c r="A27" i="18" s="1"/>
  <c r="A29" i="18" s="1"/>
  <c r="A30" i="18" s="1"/>
  <c r="A16" i="13"/>
  <c r="A17" i="13" s="1"/>
  <c r="A18" i="13" s="1"/>
  <c r="A19" i="13" s="1"/>
  <c r="A20" i="13" s="1"/>
  <c r="A21" i="13" s="1"/>
  <c r="A22" i="13" s="1"/>
  <c r="A23" i="13" s="1"/>
  <c r="A24" i="13" s="1"/>
  <c r="A25" i="13" s="1"/>
  <c r="A26" i="13" s="1"/>
  <c r="A27" i="13" s="1"/>
  <c r="A29" i="13" s="1"/>
  <c r="A30" i="13" s="1"/>
  <c r="A31" i="13" s="1"/>
  <c r="A16" i="17"/>
  <c r="A17" i="17" s="1"/>
  <c r="A18" i="17" s="1"/>
  <c r="A19" i="17" s="1"/>
  <c r="A20" i="17" s="1"/>
  <c r="A21" i="17" s="1"/>
  <c r="A22" i="17" s="1"/>
  <c r="A23" i="17" s="1"/>
  <c r="A24" i="17" s="1"/>
  <c r="A25" i="17" s="1"/>
  <c r="A26" i="17" s="1"/>
  <c r="A27" i="17" s="1"/>
  <c r="A29" i="17" s="1"/>
  <c r="A30" i="17" s="1"/>
  <c r="A34" i="17" s="1"/>
  <c r="A35" i="17" s="1"/>
  <c r="A36" i="17" s="1"/>
  <c r="A37" i="17" s="1"/>
  <c r="A38" i="17" s="1"/>
  <c r="A39" i="17" s="1"/>
  <c r="A40" i="17" s="1"/>
  <c r="A41" i="17" s="1"/>
  <c r="A43" i="17" s="1"/>
  <c r="A44" i="17" s="1"/>
  <c r="P10" i="18"/>
  <c r="E32" i="18" s="1"/>
  <c r="O9" i="18"/>
  <c r="E17" i="18" s="1"/>
  <c r="P9" i="18"/>
  <c r="E30" i="18" s="1"/>
  <c r="P9" i="17"/>
  <c r="E30" i="17" s="1"/>
  <c r="O9" i="17"/>
  <c r="E17" i="17" s="1"/>
  <c r="O10" i="17"/>
  <c r="D18" i="17" s="1"/>
  <c r="E18" i="17" s="1"/>
  <c r="P10" i="17"/>
  <c r="E31" i="17" s="1"/>
  <c r="P8" i="13"/>
  <c r="O8" i="13"/>
  <c r="AC65" i="1"/>
  <c r="AC32" i="1"/>
  <c r="AC30" i="1"/>
  <c r="AC6" i="1"/>
  <c r="AC14" i="1" s="1"/>
  <c r="A45" i="17" l="1"/>
  <c r="A46" i="17" s="1"/>
  <c r="A47" i="17" s="1"/>
  <c r="A48" i="17" s="1"/>
  <c r="A50" i="17" s="1"/>
  <c r="A51" i="17" s="1"/>
  <c r="A52" i="17" s="1"/>
  <c r="A53" i="17" s="1"/>
  <c r="A54" i="17" s="1"/>
  <c r="A55" i="17" s="1"/>
  <c r="A57" i="17" s="1"/>
  <c r="A58" i="17" s="1"/>
  <c r="A59" i="17" s="1"/>
  <c r="A60" i="17" s="1"/>
  <c r="A61" i="17" s="1"/>
  <c r="A62" i="17" s="1"/>
  <c r="A64" i="17" s="1"/>
  <c r="A65" i="17" s="1"/>
  <c r="A66" i="17" s="1"/>
  <c r="A67" i="17" s="1"/>
  <c r="A68" i="17" s="1"/>
  <c r="A69" i="17" s="1"/>
  <c r="A71" i="17" s="1"/>
  <c r="A72" i="17" s="1"/>
  <c r="A73" i="17" s="1"/>
  <c r="A74" i="17" s="1"/>
  <c r="A75" i="17" s="1"/>
  <c r="A76" i="17" s="1"/>
  <c r="A77" i="17" s="1"/>
  <c r="A78" i="17" s="1"/>
  <c r="A79" i="17" s="1"/>
  <c r="A80" i="17" s="1"/>
  <c r="A81" i="17" s="1"/>
  <c r="A82" i="17" s="1"/>
  <c r="A32" i="13"/>
  <c r="A33" i="13" s="1"/>
  <c r="A34" i="13" s="1"/>
  <c r="A35" i="13" s="1"/>
  <c r="A36" i="13" s="1"/>
  <c r="A37" i="13" s="1"/>
  <c r="A38" i="13" s="1"/>
  <c r="A39" i="13" s="1"/>
  <c r="A40" i="13" s="1"/>
  <c r="A41" i="13" s="1"/>
  <c r="A43" i="13" s="1"/>
  <c r="A44" i="13" s="1"/>
  <c r="A45" i="13" s="1"/>
  <c r="A46" i="13" s="1"/>
  <c r="A47" i="13" s="1"/>
  <c r="A48" i="13" s="1"/>
  <c r="A50" i="13" s="1"/>
  <c r="A51" i="13" s="1"/>
  <c r="A52" i="13" s="1"/>
  <c r="A53" i="13" s="1"/>
  <c r="A54" i="13" s="1"/>
  <c r="A55" i="13" s="1"/>
  <c r="A57" i="13" s="1"/>
  <c r="A58" i="13" s="1"/>
  <c r="A59" i="13" s="1"/>
  <c r="A60" i="13" s="1"/>
  <c r="A61" i="13" s="1"/>
  <c r="A62" i="13" s="1"/>
  <c r="A64" i="13" s="1"/>
  <c r="A65" i="13" s="1"/>
  <c r="A66" i="13" s="1"/>
  <c r="A67" i="13" s="1"/>
  <c r="A68" i="13" s="1"/>
  <c r="A69" i="13" s="1"/>
  <c r="A71" i="13" s="1"/>
  <c r="A72" i="13" s="1"/>
  <c r="A73" i="13" s="1"/>
  <c r="A74" i="13" s="1"/>
  <c r="A75" i="13" s="1"/>
  <c r="A76" i="13" s="1"/>
  <c r="A77" i="13" s="1"/>
  <c r="A78" i="13" s="1"/>
  <c r="A79" i="13" s="1"/>
  <c r="A80" i="13" s="1"/>
  <c r="A81" i="13" s="1"/>
  <c r="A82" i="13" s="1"/>
  <c r="A31" i="18"/>
  <c r="A32" i="18" s="1"/>
  <c r="A33" i="18" s="1"/>
  <c r="A34" i="18" s="1"/>
  <c r="A35" i="18" s="1"/>
  <c r="F32" i="18"/>
  <c r="D32" i="18"/>
  <c r="F31" i="17"/>
  <c r="D31" i="17"/>
  <c r="O9" i="13"/>
  <c r="E17" i="13" s="1"/>
  <c r="P9" i="13"/>
  <c r="E30" i="13" s="1"/>
  <c r="AC38" i="1"/>
  <c r="A36" i="18" l="1"/>
  <c r="A37" i="18" s="1"/>
  <c r="DC65" i="1"/>
  <c r="DC32" i="1"/>
  <c r="DC30" i="1"/>
  <c r="DC6" i="1"/>
  <c r="DC14" i="1" s="1"/>
  <c r="CW65" i="1"/>
  <c r="CW32" i="1"/>
  <c r="CW30" i="1"/>
  <c r="CW6" i="1"/>
  <c r="CW14" i="1" s="1"/>
  <c r="A38" i="18" l="1"/>
  <c r="A39" i="18" s="1"/>
  <c r="A40" i="18" s="1"/>
  <c r="A42" i="18" s="1"/>
  <c r="A43" i="18" s="1"/>
  <c r="A44" i="18" s="1"/>
  <c r="A45" i="18" s="1"/>
  <c r="A46" i="18" s="1"/>
  <c r="A48" i="18" s="1"/>
  <c r="A49" i="18" s="1"/>
  <c r="A50" i="18" s="1"/>
  <c r="A51" i="18" s="1"/>
  <c r="A52" i="18" s="1"/>
  <c r="A53" i="18" s="1"/>
  <c r="A55" i="18" s="1"/>
  <c r="A56" i="18" s="1"/>
  <c r="A57" i="18" s="1"/>
  <c r="A58" i="18" s="1"/>
  <c r="A59" i="18" s="1"/>
  <c r="A60" i="18" s="1"/>
  <c r="A62" i="18" s="1"/>
  <c r="A63" i="18" s="1"/>
  <c r="A64" i="18" s="1"/>
  <c r="A65" i="18" s="1"/>
  <c r="A66" i="18" s="1"/>
  <c r="A67" i="18" s="1"/>
  <c r="A69" i="18" s="1"/>
  <c r="A70" i="18" s="1"/>
  <c r="A71" i="18" s="1"/>
  <c r="A72" i="18" s="1"/>
  <c r="A73" i="18" s="1"/>
  <c r="A74" i="18" s="1"/>
  <c r="A75" i="18" s="1"/>
  <c r="A76" i="18" s="1"/>
  <c r="A77" i="18" s="1"/>
  <c r="A78" i="18" s="1"/>
  <c r="A79" i="18" s="1"/>
  <c r="A80" i="18" s="1"/>
  <c r="DC38" i="1"/>
  <c r="CW38" i="1"/>
  <c r="DI65" i="1"/>
  <c r="DI32" i="1"/>
  <c r="DI30" i="1"/>
  <c r="DI6" i="1"/>
  <c r="DI14" i="1" s="1"/>
  <c r="BY65" i="1"/>
  <c r="BY32" i="1"/>
  <c r="BY30" i="1"/>
  <c r="BY6" i="1"/>
  <c r="BY14" i="1" s="1"/>
  <c r="N51" i="2"/>
  <c r="O48" i="2" s="1"/>
  <c r="K49" i="2"/>
  <c r="K48" i="2"/>
  <c r="K47" i="2"/>
  <c r="K46" i="2"/>
  <c r="E64" i="2"/>
  <c r="L46" i="2" l="1"/>
  <c r="BY38" i="1"/>
  <c r="DI38" i="1"/>
  <c r="L48" i="2"/>
  <c r="L49" i="2"/>
  <c r="L47" i="2"/>
  <c r="O50" i="2"/>
  <c r="O49" i="2"/>
  <c r="O46" i="2"/>
  <c r="O47" i="2"/>
  <c r="D9" i="11"/>
  <c r="D10" i="11" s="1"/>
  <c r="W9" i="11"/>
  <c r="W18" i="11" s="1"/>
  <c r="V9" i="11"/>
  <c r="V11" i="11" s="1"/>
  <c r="U9" i="11"/>
  <c r="U14" i="11" s="1"/>
  <c r="T9" i="11"/>
  <c r="T14" i="11" s="1"/>
  <c r="S9" i="11"/>
  <c r="R9" i="11"/>
  <c r="Q9" i="11"/>
  <c r="P9" i="11"/>
  <c r="P10" i="11" s="1"/>
  <c r="O9" i="11"/>
  <c r="O10" i="11" s="1"/>
  <c r="N9" i="11"/>
  <c r="M9" i="11"/>
  <c r="L9" i="11"/>
  <c r="L11" i="11" s="1"/>
  <c r="K9" i="11"/>
  <c r="K10" i="11" s="1"/>
  <c r="J9" i="11"/>
  <c r="J10" i="11" s="1"/>
  <c r="I9" i="11"/>
  <c r="I10" i="11" s="1"/>
  <c r="H9" i="11"/>
  <c r="G9" i="11"/>
  <c r="G10" i="11" s="1"/>
  <c r="F9" i="11"/>
  <c r="F19" i="11" s="1"/>
  <c r="E9" i="11"/>
  <c r="E19" i="11" s="1"/>
  <c r="CW57" i="10"/>
  <c r="CQ57" i="10"/>
  <c r="CK57" i="10"/>
  <c r="CE57" i="10"/>
  <c r="BY57" i="10"/>
  <c r="BS57" i="10"/>
  <c r="BM57" i="10"/>
  <c r="BG57" i="10"/>
  <c r="BA57" i="10"/>
  <c r="AU57" i="10"/>
  <c r="AO57" i="10"/>
  <c r="AI57" i="10"/>
  <c r="AC57" i="10"/>
  <c r="W57" i="10"/>
  <c r="Q57" i="10"/>
  <c r="K57" i="10"/>
  <c r="E57" i="10"/>
  <c r="BS37" i="10"/>
  <c r="CW31" i="10"/>
  <c r="CQ31" i="10"/>
  <c r="CK31" i="10"/>
  <c r="CE31" i="10"/>
  <c r="BY31" i="10"/>
  <c r="BS31" i="10"/>
  <c r="BM31" i="10"/>
  <c r="BG31" i="10"/>
  <c r="BA31" i="10"/>
  <c r="AU31" i="10"/>
  <c r="AO31" i="10"/>
  <c r="AI31" i="10"/>
  <c r="AC31" i="10"/>
  <c r="W31" i="10"/>
  <c r="Q31" i="10"/>
  <c r="K31" i="10"/>
  <c r="E31" i="10"/>
  <c r="CW29" i="10"/>
  <c r="CQ29" i="10"/>
  <c r="CK29" i="10"/>
  <c r="CK37" i="10" s="1"/>
  <c r="CE29" i="10"/>
  <c r="CE37" i="10" s="1"/>
  <c r="BY29" i="10"/>
  <c r="BS29" i="10"/>
  <c r="BM29" i="10"/>
  <c r="BG29" i="10"/>
  <c r="BA29" i="10"/>
  <c r="AU29" i="10"/>
  <c r="AO29" i="10"/>
  <c r="AO37" i="10" s="1"/>
  <c r="AI29" i="10"/>
  <c r="AI37" i="10" s="1"/>
  <c r="AC29" i="10"/>
  <c r="W29" i="10"/>
  <c r="W37" i="10" s="1"/>
  <c r="Q29" i="10"/>
  <c r="K29" i="10"/>
  <c r="E29" i="10"/>
  <c r="D24" i="10"/>
  <c r="C24" i="10"/>
  <c r="D23" i="10"/>
  <c r="C23" i="10"/>
  <c r="D22" i="10"/>
  <c r="C22" i="10"/>
  <c r="D21" i="10"/>
  <c r="C21" i="10"/>
  <c r="D20" i="10"/>
  <c r="C20" i="10"/>
  <c r="D19" i="10"/>
  <c r="C19" i="10"/>
  <c r="D18" i="10"/>
  <c r="C18" i="10"/>
  <c r="CQ6" i="10"/>
  <c r="CQ14" i="10" s="1"/>
  <c r="CK6" i="10"/>
  <c r="CK14" i="10" s="1"/>
  <c r="BY6" i="10"/>
  <c r="BY14" i="10" s="1"/>
  <c r="BS6" i="10"/>
  <c r="BS14" i="10" s="1"/>
  <c r="BM6" i="10"/>
  <c r="BM14" i="10" s="1"/>
  <c r="BG6" i="10"/>
  <c r="BG14" i="10" s="1"/>
  <c r="BA6" i="10"/>
  <c r="BA14" i="10" s="1"/>
  <c r="AU6" i="10"/>
  <c r="AU14" i="10" s="1"/>
  <c r="AO6" i="10"/>
  <c r="AO14" i="10" s="1"/>
  <c r="Q6" i="10"/>
  <c r="Q14" i="10" s="1"/>
  <c r="K6" i="10"/>
  <c r="K14" i="10" s="1"/>
  <c r="E6" i="10"/>
  <c r="E14" i="10" s="1"/>
  <c r="CE5" i="10"/>
  <c r="CW5" i="10" s="1"/>
  <c r="CW6" i="10" s="1"/>
  <c r="CW14" i="10" s="1"/>
  <c r="W5" i="10"/>
  <c r="W6" i="10" s="1"/>
  <c r="W14" i="10" s="1"/>
  <c r="CE4" i="10"/>
  <c r="CW4" i="10" s="1"/>
  <c r="F7" i="3"/>
  <c r="G7" i="3"/>
  <c r="G8" i="3" s="1"/>
  <c r="H7" i="3"/>
  <c r="I7" i="3"/>
  <c r="J7" i="3"/>
  <c r="J8" i="3" s="1"/>
  <c r="K7" i="3"/>
  <c r="K8" i="3" s="1"/>
  <c r="L7" i="3"/>
  <c r="L9" i="3" s="1"/>
  <c r="M7" i="3"/>
  <c r="M8" i="3" s="1"/>
  <c r="N7" i="3"/>
  <c r="O7" i="3"/>
  <c r="O8" i="3" s="1"/>
  <c r="P7" i="3"/>
  <c r="Q7" i="3"/>
  <c r="R7" i="3"/>
  <c r="S7" i="3"/>
  <c r="T7" i="3"/>
  <c r="U7" i="3"/>
  <c r="V7" i="3"/>
  <c r="E7" i="3"/>
  <c r="E8" i="3" s="1"/>
  <c r="D7" i="3"/>
  <c r="D9" i="3" l="1"/>
  <c r="D8" i="3"/>
  <c r="D11" i="11"/>
  <c r="D19" i="11"/>
  <c r="T18" i="11"/>
  <c r="T13" i="11"/>
  <c r="G11" i="11"/>
  <c r="U17" i="11"/>
  <c r="T12" i="11"/>
  <c r="F11" i="11"/>
  <c r="U19" i="11"/>
  <c r="T17" i="11"/>
  <c r="W11" i="11"/>
  <c r="E11" i="11"/>
  <c r="F10" i="11"/>
  <c r="T19" i="11"/>
  <c r="U16" i="11"/>
  <c r="T11" i="11"/>
  <c r="T10" i="11"/>
  <c r="E10" i="11"/>
  <c r="T16" i="11"/>
  <c r="H10" i="11"/>
  <c r="K11" i="11"/>
  <c r="J11" i="11"/>
  <c r="U18" i="11"/>
  <c r="CE6" i="10"/>
  <c r="CE14" i="10" s="1"/>
  <c r="W10" i="11"/>
  <c r="W17" i="11"/>
  <c r="W14" i="11"/>
  <c r="W19" i="11"/>
  <c r="W13" i="11"/>
  <c r="W16" i="11"/>
  <c r="W12" i="11"/>
  <c r="V17" i="11"/>
  <c r="V16" i="11"/>
  <c r="V13" i="11"/>
  <c r="V18" i="11"/>
  <c r="V10" i="11"/>
  <c r="V12" i="11"/>
  <c r="V19" i="11"/>
  <c r="V14" i="11"/>
  <c r="U11" i="11"/>
  <c r="U13" i="11"/>
  <c r="U12" i="11"/>
  <c r="U10" i="11"/>
  <c r="L10" i="11"/>
  <c r="S11" i="11"/>
  <c r="N10" i="11"/>
  <c r="R11" i="11"/>
  <c r="M10" i="11"/>
  <c r="Q11" i="11"/>
  <c r="P11" i="11"/>
  <c r="S10" i="11"/>
  <c r="O11" i="11"/>
  <c r="R10" i="11"/>
  <c r="N11" i="11"/>
  <c r="Q10" i="11"/>
  <c r="S19" i="11"/>
  <c r="M11" i="11"/>
  <c r="AC5" i="10"/>
  <c r="AC6" i="10" s="1"/>
  <c r="AC14" i="10" s="1"/>
  <c r="F23" i="10"/>
  <c r="O23" i="10"/>
  <c r="U23" i="10" s="1"/>
  <c r="R23" i="10" s="1"/>
  <c r="J23" i="10"/>
  <c r="G23" i="10"/>
  <c r="Q37" i="10"/>
  <c r="BM37" i="10"/>
  <c r="AU37" i="10"/>
  <c r="CQ37" i="10"/>
  <c r="E37" i="10"/>
  <c r="BA37" i="10"/>
  <c r="CW37" i="10"/>
  <c r="K37" i="10"/>
  <c r="BG37" i="10"/>
  <c r="AC37" i="10"/>
  <c r="BY37" i="10"/>
  <c r="F8" i="3"/>
  <c r="K9" i="3"/>
  <c r="D17" i="3"/>
  <c r="O9" i="3"/>
  <c r="N8" i="3"/>
  <c r="N9" i="3"/>
  <c r="L8" i="3"/>
  <c r="J9" i="3"/>
  <c r="H8" i="3"/>
  <c r="I8" i="3"/>
  <c r="M9" i="3"/>
  <c r="V23" i="10" l="1"/>
  <c r="S23" i="10"/>
  <c r="T23" i="10" s="1"/>
  <c r="H11" i="11"/>
  <c r="AA23" i="10"/>
  <c r="Z16" i="10" s="1"/>
  <c r="M23" i="10"/>
  <c r="P23" i="10"/>
  <c r="L23" i="10"/>
  <c r="H23" i="10"/>
  <c r="AA16" i="10" l="1"/>
  <c r="AG23" i="10"/>
  <c r="AC16" i="10" s="1"/>
  <c r="H19" i="11" s="1"/>
  <c r="W16" i="10"/>
  <c r="G19" i="11" s="1"/>
  <c r="AB23" i="10"/>
  <c r="Y23" i="10"/>
  <c r="Z23" i="10" s="1"/>
  <c r="X23" i="10"/>
  <c r="N23" i="10"/>
  <c r="BE23" i="1"/>
  <c r="BK23" i="1" l="1"/>
  <c r="BG16" i="1" s="1"/>
  <c r="BA16" i="1"/>
  <c r="AE23" i="10"/>
  <c r="AF23" i="10" s="1"/>
  <c r="AG16" i="10"/>
  <c r="AF16" i="10"/>
  <c r="AH23" i="10"/>
  <c r="H10" i="2"/>
  <c r="I18" i="31" l="1"/>
  <c r="I18" i="1"/>
  <c r="F18" i="1"/>
  <c r="AD23" i="10"/>
  <c r="L3" i="2"/>
  <c r="M11" i="2" s="1"/>
  <c r="CO19" i="31" s="1"/>
  <c r="U18" i="10"/>
  <c r="I18" i="10"/>
  <c r="Q65" i="1"/>
  <c r="Q32" i="1"/>
  <c r="Q30" i="1"/>
  <c r="CQ65" i="1"/>
  <c r="CQ32" i="1"/>
  <c r="CQ30" i="1"/>
  <c r="CL19" i="31" l="1"/>
  <c r="CU19" i="31"/>
  <c r="CP19" i="31"/>
  <c r="CM19" i="31"/>
  <c r="CN19" i="31" s="1"/>
  <c r="J18" i="31"/>
  <c r="F18" i="31"/>
  <c r="G18" i="31"/>
  <c r="Q38" i="1"/>
  <c r="F18" i="10"/>
  <c r="O18" i="10"/>
  <c r="J18" i="10"/>
  <c r="G18" i="10"/>
  <c r="R18" i="10"/>
  <c r="S18" i="10"/>
  <c r="V18" i="10"/>
  <c r="CQ38" i="1"/>
  <c r="BM65" i="1"/>
  <c r="BM32" i="1"/>
  <c r="BM30" i="1"/>
  <c r="BM6" i="1"/>
  <c r="BM14" i="1" s="1"/>
  <c r="BS65" i="1"/>
  <c r="BS32" i="1"/>
  <c r="BS30" i="1"/>
  <c r="BS6" i="1"/>
  <c r="BS14" i="1" s="1"/>
  <c r="CK65" i="1"/>
  <c r="CK32" i="1"/>
  <c r="CK30" i="1"/>
  <c r="BG65" i="1"/>
  <c r="BG32" i="1"/>
  <c r="BG30" i="1"/>
  <c r="BG6" i="1"/>
  <c r="BG14" i="1" s="1"/>
  <c r="BA65" i="1"/>
  <c r="BA32" i="1"/>
  <c r="BA30" i="1"/>
  <c r="BA6" i="1"/>
  <c r="BA14" i="1" s="1"/>
  <c r="AU65" i="1"/>
  <c r="AU32" i="1"/>
  <c r="AU30" i="1"/>
  <c r="AU6" i="1"/>
  <c r="AU14" i="1" s="1"/>
  <c r="AO65" i="1"/>
  <c r="AO32" i="1"/>
  <c r="AO30" i="1"/>
  <c r="AO6" i="1"/>
  <c r="AO14" i="1" s="1"/>
  <c r="AI65" i="1"/>
  <c r="AI32" i="1"/>
  <c r="AI30" i="1"/>
  <c r="AI6" i="1"/>
  <c r="AI14" i="1" s="1"/>
  <c r="W65" i="1"/>
  <c r="W32" i="1"/>
  <c r="W30" i="1"/>
  <c r="H18" i="31" l="1"/>
  <c r="DA19" i="31"/>
  <c r="CS19" i="31"/>
  <c r="CV19" i="31"/>
  <c r="DM19" i="31"/>
  <c r="AU38" i="1"/>
  <c r="BS38" i="1"/>
  <c r="V8" i="3"/>
  <c r="S8" i="3"/>
  <c r="Q9" i="3"/>
  <c r="V9" i="3"/>
  <c r="P8" i="3"/>
  <c r="Q8" i="3"/>
  <c r="T18" i="10"/>
  <c r="L18" i="10"/>
  <c r="P18" i="10"/>
  <c r="M18" i="10"/>
  <c r="H18" i="10"/>
  <c r="U9" i="3"/>
  <c r="P9" i="3"/>
  <c r="U8" i="3"/>
  <c r="CK6" i="1"/>
  <c r="CK14" i="1" s="1"/>
  <c r="O10" i="24"/>
  <c r="BM38" i="1"/>
  <c r="CK38" i="1"/>
  <c r="BG38" i="1"/>
  <c r="BA38" i="1"/>
  <c r="AO38" i="1"/>
  <c r="AI38" i="1"/>
  <c r="W38" i="1"/>
  <c r="DK19" i="31" l="1"/>
  <c r="DN19" i="31"/>
  <c r="CR19" i="31"/>
  <c r="CT19" i="31"/>
  <c r="CY19" i="31"/>
  <c r="DB19" i="31"/>
  <c r="DG19" i="31"/>
  <c r="S9" i="3"/>
  <c r="O10" i="18"/>
  <c r="D18" i="18" s="1"/>
  <c r="E18" i="18" s="1"/>
  <c r="T9" i="3"/>
  <c r="T8" i="3"/>
  <c r="N18" i="10"/>
  <c r="R8" i="3"/>
  <c r="R9" i="3"/>
  <c r="CQ6" i="1"/>
  <c r="CQ14" i="1" s="1"/>
  <c r="K65" i="1"/>
  <c r="K32" i="1"/>
  <c r="K30" i="1"/>
  <c r="AA16" i="2"/>
  <c r="AA15" i="2"/>
  <c r="AA14" i="2"/>
  <c r="AA13" i="2"/>
  <c r="AA12" i="2"/>
  <c r="AA11" i="2"/>
  <c r="AA10" i="2"/>
  <c r="H16" i="2"/>
  <c r="H14" i="2"/>
  <c r="H13" i="2"/>
  <c r="H12" i="2"/>
  <c r="H11" i="2"/>
  <c r="I19" i="1" l="1"/>
  <c r="I19" i="31"/>
  <c r="I20" i="1"/>
  <c r="F20" i="1" s="1"/>
  <c r="I20" i="31"/>
  <c r="I21" i="1"/>
  <c r="I21" i="31"/>
  <c r="CZ19" i="31"/>
  <c r="CX19" i="31"/>
  <c r="DH19" i="31"/>
  <c r="DE19" i="31"/>
  <c r="I22" i="1"/>
  <c r="F22" i="1" s="1"/>
  <c r="I22" i="31"/>
  <c r="I24" i="1"/>
  <c r="F24" i="1" s="1"/>
  <c r="I24" i="31"/>
  <c r="DJ19" i="31"/>
  <c r="DL19" i="31"/>
  <c r="F21" i="1"/>
  <c r="F19" i="1"/>
  <c r="U21" i="10"/>
  <c r="I21" i="10"/>
  <c r="U22" i="10"/>
  <c r="I22" i="10"/>
  <c r="I19" i="10"/>
  <c r="U19" i="10"/>
  <c r="I20" i="10"/>
  <c r="U20" i="10"/>
  <c r="U24" i="10"/>
  <c r="I24" i="10"/>
  <c r="M10" i="2"/>
  <c r="CO18" i="31" s="1"/>
  <c r="K5" i="1"/>
  <c r="K38" i="1"/>
  <c r="Z18" i="2"/>
  <c r="Z19" i="2" s="1"/>
  <c r="D18" i="1"/>
  <c r="D19" i="1"/>
  <c r="J19" i="1" s="1"/>
  <c r="D20" i="1"/>
  <c r="D21" i="1"/>
  <c r="G21" i="1" l="1"/>
  <c r="G20" i="1"/>
  <c r="J24" i="31"/>
  <c r="F24" i="31"/>
  <c r="G24" i="31"/>
  <c r="J21" i="31"/>
  <c r="G21" i="31"/>
  <c r="F21" i="31"/>
  <c r="J22" i="31"/>
  <c r="G22" i="31"/>
  <c r="F22" i="31"/>
  <c r="F20" i="31"/>
  <c r="G20" i="31"/>
  <c r="J20" i="31"/>
  <c r="DF19" i="31"/>
  <c r="DD19" i="31"/>
  <c r="CU18" i="31"/>
  <c r="CP18" i="31"/>
  <c r="CM18" i="31"/>
  <c r="CL18" i="31"/>
  <c r="J19" i="31"/>
  <c r="G19" i="31"/>
  <c r="F19" i="31"/>
  <c r="H21" i="1"/>
  <c r="H20" i="1"/>
  <c r="J21" i="1"/>
  <c r="G18" i="1"/>
  <c r="J18" i="1"/>
  <c r="G19" i="1"/>
  <c r="J20" i="1"/>
  <c r="E9" i="3"/>
  <c r="F22" i="10"/>
  <c r="O22" i="10"/>
  <c r="J22" i="10"/>
  <c r="G22" i="10"/>
  <c r="R20" i="10"/>
  <c r="V20" i="10"/>
  <c r="S20" i="10"/>
  <c r="R22" i="10"/>
  <c r="V22" i="10"/>
  <c r="S22" i="10"/>
  <c r="R19" i="10"/>
  <c r="S19" i="10"/>
  <c r="V19" i="10"/>
  <c r="Q9" i="10"/>
  <c r="J21" i="10"/>
  <c r="O21" i="10"/>
  <c r="F21" i="10"/>
  <c r="G21" i="10"/>
  <c r="F20" i="10"/>
  <c r="G20" i="10"/>
  <c r="H20" i="10" s="1"/>
  <c r="J20" i="10"/>
  <c r="O20" i="10"/>
  <c r="CO18" i="1"/>
  <c r="CM18" i="1" s="1"/>
  <c r="CI18" i="10"/>
  <c r="O24" i="10"/>
  <c r="F24" i="10"/>
  <c r="J24" i="10"/>
  <c r="G24" i="10"/>
  <c r="V21" i="10"/>
  <c r="R21" i="10"/>
  <c r="S21" i="10"/>
  <c r="T21" i="10" s="1"/>
  <c r="R24" i="10"/>
  <c r="S24" i="10"/>
  <c r="V24" i="10"/>
  <c r="F19" i="10"/>
  <c r="O19" i="10"/>
  <c r="G19" i="10"/>
  <c r="J19" i="10"/>
  <c r="E9" i="10"/>
  <c r="K6" i="1"/>
  <c r="K14" i="1" s="1"/>
  <c r="Q5" i="1"/>
  <c r="H19" i="31" l="1"/>
  <c r="H21" i="31"/>
  <c r="H22" i="31"/>
  <c r="CN18" i="31"/>
  <c r="H20" i="31"/>
  <c r="H24" i="31"/>
  <c r="CV18" i="31"/>
  <c r="CS18" i="31"/>
  <c r="DM18" i="31"/>
  <c r="DA18" i="31"/>
  <c r="H19" i="1"/>
  <c r="H18" i="1"/>
  <c r="F9" i="3"/>
  <c r="CU18" i="1"/>
  <c r="DA18" i="1" s="1"/>
  <c r="Q10" i="10"/>
  <c r="Q11" i="10" s="1"/>
  <c r="F16" i="11" s="1"/>
  <c r="H24" i="10"/>
  <c r="T24" i="10"/>
  <c r="T19" i="10"/>
  <c r="Q7" i="10"/>
  <c r="Q22" i="10" s="1"/>
  <c r="T20" i="10"/>
  <c r="E33" i="10"/>
  <c r="D14" i="11"/>
  <c r="H19" i="10"/>
  <c r="E7" i="10"/>
  <c r="E24" i="10" s="1"/>
  <c r="CF18" i="10"/>
  <c r="CG18" i="10"/>
  <c r="CJ18" i="10"/>
  <c r="DA18" i="10"/>
  <c r="P21" i="10"/>
  <c r="M21" i="10"/>
  <c r="L21" i="10"/>
  <c r="T22" i="10"/>
  <c r="H22" i="10"/>
  <c r="H21" i="10"/>
  <c r="P24" i="10"/>
  <c r="M24" i="10"/>
  <c r="L24" i="10"/>
  <c r="L19" i="10"/>
  <c r="P19" i="10"/>
  <c r="M19" i="10"/>
  <c r="E10" i="10"/>
  <c r="E11" i="10" s="1"/>
  <c r="D16" i="11" s="1"/>
  <c r="K9" i="10"/>
  <c r="P20" i="10"/>
  <c r="M20" i="10"/>
  <c r="L20" i="10"/>
  <c r="Q33" i="10"/>
  <c r="F14" i="11"/>
  <c r="M22" i="10"/>
  <c r="N22" i="10" s="1"/>
  <c r="L22" i="10"/>
  <c r="P22" i="10"/>
  <c r="Q6" i="1"/>
  <c r="Q14" i="1" s="1"/>
  <c r="V5" i="2"/>
  <c r="V6" i="2" s="1"/>
  <c r="AA6" i="2"/>
  <c r="L6" i="2"/>
  <c r="DB18" i="31" l="1"/>
  <c r="DG18" i="31"/>
  <c r="CY18" i="31"/>
  <c r="DK18" i="31"/>
  <c r="DN18" i="31"/>
  <c r="CT18" i="31"/>
  <c r="CR18" i="31"/>
  <c r="DG18" i="1"/>
  <c r="CY18" i="1"/>
  <c r="DB18" i="1"/>
  <c r="CS18" i="1"/>
  <c r="DM18" i="1"/>
  <c r="E19" i="10"/>
  <c r="E8" i="10"/>
  <c r="D13" i="11" s="1"/>
  <c r="E21" i="10"/>
  <c r="E22" i="10"/>
  <c r="Q19" i="10"/>
  <c r="CY18" i="10"/>
  <c r="DB18" i="10"/>
  <c r="Q8" i="10"/>
  <c r="K10" i="10"/>
  <c r="K11" i="10" s="1"/>
  <c r="E16" i="11" s="1"/>
  <c r="Q24" i="10"/>
  <c r="N21" i="10"/>
  <c r="CH18" i="10"/>
  <c r="Q21" i="10"/>
  <c r="F12" i="11"/>
  <c r="Q23" i="10"/>
  <c r="Q18" i="10"/>
  <c r="E14" i="11"/>
  <c r="K33" i="10"/>
  <c r="N19" i="10"/>
  <c r="K7" i="10"/>
  <c r="K19" i="10" s="1"/>
  <c r="N20" i="10"/>
  <c r="N24" i="10"/>
  <c r="E20" i="10"/>
  <c r="D12" i="11"/>
  <c r="E23" i="10"/>
  <c r="E15" i="10" s="1"/>
  <c r="E18" i="10"/>
  <c r="Q20" i="10"/>
  <c r="U16" i="2"/>
  <c r="V16" i="2" s="1"/>
  <c r="O24" i="31" s="1"/>
  <c r="U13" i="2"/>
  <c r="V13" i="2" s="1"/>
  <c r="O21" i="31" s="1"/>
  <c r="U12" i="2"/>
  <c r="V12" i="2" s="1"/>
  <c r="O20" i="31" s="1"/>
  <c r="U11" i="2"/>
  <c r="V11" i="2" s="1"/>
  <c r="O19" i="31" s="1"/>
  <c r="U10" i="2"/>
  <c r="V10" i="2" s="1"/>
  <c r="O18" i="31" s="1"/>
  <c r="E6" i="2"/>
  <c r="H15" i="2" s="1"/>
  <c r="L24" i="31" l="1"/>
  <c r="U24" i="31"/>
  <c r="P24" i="31"/>
  <c r="M24" i="31"/>
  <c r="U21" i="31"/>
  <c r="L21" i="31"/>
  <c r="M21" i="31"/>
  <c r="P21" i="31"/>
  <c r="DL18" i="31"/>
  <c r="DJ18" i="31"/>
  <c r="I23" i="1"/>
  <c r="F23" i="1" s="1"/>
  <c r="I23" i="31"/>
  <c r="CX18" i="31"/>
  <c r="CZ18" i="31"/>
  <c r="M18" i="31"/>
  <c r="L18" i="31"/>
  <c r="U18" i="31"/>
  <c r="P18" i="31"/>
  <c r="DH18" i="31"/>
  <c r="DE18" i="31"/>
  <c r="U19" i="31"/>
  <c r="L19" i="31"/>
  <c r="M19" i="31"/>
  <c r="N19" i="31" s="1"/>
  <c r="P19" i="31"/>
  <c r="P20" i="31"/>
  <c r="L20" i="31"/>
  <c r="U20" i="31"/>
  <c r="M20" i="31"/>
  <c r="I14" i="2"/>
  <c r="O21" i="1"/>
  <c r="U21" i="1" s="1"/>
  <c r="CX18" i="1"/>
  <c r="CZ18" i="1"/>
  <c r="DE18" i="1"/>
  <c r="DH18" i="1"/>
  <c r="DN18" i="1"/>
  <c r="DK18" i="1"/>
  <c r="E18" i="2"/>
  <c r="E19" i="2" s="1"/>
  <c r="P4" i="2" s="1"/>
  <c r="R10" i="2" s="1"/>
  <c r="BW18" i="31" s="1"/>
  <c r="E12" i="10"/>
  <c r="E13" i="10" s="1"/>
  <c r="K8" i="10"/>
  <c r="K12" i="10" s="1"/>
  <c r="O18" i="1"/>
  <c r="M18" i="1" s="1"/>
  <c r="AA18" i="10"/>
  <c r="Q12" i="10"/>
  <c r="F13" i="11"/>
  <c r="O19" i="1"/>
  <c r="P19" i="1" s="1"/>
  <c r="AA19" i="10"/>
  <c r="O20" i="1"/>
  <c r="M20" i="1" s="1"/>
  <c r="AA20" i="10"/>
  <c r="K22" i="10"/>
  <c r="E12" i="11"/>
  <c r="K23" i="10"/>
  <c r="K15" i="10" s="1"/>
  <c r="K18" i="10"/>
  <c r="AA21" i="10"/>
  <c r="K24" i="10"/>
  <c r="CX18" i="10"/>
  <c r="CZ18" i="10"/>
  <c r="K21" i="10"/>
  <c r="O24" i="1"/>
  <c r="U24" i="1" s="1"/>
  <c r="AA24" i="10"/>
  <c r="K20" i="10"/>
  <c r="Q15" i="10"/>
  <c r="A5" i="10"/>
  <c r="I15" i="2"/>
  <c r="I10" i="2"/>
  <c r="U15" i="2"/>
  <c r="V15" i="2" s="1"/>
  <c r="O23" i="31" s="1"/>
  <c r="AB15" i="2"/>
  <c r="AB14" i="2"/>
  <c r="AB11" i="2"/>
  <c r="AB12" i="2"/>
  <c r="AB13" i="2"/>
  <c r="AB16" i="2"/>
  <c r="M14" i="2"/>
  <c r="CO22" i="31" s="1"/>
  <c r="AB10" i="2"/>
  <c r="I11" i="2"/>
  <c r="I12" i="2"/>
  <c r="I13" i="2"/>
  <c r="I16" i="2"/>
  <c r="E9" i="1" l="1"/>
  <c r="O14" i="27" s="1"/>
  <c r="CC18" i="31"/>
  <c r="BT18" i="31"/>
  <c r="BU18" i="31"/>
  <c r="BX18" i="31"/>
  <c r="G23" i="31"/>
  <c r="F23" i="31"/>
  <c r="K16" i="31"/>
  <c r="E17" i="32" s="1"/>
  <c r="N16" i="31"/>
  <c r="O16" i="31"/>
  <c r="J23" i="31"/>
  <c r="E10" i="31" s="1"/>
  <c r="D13" i="32" s="1"/>
  <c r="E9" i="31"/>
  <c r="S21" i="31"/>
  <c r="V21" i="31"/>
  <c r="AA18" i="31"/>
  <c r="V18" i="31"/>
  <c r="S18" i="31"/>
  <c r="N21" i="31"/>
  <c r="S19" i="31"/>
  <c r="V19" i="31"/>
  <c r="N24" i="31"/>
  <c r="N20" i="31"/>
  <c r="N18" i="31"/>
  <c r="P23" i="31"/>
  <c r="U23" i="31"/>
  <c r="T16" i="31" s="1"/>
  <c r="M23" i="31"/>
  <c r="L23" i="31"/>
  <c r="V20" i="31"/>
  <c r="S20" i="31"/>
  <c r="DD18" i="31"/>
  <c r="DF18" i="31"/>
  <c r="V24" i="31"/>
  <c r="S24" i="31"/>
  <c r="CL22" i="31"/>
  <c r="CM22" i="31"/>
  <c r="CU22" i="31"/>
  <c r="CP22" i="31"/>
  <c r="E34" i="1"/>
  <c r="M21" i="1"/>
  <c r="O23" i="1"/>
  <c r="U23" i="1" s="1"/>
  <c r="R13" i="2"/>
  <c r="BW21" i="31" s="1"/>
  <c r="R16" i="2"/>
  <c r="BW24" i="31" s="1"/>
  <c r="R15" i="2"/>
  <c r="R14" i="2"/>
  <c r="BW22" i="31" s="1"/>
  <c r="R11" i="2"/>
  <c r="BW19" i="31" s="1"/>
  <c r="R12" i="2"/>
  <c r="BW20" i="31" s="1"/>
  <c r="DD18" i="1"/>
  <c r="DF18" i="1"/>
  <c r="DJ18" i="1"/>
  <c r="DL18" i="1"/>
  <c r="U19" i="1"/>
  <c r="E13" i="11"/>
  <c r="D17" i="11"/>
  <c r="P18" i="1"/>
  <c r="M19" i="1"/>
  <c r="K13" i="10"/>
  <c r="E17" i="11"/>
  <c r="AG19" i="10"/>
  <c r="X19" i="10"/>
  <c r="Y19" i="10"/>
  <c r="AB19" i="10"/>
  <c r="P21" i="1"/>
  <c r="U18" i="1"/>
  <c r="CO22" i="1"/>
  <c r="CU22" i="1" s="1"/>
  <c r="CI22" i="10"/>
  <c r="P20" i="1"/>
  <c r="U20" i="1"/>
  <c r="Q13" i="10"/>
  <c r="F17" i="11"/>
  <c r="AG24" i="10"/>
  <c r="Y24" i="10"/>
  <c r="X24" i="10"/>
  <c r="AB24" i="10"/>
  <c r="X21" i="10"/>
  <c r="AG21" i="10"/>
  <c r="AB21" i="10"/>
  <c r="Y21" i="10"/>
  <c r="AG20" i="10"/>
  <c r="AB20" i="10"/>
  <c r="X20" i="10"/>
  <c r="Y20" i="10"/>
  <c r="X18" i="10"/>
  <c r="AG18" i="10"/>
  <c r="Y18" i="10"/>
  <c r="AB18" i="10"/>
  <c r="E35" i="10"/>
  <c r="E38" i="10" s="1"/>
  <c r="E39" i="10" s="1"/>
  <c r="E40" i="10" s="1"/>
  <c r="D18" i="11"/>
  <c r="V3" i="2"/>
  <c r="M13" i="2"/>
  <c r="M15" i="2"/>
  <c r="M16" i="2"/>
  <c r="CO24" i="31" s="1"/>
  <c r="M12" i="2"/>
  <c r="CO20" i="31" s="1"/>
  <c r="E34" i="31" l="1"/>
  <c r="D12" i="32"/>
  <c r="Q16" i="31"/>
  <c r="F17" i="32" s="1"/>
  <c r="O14" i="25"/>
  <c r="U16" i="31"/>
  <c r="CN22" i="31"/>
  <c r="AA19" i="31"/>
  <c r="R21" i="31"/>
  <c r="T21" i="31"/>
  <c r="H23" i="31"/>
  <c r="E8" i="31" s="1"/>
  <c r="E23" i="31"/>
  <c r="E7" i="31"/>
  <c r="D10" i="32" s="1"/>
  <c r="R20" i="31"/>
  <c r="T20" i="31"/>
  <c r="N23" i="31"/>
  <c r="AA21" i="31"/>
  <c r="CO21" i="1"/>
  <c r="CO21" i="31"/>
  <c r="CV22" i="31"/>
  <c r="DM22" i="31"/>
  <c r="CS22" i="31"/>
  <c r="DA22" i="31"/>
  <c r="T19" i="31"/>
  <c r="R19" i="31"/>
  <c r="R24" i="31"/>
  <c r="T24" i="31"/>
  <c r="CC19" i="31"/>
  <c r="BT19" i="31"/>
  <c r="BX19" i="31"/>
  <c r="BU19" i="31"/>
  <c r="AA20" i="31"/>
  <c r="E11" i="31"/>
  <c r="D14" i="32" s="1"/>
  <c r="BV18" i="31"/>
  <c r="CL20" i="31"/>
  <c r="CU20" i="31"/>
  <c r="CP20" i="31"/>
  <c r="CM20" i="31"/>
  <c r="BT22" i="31"/>
  <c r="BU22" i="31"/>
  <c r="BX22" i="31"/>
  <c r="CC22" i="31"/>
  <c r="AA24" i="31"/>
  <c r="V23" i="31"/>
  <c r="AA23" i="31"/>
  <c r="S23" i="31"/>
  <c r="T18" i="31"/>
  <c r="R18" i="31"/>
  <c r="BU21" i="31"/>
  <c r="CC21" i="31"/>
  <c r="BT21" i="31"/>
  <c r="BX21" i="31"/>
  <c r="BU20" i="31"/>
  <c r="BT20" i="31"/>
  <c r="CC20" i="31"/>
  <c r="BX20" i="31"/>
  <c r="CU24" i="31"/>
  <c r="CL24" i="31"/>
  <c r="CM24" i="31"/>
  <c r="CP24" i="31"/>
  <c r="BW23" i="1"/>
  <c r="BW23" i="31"/>
  <c r="BS9" i="31" s="1"/>
  <c r="CO23" i="1"/>
  <c r="CO23" i="31"/>
  <c r="CC24" i="31"/>
  <c r="BT24" i="31"/>
  <c r="BU24" i="31"/>
  <c r="BV24" i="31" s="1"/>
  <c r="BX24" i="31"/>
  <c r="Y18" i="31"/>
  <c r="AB18" i="31"/>
  <c r="AG18" i="31"/>
  <c r="CI18" i="31"/>
  <c r="BZ18" i="31"/>
  <c r="CD18" i="31"/>
  <c r="CA18" i="31"/>
  <c r="V14" i="2"/>
  <c r="O22" i="31" s="1"/>
  <c r="AA18" i="1"/>
  <c r="AG18" i="1" s="1"/>
  <c r="AM18" i="1" s="1"/>
  <c r="S20" i="1"/>
  <c r="S19" i="1"/>
  <c r="S18" i="1"/>
  <c r="S21" i="1"/>
  <c r="DM22" i="1"/>
  <c r="DA22" i="1"/>
  <c r="DG22" i="1" s="1"/>
  <c r="Z20" i="10"/>
  <c r="CO20" i="1"/>
  <c r="CU20" i="1" s="1"/>
  <c r="DA20" i="1" s="1"/>
  <c r="CI20" i="10"/>
  <c r="AE21" i="10"/>
  <c r="AH21" i="10"/>
  <c r="E44" i="10"/>
  <c r="E43" i="10"/>
  <c r="E42" i="10"/>
  <c r="E45" i="10"/>
  <c r="Z24" i="10"/>
  <c r="Z19" i="10"/>
  <c r="AE20" i="10"/>
  <c r="AH20" i="10"/>
  <c r="AE24" i="10"/>
  <c r="AH24" i="10"/>
  <c r="CO19" i="1"/>
  <c r="CU19" i="1" s="1"/>
  <c r="DA19" i="1" s="1"/>
  <c r="CI19" i="10"/>
  <c r="CO24" i="1"/>
  <c r="CU24" i="1" s="1"/>
  <c r="CI24" i="10"/>
  <c r="CF22" i="10"/>
  <c r="CJ22" i="10"/>
  <c r="DA22" i="10"/>
  <c r="CG22" i="10"/>
  <c r="CU23" i="1"/>
  <c r="DA23" i="1" s="1"/>
  <c r="CW16" i="1" s="1"/>
  <c r="CI23" i="10"/>
  <c r="CU21" i="1"/>
  <c r="CI21" i="10"/>
  <c r="Z18" i="10"/>
  <c r="Z21" i="10"/>
  <c r="AE19" i="10"/>
  <c r="AH19" i="10"/>
  <c r="K35" i="10"/>
  <c r="K38" i="10" s="1"/>
  <c r="K39" i="10" s="1"/>
  <c r="K40" i="10" s="1"/>
  <c r="E18" i="11"/>
  <c r="AE18" i="10"/>
  <c r="AH18" i="10"/>
  <c r="Q35" i="10"/>
  <c r="Q38" i="10" s="1"/>
  <c r="Q39" i="10" s="1"/>
  <c r="Q40" i="10" s="1"/>
  <c r="F18" i="11"/>
  <c r="N13" i="2"/>
  <c r="N12" i="2"/>
  <c r="N14" i="2"/>
  <c r="N11" i="2"/>
  <c r="N10" i="2"/>
  <c r="N15" i="2"/>
  <c r="N16" i="2"/>
  <c r="BS34" i="31" l="1"/>
  <c r="O12" i="32"/>
  <c r="E12" i="31"/>
  <c r="D11" i="32"/>
  <c r="CI22" i="31"/>
  <c r="CA22" i="31"/>
  <c r="CD22" i="31"/>
  <c r="BZ22" i="31"/>
  <c r="CF18" i="31"/>
  <c r="CJ18" i="31"/>
  <c r="CG18" i="31"/>
  <c r="BZ24" i="31"/>
  <c r="CA24" i="31"/>
  <c r="CD24" i="31"/>
  <c r="CI24" i="31"/>
  <c r="CN24" i="31"/>
  <c r="CI19" i="31"/>
  <c r="BZ19" i="31"/>
  <c r="CA19" i="31"/>
  <c r="CD19" i="31"/>
  <c r="DB22" i="31"/>
  <c r="DG22" i="31"/>
  <c r="CY22" i="31"/>
  <c r="E15" i="31"/>
  <c r="A5" i="31"/>
  <c r="CP23" i="31"/>
  <c r="CM23" i="31"/>
  <c r="CL23" i="31"/>
  <c r="CU23" i="31"/>
  <c r="BS16" i="31"/>
  <c r="O17" i="32" s="1"/>
  <c r="BQ23" i="31"/>
  <c r="CA21" i="31"/>
  <c r="CD21" i="31"/>
  <c r="CI21" i="31"/>
  <c r="BZ21" i="31"/>
  <c r="BV22" i="31"/>
  <c r="CR22" i="31"/>
  <c r="CT22" i="31"/>
  <c r="AG21" i="31"/>
  <c r="AB21" i="31"/>
  <c r="Y21" i="31"/>
  <c r="AH18" i="31"/>
  <c r="AE18" i="31"/>
  <c r="AM18" i="31"/>
  <c r="BQ23" i="1"/>
  <c r="DM24" i="31"/>
  <c r="CS24" i="31"/>
  <c r="CV24" i="31"/>
  <c r="DA24" i="31"/>
  <c r="BV21" i="31"/>
  <c r="DN22" i="31"/>
  <c r="DK22" i="31"/>
  <c r="DM20" i="31"/>
  <c r="DA20" i="31"/>
  <c r="CV20" i="31"/>
  <c r="CS20" i="31"/>
  <c r="U22" i="31"/>
  <c r="L22" i="31"/>
  <c r="P22" i="31"/>
  <c r="K10" i="31" s="1"/>
  <c r="E13" i="32" s="1"/>
  <c r="M22" i="31"/>
  <c r="K9" i="31"/>
  <c r="T23" i="31"/>
  <c r="R23" i="31"/>
  <c r="CK9" i="31"/>
  <c r="CK34" i="31" s="1"/>
  <c r="Y19" i="31"/>
  <c r="AG19" i="31"/>
  <c r="AB19" i="31"/>
  <c r="BV20" i="31"/>
  <c r="Y24" i="31"/>
  <c r="AB24" i="31"/>
  <c r="AG24" i="31"/>
  <c r="X18" i="31"/>
  <c r="CI20" i="31"/>
  <c r="CA20" i="31"/>
  <c r="CD20" i="31"/>
  <c r="BZ20" i="31"/>
  <c r="Y23" i="31"/>
  <c r="AG23" i="31"/>
  <c r="AB23" i="31"/>
  <c r="AA16" i="31"/>
  <c r="Z16" i="31"/>
  <c r="W16" i="31"/>
  <c r="G17" i="32" s="1"/>
  <c r="CN20" i="31"/>
  <c r="Y20" i="31"/>
  <c r="AG20" i="31"/>
  <c r="AB20" i="31"/>
  <c r="CP21" i="31"/>
  <c r="CK10" i="31" s="1"/>
  <c r="CL21" i="31"/>
  <c r="CM21" i="31"/>
  <c r="CK7" i="31" s="1"/>
  <c r="R10" i="32" s="1"/>
  <c r="CU21" i="31"/>
  <c r="CQ9" i="31" s="1"/>
  <c r="CB18" i="31"/>
  <c r="BU23" i="31"/>
  <c r="BX23" i="31"/>
  <c r="BS10" i="31" s="1"/>
  <c r="CC23" i="31"/>
  <c r="BT23" i="31"/>
  <c r="BV19" i="31"/>
  <c r="E18" i="31"/>
  <c r="E19" i="31"/>
  <c r="E21" i="31"/>
  <c r="E20" i="31"/>
  <c r="E24" i="31"/>
  <c r="E22" i="31"/>
  <c r="W15" i="2"/>
  <c r="V17" i="2"/>
  <c r="W16" i="2"/>
  <c r="AA22" i="10"/>
  <c r="Y22" i="10" s="1"/>
  <c r="W13" i="2"/>
  <c r="W10" i="2"/>
  <c r="W11" i="2"/>
  <c r="W12" i="2"/>
  <c r="W14" i="2"/>
  <c r="DG23" i="1"/>
  <c r="DA21" i="1"/>
  <c r="DG21" i="1" s="1"/>
  <c r="DM21" i="1"/>
  <c r="AE18" i="1"/>
  <c r="AH18" i="1"/>
  <c r="DG19" i="1"/>
  <c r="CY19" i="1"/>
  <c r="DB19" i="1"/>
  <c r="DM24" i="1"/>
  <c r="DA24" i="1"/>
  <c r="DG24" i="1" s="1"/>
  <c r="DG20" i="1"/>
  <c r="DB20" i="1"/>
  <c r="CY20" i="1"/>
  <c r="CS21" i="1"/>
  <c r="CR21" i="1" s="1"/>
  <c r="CS20" i="1"/>
  <c r="CT20" i="1" s="1"/>
  <c r="DM20" i="1"/>
  <c r="DM23" i="1"/>
  <c r="CS19" i="1"/>
  <c r="CT19" i="1" s="1"/>
  <c r="DM19" i="1"/>
  <c r="CM21" i="1"/>
  <c r="CM19" i="1"/>
  <c r="CM20" i="1"/>
  <c r="E46" i="10"/>
  <c r="E48" i="10" s="1"/>
  <c r="E49" i="10" s="1"/>
  <c r="E52" i="10" s="1"/>
  <c r="E56" i="10" s="1"/>
  <c r="CH22" i="10"/>
  <c r="K44" i="10"/>
  <c r="K43" i="10"/>
  <c r="K42" i="10"/>
  <c r="K45" i="10"/>
  <c r="DB22" i="10"/>
  <c r="CY22" i="10"/>
  <c r="AD21" i="10"/>
  <c r="AF21" i="10"/>
  <c r="AD24" i="10"/>
  <c r="AF24" i="10"/>
  <c r="CG20" i="10"/>
  <c r="CF20" i="10"/>
  <c r="DA20" i="10"/>
  <c r="CJ20" i="10"/>
  <c r="AD18" i="10"/>
  <c r="AF18" i="10"/>
  <c r="CF21" i="10"/>
  <c r="CG21" i="10"/>
  <c r="CJ21" i="10"/>
  <c r="DA21" i="10"/>
  <c r="CG24" i="10"/>
  <c r="CF24" i="10"/>
  <c r="DA24" i="10"/>
  <c r="CJ24" i="10"/>
  <c r="AD20" i="10"/>
  <c r="AF20" i="10"/>
  <c r="Q42" i="10"/>
  <c r="Q45" i="10"/>
  <c r="Q44" i="10"/>
  <c r="Q43" i="10"/>
  <c r="AD19" i="10"/>
  <c r="AF19" i="10"/>
  <c r="CG23" i="10"/>
  <c r="CF23" i="10"/>
  <c r="DA23" i="10"/>
  <c r="CJ23" i="10"/>
  <c r="CJ19" i="10"/>
  <c r="DA19" i="10"/>
  <c r="CG19" i="10"/>
  <c r="CF19" i="10"/>
  <c r="CE9" i="10"/>
  <c r="V18" i="2"/>
  <c r="V19" i="2" s="1"/>
  <c r="O22" i="1"/>
  <c r="CO22" i="10"/>
  <c r="CV21" i="1"/>
  <c r="CV20" i="1"/>
  <c r="CV19" i="1"/>
  <c r="BS11" i="31" l="1"/>
  <c r="O14" i="32" s="1"/>
  <c r="O13" i="32"/>
  <c r="K34" i="31"/>
  <c r="E12" i="32"/>
  <c r="E13" i="31"/>
  <c r="D15" i="32"/>
  <c r="CK11" i="31"/>
  <c r="R14" i="32" s="1"/>
  <c r="R13" i="32"/>
  <c r="CK19" i="31"/>
  <c r="CK18" i="31"/>
  <c r="CK22" i="31"/>
  <c r="CK24" i="31"/>
  <c r="CK20" i="31"/>
  <c r="CI23" i="31"/>
  <c r="CD23" i="31"/>
  <c r="BY10" i="31" s="1"/>
  <c r="P13" i="32" s="1"/>
  <c r="CA23" i="31"/>
  <c r="BZ23" i="31"/>
  <c r="CF20" i="31"/>
  <c r="CG20" i="31"/>
  <c r="CJ20" i="31"/>
  <c r="CT20" i="31"/>
  <c r="CR20" i="31"/>
  <c r="AF18" i="31"/>
  <c r="AD18" i="31"/>
  <c r="DM23" i="31"/>
  <c r="CS23" i="31"/>
  <c r="BY16" i="31"/>
  <c r="P17" i="32" s="1"/>
  <c r="CV23" i="31"/>
  <c r="DA23" i="31"/>
  <c r="CQ34" i="31"/>
  <c r="DH22" i="31"/>
  <c r="DE22" i="31"/>
  <c r="DG24" i="31"/>
  <c r="DB24" i="31"/>
  <c r="CY24" i="31"/>
  <c r="CB24" i="31"/>
  <c r="CB22" i="31"/>
  <c r="CB20" i="31"/>
  <c r="AN18" i="31"/>
  <c r="AK18" i="31"/>
  <c r="AS18" i="31"/>
  <c r="BV23" i="31"/>
  <c r="BS8" i="31" s="1"/>
  <c r="AM20" i="31"/>
  <c r="AE20" i="31"/>
  <c r="AH20" i="31"/>
  <c r="DG20" i="31"/>
  <c r="CY20" i="31"/>
  <c r="DB20" i="31"/>
  <c r="X21" i="31"/>
  <c r="CN23" i="31"/>
  <c r="CK23" i="31"/>
  <c r="CK15" i="31" s="1"/>
  <c r="CB19" i="31"/>
  <c r="CG22" i="31"/>
  <c r="CJ22" i="31"/>
  <c r="CF22" i="31"/>
  <c r="X20" i="31"/>
  <c r="AH23" i="31"/>
  <c r="AM23" i="31"/>
  <c r="AE23" i="31"/>
  <c r="AC16" i="31"/>
  <c r="H17" i="32" s="1"/>
  <c r="AF16" i="31"/>
  <c r="AG16" i="31"/>
  <c r="AE19" i="31"/>
  <c r="AM19" i="31"/>
  <c r="AH19" i="31"/>
  <c r="N22" i="31"/>
  <c r="K8" i="31" s="1"/>
  <c r="K7" i="31"/>
  <c r="E10" i="32" s="1"/>
  <c r="DN20" i="31"/>
  <c r="DK20" i="31"/>
  <c r="CT24" i="31"/>
  <c r="CR24" i="31"/>
  <c r="CF21" i="31"/>
  <c r="CG21" i="31"/>
  <c r="CH21" i="31" s="1"/>
  <c r="CJ21" i="31"/>
  <c r="CE9" i="31"/>
  <c r="Q12" i="32" s="1"/>
  <c r="X24" i="31"/>
  <c r="CG24" i="31"/>
  <c r="CF24" i="31"/>
  <c r="CJ24" i="31"/>
  <c r="X23" i="31"/>
  <c r="BY9" i="31"/>
  <c r="P12" i="32" s="1"/>
  <c r="X19" i="31"/>
  <c r="K11" i="31"/>
  <c r="DL22" i="31"/>
  <c r="DJ22" i="31"/>
  <c r="DN24" i="31"/>
  <c r="DK24" i="31"/>
  <c r="AM21" i="31"/>
  <c r="AH21" i="31"/>
  <c r="AE21" i="31"/>
  <c r="CF19" i="31"/>
  <c r="CJ19" i="31"/>
  <c r="CG19" i="31"/>
  <c r="CH18" i="31"/>
  <c r="CV21" i="31"/>
  <c r="CQ10" i="31" s="1"/>
  <c r="DM21" i="31"/>
  <c r="CS21" i="31"/>
  <c r="CQ7" i="31" s="1"/>
  <c r="DA21" i="31"/>
  <c r="AM24" i="31"/>
  <c r="AE24" i="31"/>
  <c r="AH24" i="31"/>
  <c r="CB21" i="31"/>
  <c r="BS7" i="31"/>
  <c r="O10" i="32" s="1"/>
  <c r="CN21" i="31"/>
  <c r="CK8" i="31" s="1"/>
  <c r="CK21" i="31"/>
  <c r="AA22" i="31"/>
  <c r="S22" i="31"/>
  <c r="V22" i="31"/>
  <c r="Q10" i="31" s="1"/>
  <c r="F13" i="32" s="1"/>
  <c r="Q9" i="31"/>
  <c r="F12" i="32" s="1"/>
  <c r="BO23" i="31"/>
  <c r="BR23" i="31"/>
  <c r="BN23" i="31"/>
  <c r="BM16" i="31"/>
  <c r="N17" i="32" s="1"/>
  <c r="CX22" i="31"/>
  <c r="CZ22" i="31"/>
  <c r="DC16" i="1"/>
  <c r="CK16" i="1"/>
  <c r="DI16" i="1"/>
  <c r="Q20" i="24" s="1"/>
  <c r="CQ16" i="1"/>
  <c r="AB22" i="10"/>
  <c r="W10" i="10" s="1"/>
  <c r="AG22" i="10"/>
  <c r="AE22" i="10" s="1"/>
  <c r="X22" i="10"/>
  <c r="W9" i="10"/>
  <c r="W33" i="10" s="1"/>
  <c r="CY21" i="1"/>
  <c r="CZ21" i="1" s="1"/>
  <c r="DB21" i="1"/>
  <c r="AD18" i="1"/>
  <c r="AF18" i="1"/>
  <c r="DE19" i="1"/>
  <c r="DH19" i="1"/>
  <c r="DC9" i="1"/>
  <c r="CW9" i="1"/>
  <c r="CW34" i="1" s="1"/>
  <c r="DE21" i="1"/>
  <c r="DH21" i="1"/>
  <c r="CZ20" i="1"/>
  <c r="CX20" i="1"/>
  <c r="CX19" i="1"/>
  <c r="CZ19" i="1"/>
  <c r="DE20" i="1"/>
  <c r="DH20" i="1"/>
  <c r="CT21" i="1"/>
  <c r="CR19" i="1"/>
  <c r="CR20" i="1"/>
  <c r="DN20" i="1"/>
  <c r="DK20" i="1"/>
  <c r="DK19" i="1"/>
  <c r="DN19" i="1"/>
  <c r="DI9" i="1"/>
  <c r="DN21" i="1"/>
  <c r="DK21" i="1"/>
  <c r="CO24" i="10"/>
  <c r="AM24" i="10"/>
  <c r="CO23" i="10"/>
  <c r="AM23" i="10"/>
  <c r="CO20" i="10"/>
  <c r="AM20" i="10"/>
  <c r="CO18" i="10"/>
  <c r="AM18" i="10"/>
  <c r="CO19" i="10"/>
  <c r="AM19" i="10"/>
  <c r="CO21" i="10"/>
  <c r="AM21" i="10"/>
  <c r="CL22" i="10"/>
  <c r="CP22" i="10"/>
  <c r="CM22" i="10"/>
  <c r="CE10" i="10"/>
  <c r="CE11" i="10" s="1"/>
  <c r="Q46" i="10"/>
  <c r="Q48" i="10" s="1"/>
  <c r="Q49" i="10" s="1"/>
  <c r="Q52" i="10" s="1"/>
  <c r="Q56" i="10" s="1"/>
  <c r="DB24" i="10"/>
  <c r="CY24" i="10"/>
  <c r="CH19" i="10"/>
  <c r="CE7" i="10"/>
  <c r="CE20" i="10" s="1"/>
  <c r="DB19" i="10"/>
  <c r="CY19" i="10"/>
  <c r="CW9" i="10"/>
  <c r="CH21" i="10"/>
  <c r="K46" i="10"/>
  <c r="K48" i="10" s="1"/>
  <c r="K49" i="10" s="1"/>
  <c r="K52" i="10" s="1"/>
  <c r="K56" i="10" s="1"/>
  <c r="Z22" i="10"/>
  <c r="W8" i="10" s="1"/>
  <c r="W7" i="10"/>
  <c r="CY21" i="10"/>
  <c r="DB21" i="10"/>
  <c r="CX22" i="10"/>
  <c r="CZ22" i="10"/>
  <c r="CH23" i="10"/>
  <c r="CH24" i="10"/>
  <c r="DB23" i="10"/>
  <c r="CY23" i="10"/>
  <c r="CY20" i="10"/>
  <c r="DB20" i="10"/>
  <c r="CE33" i="10"/>
  <c r="CH20" i="10"/>
  <c r="BW20" i="1"/>
  <c r="AA20" i="1"/>
  <c r="AG20" i="1" s="1"/>
  <c r="AM20" i="1" s="1"/>
  <c r="BW22" i="1"/>
  <c r="CC22" i="1" s="1"/>
  <c r="CI22" i="1" s="1"/>
  <c r="U22" i="1"/>
  <c r="BW18" i="1"/>
  <c r="AA23" i="1"/>
  <c r="AG23" i="1" s="1"/>
  <c r="CC23" i="1"/>
  <c r="BW21" i="1"/>
  <c r="AA21" i="1"/>
  <c r="AG21" i="1" s="1"/>
  <c r="AM21" i="1" s="1"/>
  <c r="BW19" i="1"/>
  <c r="AA19" i="1"/>
  <c r="AG19" i="1" s="1"/>
  <c r="AM19" i="1" s="1"/>
  <c r="AA24" i="1"/>
  <c r="AG24" i="1" s="1"/>
  <c r="AM24" i="1" s="1"/>
  <c r="BW24" i="1"/>
  <c r="CC24" i="1" s="1"/>
  <c r="CI24" i="1" s="1"/>
  <c r="CT18" i="1"/>
  <c r="CR18" i="1"/>
  <c r="CV18" i="1"/>
  <c r="D24" i="1"/>
  <c r="C24" i="1"/>
  <c r="B25" i="32" s="1"/>
  <c r="CK12" i="31" l="1"/>
  <c r="R11" i="32"/>
  <c r="CQ11" i="31"/>
  <c r="S14" i="32" s="1"/>
  <c r="S13" i="32"/>
  <c r="E36" i="31"/>
  <c r="D16" i="32"/>
  <c r="K13" i="31"/>
  <c r="E14" i="32"/>
  <c r="K12" i="31"/>
  <c r="E15" i="32" s="1"/>
  <c r="E11" i="32"/>
  <c r="BS12" i="31"/>
  <c r="O11" i="32"/>
  <c r="CQ24" i="31"/>
  <c r="S10" i="32"/>
  <c r="W5" i="31"/>
  <c r="G9" i="32" s="1"/>
  <c r="Q34" i="31"/>
  <c r="Q11" i="31"/>
  <c r="F14" i="32" s="1"/>
  <c r="CT21" i="31"/>
  <c r="CR21" i="31"/>
  <c r="CQ21" i="31"/>
  <c r="K19" i="31"/>
  <c r="K24" i="31"/>
  <c r="K20" i="31"/>
  <c r="K21" i="31"/>
  <c r="K18" i="31"/>
  <c r="K23" i="31"/>
  <c r="K15" i="31" s="1"/>
  <c r="AS20" i="31"/>
  <c r="AN20" i="31"/>
  <c r="AK20" i="31"/>
  <c r="CQ20" i="31"/>
  <c r="DB21" i="31"/>
  <c r="CY21" i="31"/>
  <c r="DG21" i="31"/>
  <c r="CB23" i="31"/>
  <c r="BY8" i="31" s="1"/>
  <c r="BS24" i="31"/>
  <c r="BS18" i="31"/>
  <c r="BS19" i="31"/>
  <c r="BS21" i="31"/>
  <c r="BS22" i="31"/>
  <c r="BS20" i="31"/>
  <c r="DN21" i="31"/>
  <c r="DI10" i="31" s="1"/>
  <c r="V13" i="32" s="1"/>
  <c r="DK21" i="31"/>
  <c r="AD21" i="31"/>
  <c r="AF21" i="31"/>
  <c r="K22" i="31"/>
  <c r="AF23" i="31"/>
  <c r="AD23" i="31"/>
  <c r="CH22" i="31"/>
  <c r="CW9" i="31"/>
  <c r="CW34" i="31" s="1"/>
  <c r="BS23" i="31"/>
  <c r="BS15" i="31" s="1"/>
  <c r="DF22" i="31"/>
  <c r="DD22" i="31"/>
  <c r="CT23" i="31"/>
  <c r="CR23" i="31"/>
  <c r="CQ23" i="31"/>
  <c r="CQ15" i="31" s="1"/>
  <c r="CG23" i="31"/>
  <c r="CF23" i="31"/>
  <c r="CJ23" i="31"/>
  <c r="CE10" i="31" s="1"/>
  <c r="T22" i="31"/>
  <c r="Q8" i="31" s="1"/>
  <c r="R22" i="31"/>
  <c r="Q7" i="31"/>
  <c r="F10" i="32" s="1"/>
  <c r="AI16" i="31"/>
  <c r="I17" i="32" s="1"/>
  <c r="AN23" i="31"/>
  <c r="AK23" i="31"/>
  <c r="AS23" i="31"/>
  <c r="BY7" i="31"/>
  <c r="P10" i="32" s="1"/>
  <c r="DK23" i="31"/>
  <c r="DN23" i="31"/>
  <c r="DI16" i="31"/>
  <c r="CQ16" i="31"/>
  <c r="AB22" i="31"/>
  <c r="W10" i="31" s="1"/>
  <c r="G13" i="32" s="1"/>
  <c r="Y22" i="31"/>
  <c r="AG22" i="31"/>
  <c r="W9" i="31"/>
  <c r="AK21" i="31"/>
  <c r="AS21" i="31"/>
  <c r="AN21" i="31"/>
  <c r="CH24" i="31"/>
  <c r="CZ20" i="31"/>
  <c r="CX20" i="31"/>
  <c r="AQ18" i="31"/>
  <c r="AT18" i="31"/>
  <c r="AY18" i="31"/>
  <c r="CQ22" i="31"/>
  <c r="CQ19" i="31"/>
  <c r="CQ18" i="31"/>
  <c r="BP23" i="31"/>
  <c r="DJ24" i="31"/>
  <c r="DL24" i="31"/>
  <c r="AK19" i="31"/>
  <c r="AN19" i="31"/>
  <c r="AS19" i="31"/>
  <c r="DE20" i="31"/>
  <c r="DH20" i="31"/>
  <c r="AL18" i="31"/>
  <c r="AJ18" i="31"/>
  <c r="CH20" i="31"/>
  <c r="AF20" i="31"/>
  <c r="AD20" i="31"/>
  <c r="DE24" i="31"/>
  <c r="DH24" i="31"/>
  <c r="AF24" i="31"/>
  <c r="AD24" i="31"/>
  <c r="BY34" i="31"/>
  <c r="BY11" i="31"/>
  <c r="P14" i="32" s="1"/>
  <c r="DI9" i="31"/>
  <c r="DI34" i="31" s="1"/>
  <c r="AF19" i="31"/>
  <c r="AD19" i="31"/>
  <c r="CZ24" i="31"/>
  <c r="CX24" i="31"/>
  <c r="AK24" i="31"/>
  <c r="AN24" i="31"/>
  <c r="AS24" i="31"/>
  <c r="CH19" i="31"/>
  <c r="CE34" i="31"/>
  <c r="DL20" i="31"/>
  <c r="DJ20" i="31"/>
  <c r="DI7" i="31"/>
  <c r="DI24" i="31" s="1"/>
  <c r="DG23" i="31"/>
  <c r="CY23" i="31"/>
  <c r="CW7" i="31" s="1"/>
  <c r="T10" i="32" s="1"/>
  <c r="CW16" i="31"/>
  <c r="DB23" i="31"/>
  <c r="CW10" i="31" s="1"/>
  <c r="CE16" i="31"/>
  <c r="Q17" i="32" s="1"/>
  <c r="G14" i="11"/>
  <c r="O20" i="28"/>
  <c r="O20" i="29"/>
  <c r="O20" i="30"/>
  <c r="P14" i="30"/>
  <c r="P14" i="28"/>
  <c r="P14" i="29"/>
  <c r="G24" i="1"/>
  <c r="J24" i="1"/>
  <c r="DC34" i="1"/>
  <c r="O14" i="29"/>
  <c r="O14" i="28"/>
  <c r="O14" i="30"/>
  <c r="O20" i="24"/>
  <c r="P20" i="24"/>
  <c r="S17" i="3"/>
  <c r="V17" i="3"/>
  <c r="U17" i="3"/>
  <c r="AM23" i="1"/>
  <c r="AI16" i="1"/>
  <c r="CX21" i="1"/>
  <c r="W12" i="3"/>
  <c r="Q14" i="24"/>
  <c r="AC9" i="10"/>
  <c r="AC33" i="10" s="1"/>
  <c r="T17" i="3"/>
  <c r="O20" i="18"/>
  <c r="W17" i="3"/>
  <c r="P20" i="18"/>
  <c r="AH22" i="10"/>
  <c r="AC10" i="10" s="1"/>
  <c r="AM22" i="10"/>
  <c r="AS22" i="10" s="1"/>
  <c r="W11" i="10"/>
  <c r="G16" i="11" s="1"/>
  <c r="CI23" i="1"/>
  <c r="CE16" i="1" s="1"/>
  <c r="AC16" i="1"/>
  <c r="P22" i="22" s="1"/>
  <c r="AG16" i="1"/>
  <c r="AF16" i="1"/>
  <c r="CJ24" i="1"/>
  <c r="CF24" i="1"/>
  <c r="CG24" i="1"/>
  <c r="AS19" i="1"/>
  <c r="AE19" i="1"/>
  <c r="AH19" i="1"/>
  <c r="CF22" i="1"/>
  <c r="AE20" i="1"/>
  <c r="AH20" i="1"/>
  <c r="AH21" i="1"/>
  <c r="AE21" i="1"/>
  <c r="DI34" i="1"/>
  <c r="P14" i="18"/>
  <c r="Y20" i="1"/>
  <c r="AE24" i="1"/>
  <c r="AH24" i="1"/>
  <c r="DD21" i="1"/>
  <c r="DF21" i="1"/>
  <c r="DF20" i="1"/>
  <c r="DD20" i="1"/>
  <c r="DD19" i="1"/>
  <c r="DF19" i="1"/>
  <c r="DH24" i="1"/>
  <c r="DE24" i="1"/>
  <c r="CY24" i="1"/>
  <c r="DB24" i="1"/>
  <c r="BZ24" i="1"/>
  <c r="CD24" i="1"/>
  <c r="CA24" i="1"/>
  <c r="BU18" i="1"/>
  <c r="BV18" i="1" s="1"/>
  <c r="CC18" i="1"/>
  <c r="CI18" i="1" s="1"/>
  <c r="DJ19" i="1"/>
  <c r="DL19" i="1"/>
  <c r="BU19" i="1"/>
  <c r="BV19" i="1" s="1"/>
  <c r="CC19" i="1"/>
  <c r="CI19" i="1" s="1"/>
  <c r="BZ22" i="1"/>
  <c r="BU21" i="1"/>
  <c r="BV21" i="1" s="1"/>
  <c r="CC21" i="1"/>
  <c r="CI21" i="1" s="1"/>
  <c r="BU20" i="1"/>
  <c r="BV20" i="1" s="1"/>
  <c r="CC20" i="1"/>
  <c r="CI20" i="1" s="1"/>
  <c r="DL20" i="1"/>
  <c r="DJ20" i="1"/>
  <c r="DN24" i="1"/>
  <c r="DK24" i="1"/>
  <c r="BZ23" i="1"/>
  <c r="BY16" i="1"/>
  <c r="DL21" i="1"/>
  <c r="DJ21" i="1"/>
  <c r="AN24" i="10"/>
  <c r="AK24" i="10"/>
  <c r="AJ24" i="10" s="1"/>
  <c r="AS24" i="10"/>
  <c r="CP24" i="10"/>
  <c r="CM24" i="10"/>
  <c r="CN24" i="10" s="1"/>
  <c r="CL24" i="10"/>
  <c r="CL23" i="10"/>
  <c r="CP23" i="10"/>
  <c r="CM23" i="10"/>
  <c r="CN23" i="10" s="1"/>
  <c r="CK16" i="10"/>
  <c r="AL16" i="10"/>
  <c r="AM16" i="10"/>
  <c r="AS23" i="10"/>
  <c r="AK23" i="10"/>
  <c r="AJ23" i="10" s="1"/>
  <c r="AI16" i="10"/>
  <c r="I19" i="11" s="1"/>
  <c r="AN23" i="10"/>
  <c r="AS20" i="10"/>
  <c r="AK20" i="10"/>
  <c r="AJ20" i="10" s="1"/>
  <c r="AN20" i="10"/>
  <c r="CL20" i="10"/>
  <c r="CP20" i="10"/>
  <c r="CM20" i="10"/>
  <c r="CN20" i="10" s="1"/>
  <c r="AK18" i="10"/>
  <c r="AJ18" i="10" s="1"/>
  <c r="AN18" i="10"/>
  <c r="AS18" i="10"/>
  <c r="CL18" i="10"/>
  <c r="CP18" i="10"/>
  <c r="CM18" i="10"/>
  <c r="CN18" i="10" s="1"/>
  <c r="CK9" i="10"/>
  <c r="CK33" i="10" s="1"/>
  <c r="AN19" i="10"/>
  <c r="AS19" i="10"/>
  <c r="AK19" i="10"/>
  <c r="AJ19" i="10" s="1"/>
  <c r="CL19" i="10"/>
  <c r="CP19" i="10"/>
  <c r="CM19" i="10"/>
  <c r="CN19" i="10" s="1"/>
  <c r="AN21" i="10"/>
  <c r="AS21" i="10"/>
  <c r="AK21" i="10"/>
  <c r="AJ21" i="10" s="1"/>
  <c r="CL21" i="10"/>
  <c r="CP21" i="10"/>
  <c r="CM21" i="10"/>
  <c r="CN21" i="10" s="1"/>
  <c r="CN22" i="10"/>
  <c r="CE23" i="10"/>
  <c r="CE15" i="10" s="1"/>
  <c r="CE21" i="10"/>
  <c r="CE24" i="10"/>
  <c r="CZ23" i="10"/>
  <c r="CX23" i="10"/>
  <c r="CX20" i="10"/>
  <c r="CZ20" i="10"/>
  <c r="CW10" i="10"/>
  <c r="CW11" i="10" s="1"/>
  <c r="S16" i="11" s="1"/>
  <c r="CX19" i="10"/>
  <c r="CZ19" i="10"/>
  <c r="CW7" i="10"/>
  <c r="CW20" i="10" s="1"/>
  <c r="H14" i="11"/>
  <c r="CE18" i="10"/>
  <c r="CE22" i="10"/>
  <c r="B25" i="3"/>
  <c r="B27" i="11"/>
  <c r="CZ21" i="10"/>
  <c r="CX21" i="10"/>
  <c r="CE19" i="10"/>
  <c r="CE8" i="10"/>
  <c r="AD22" i="10"/>
  <c r="AF22" i="10"/>
  <c r="AC8" i="10" s="1"/>
  <c r="AC7" i="10"/>
  <c r="W22" i="10"/>
  <c r="G12" i="11"/>
  <c r="W23" i="10"/>
  <c r="W15" i="10" s="1"/>
  <c r="W20" i="10"/>
  <c r="W24" i="10"/>
  <c r="W18" i="10"/>
  <c r="W19" i="10"/>
  <c r="W21" i="10"/>
  <c r="W12" i="10"/>
  <c r="G13" i="11"/>
  <c r="CZ24" i="10"/>
  <c r="CX24" i="10"/>
  <c r="S14" i="11"/>
  <c r="CW33" i="10"/>
  <c r="Y24" i="1"/>
  <c r="Y18" i="1"/>
  <c r="AB18" i="1"/>
  <c r="M24" i="1"/>
  <c r="P24" i="1"/>
  <c r="S24" i="1"/>
  <c r="CM24" i="1"/>
  <c r="CS24" i="1"/>
  <c r="Y21" i="1"/>
  <c r="Y19" i="1"/>
  <c r="AA22" i="1"/>
  <c r="AG22" i="1" s="1"/>
  <c r="AM22" i="1" s="1"/>
  <c r="BU24" i="1"/>
  <c r="BV24" i="1" s="1"/>
  <c r="BX21" i="1"/>
  <c r="BX20" i="1"/>
  <c r="BX18" i="1"/>
  <c r="BX19" i="1"/>
  <c r="CV24" i="1"/>
  <c r="BX24" i="1"/>
  <c r="CE11" i="31" l="1"/>
  <c r="Q14" i="32" s="1"/>
  <c r="Q13" i="32"/>
  <c r="BY12" i="31"/>
  <c r="P15" i="32" s="1"/>
  <c r="P11" i="32"/>
  <c r="CQ8" i="31"/>
  <c r="K36" i="31"/>
  <c r="E16" i="32"/>
  <c r="DI20" i="31"/>
  <c r="V10" i="32"/>
  <c r="E57" i="31"/>
  <c r="E39" i="31"/>
  <c r="BS13" i="31"/>
  <c r="O15" i="32"/>
  <c r="CW11" i="31"/>
  <c r="T14" i="32" s="1"/>
  <c r="T13" i="32"/>
  <c r="W34" i="31"/>
  <c r="G12" i="32"/>
  <c r="Q12" i="31"/>
  <c r="F15" i="32" s="1"/>
  <c r="F11" i="32"/>
  <c r="CK13" i="31"/>
  <c r="R15" i="32"/>
  <c r="DI11" i="31"/>
  <c r="V14" i="32" s="1"/>
  <c r="CW21" i="31"/>
  <c r="CW19" i="31"/>
  <c r="CW18" i="31"/>
  <c r="CW22" i="31"/>
  <c r="CW20" i="31"/>
  <c r="CW24" i="31"/>
  <c r="AJ24" i="31"/>
  <c r="AL24" i="31"/>
  <c r="DH21" i="31"/>
  <c r="DE21" i="31"/>
  <c r="DC9" i="31"/>
  <c r="AP18" i="31"/>
  <c r="AR18" i="31"/>
  <c r="AQ21" i="31"/>
  <c r="AY21" i="31"/>
  <c r="AT21" i="31"/>
  <c r="AJ23" i="31"/>
  <c r="AL23" i="31"/>
  <c r="CX21" i="31"/>
  <c r="CZ21" i="31"/>
  <c r="BY13" i="31"/>
  <c r="AJ21" i="31"/>
  <c r="AL21" i="31"/>
  <c r="AU16" i="31"/>
  <c r="K17" i="32" s="1"/>
  <c r="AT23" i="31"/>
  <c r="AQ23" i="31"/>
  <c r="DF20" i="31"/>
  <c r="DD20" i="31"/>
  <c r="DJ23" i="31"/>
  <c r="DL23" i="31"/>
  <c r="DI23" i="31"/>
  <c r="DI15" i="31" s="1"/>
  <c r="AO16" i="31"/>
  <c r="J17" i="32" s="1"/>
  <c r="CH23" i="31"/>
  <c r="CE8" i="31" s="1"/>
  <c r="Z18" i="31"/>
  <c r="W6" i="31"/>
  <c r="W14" i="31" s="1"/>
  <c r="Z20" i="31"/>
  <c r="Z24" i="31"/>
  <c r="Z21" i="31"/>
  <c r="Z23" i="31"/>
  <c r="Z19" i="31"/>
  <c r="CZ23" i="31"/>
  <c r="CX23" i="31"/>
  <c r="CW23" i="31"/>
  <c r="CW15" i="31" s="1"/>
  <c r="AT19" i="31"/>
  <c r="AY19" i="31"/>
  <c r="AQ19" i="31"/>
  <c r="AM22" i="31"/>
  <c r="AE22" i="31"/>
  <c r="AH22" i="31"/>
  <c r="AC10" i="31" s="1"/>
  <c r="H13" i="32" s="1"/>
  <c r="AC9" i="31"/>
  <c r="H12" i="32" s="1"/>
  <c r="BY18" i="31"/>
  <c r="BY20" i="31"/>
  <c r="BY24" i="31"/>
  <c r="BY19" i="31"/>
  <c r="BY21" i="31"/>
  <c r="BY22" i="31"/>
  <c r="AJ20" i="31"/>
  <c r="AL20" i="31"/>
  <c r="DE23" i="31"/>
  <c r="CK16" i="31"/>
  <c r="DH23" i="31"/>
  <c r="DC16" i="31"/>
  <c r="X22" i="31"/>
  <c r="Z22" i="31"/>
  <c r="W7" i="31"/>
  <c r="G10" i="32" s="1"/>
  <c r="Q24" i="31"/>
  <c r="Q19" i="31"/>
  <c r="Q18" i="31"/>
  <c r="Q20" i="31"/>
  <c r="Q21" i="31"/>
  <c r="Q23" i="31"/>
  <c r="Q15" i="31" s="1"/>
  <c r="DI18" i="31"/>
  <c r="DI19" i="31"/>
  <c r="DI22" i="31"/>
  <c r="AT24" i="31"/>
  <c r="AY24" i="31"/>
  <c r="AQ24" i="31"/>
  <c r="AL19" i="31"/>
  <c r="AJ19" i="31"/>
  <c r="W11" i="31"/>
  <c r="G14" i="32" s="1"/>
  <c r="Q22" i="31"/>
  <c r="DL21" i="31"/>
  <c r="DJ21" i="31"/>
  <c r="DI21" i="31"/>
  <c r="BY23" i="31"/>
  <c r="BY15" i="31" s="1"/>
  <c r="AT20" i="31"/>
  <c r="AQ20" i="31"/>
  <c r="AY20" i="31"/>
  <c r="CE7" i="31"/>
  <c r="Q10" i="32" s="1"/>
  <c r="DF24" i="31"/>
  <c r="DD24" i="31"/>
  <c r="BE18" i="31"/>
  <c r="AW18" i="31"/>
  <c r="AZ18" i="31"/>
  <c r="H24" i="1"/>
  <c r="AC11" i="10"/>
  <c r="AI9" i="10"/>
  <c r="I14" i="11" s="1"/>
  <c r="AN22" i="10"/>
  <c r="P20" i="17"/>
  <c r="P21" i="23"/>
  <c r="Q20" i="17"/>
  <c r="Q21" i="23"/>
  <c r="AK22" i="10"/>
  <c r="AJ22" i="10" s="1"/>
  <c r="BM16" i="1"/>
  <c r="CF23" i="1"/>
  <c r="AF21" i="1"/>
  <c r="AD21" i="1"/>
  <c r="CG20" i="1"/>
  <c r="CF20" i="1"/>
  <c r="CJ20" i="1"/>
  <c r="CG18" i="1"/>
  <c r="CF18" i="1"/>
  <c r="CJ18" i="1"/>
  <c r="CE9" i="1"/>
  <c r="AF19" i="1"/>
  <c r="AD19" i="1"/>
  <c r="CJ21" i="1"/>
  <c r="CG21" i="1"/>
  <c r="CF21" i="1"/>
  <c r="AC9" i="1"/>
  <c r="AF20" i="1"/>
  <c r="AD20" i="1"/>
  <c r="CH24" i="1"/>
  <c r="CG19" i="1"/>
  <c r="CJ19" i="1"/>
  <c r="CF19" i="1"/>
  <c r="W9" i="1"/>
  <c r="O16" i="22" s="1"/>
  <c r="AD24" i="1"/>
  <c r="AF24" i="1"/>
  <c r="DF24" i="1"/>
  <c r="DD24" i="1"/>
  <c r="CZ24" i="1"/>
  <c r="CX24" i="1"/>
  <c r="CA18" i="1"/>
  <c r="BY9" i="1"/>
  <c r="BZ18" i="1"/>
  <c r="CD18" i="1"/>
  <c r="DL24" i="1"/>
  <c r="DJ24" i="1"/>
  <c r="CA19" i="1"/>
  <c r="CD19" i="1"/>
  <c r="BZ19" i="1"/>
  <c r="CB24" i="1"/>
  <c r="CD20" i="1"/>
  <c r="BZ20" i="1"/>
  <c r="CA20" i="1"/>
  <c r="BZ21" i="1"/>
  <c r="CA21" i="1"/>
  <c r="CD21" i="1"/>
  <c r="AT24" i="10"/>
  <c r="AY24" i="10"/>
  <c r="AQ24" i="10"/>
  <c r="AI5" i="10"/>
  <c r="AL18" i="10" s="1"/>
  <c r="AY23" i="10"/>
  <c r="AU16" i="10" s="1"/>
  <c r="K19" i="11" s="1"/>
  <c r="AQ23" i="10"/>
  <c r="AT23" i="10"/>
  <c r="AR16" i="10"/>
  <c r="AS16" i="10"/>
  <c r="AO16" i="10"/>
  <c r="J19" i="11" s="1"/>
  <c r="AY20" i="10"/>
  <c r="AQ20" i="10"/>
  <c r="AT20" i="10"/>
  <c r="AQ18" i="10"/>
  <c r="AT18" i="10"/>
  <c r="AY18" i="10"/>
  <c r="CK10" i="10"/>
  <c r="CK11" i="10" s="1"/>
  <c r="AY19" i="10"/>
  <c r="AQ19" i="10"/>
  <c r="AT19" i="10"/>
  <c r="AI10" i="10"/>
  <c r="CK8" i="10"/>
  <c r="AT21" i="10"/>
  <c r="AY21" i="10"/>
  <c r="AQ21" i="10"/>
  <c r="CK7" i="10"/>
  <c r="CK22" i="10" s="1"/>
  <c r="CW24" i="10"/>
  <c r="S27" i="11" s="1"/>
  <c r="CW21" i="10"/>
  <c r="H12" i="11"/>
  <c r="AC23" i="10"/>
  <c r="AC15" i="10" s="1"/>
  <c r="AC21" i="10"/>
  <c r="AC24" i="10"/>
  <c r="H27" i="11" s="1"/>
  <c r="AC18" i="10"/>
  <c r="AC20" i="10"/>
  <c r="AC19" i="10"/>
  <c r="AC22" i="10"/>
  <c r="AC12" i="10"/>
  <c r="H17" i="11" s="1"/>
  <c r="H13" i="11"/>
  <c r="CW22" i="10"/>
  <c r="S12" i="11"/>
  <c r="CW18" i="10"/>
  <c r="AT22" i="10"/>
  <c r="AY22" i="10"/>
  <c r="AQ22" i="10"/>
  <c r="AO9" i="10"/>
  <c r="CE12" i="10"/>
  <c r="CW19" i="10"/>
  <c r="CW23" i="10"/>
  <c r="CW15" i="10" s="1"/>
  <c r="CW8" i="10"/>
  <c r="W13" i="10"/>
  <c r="G17" i="11"/>
  <c r="AI33" i="10"/>
  <c r="F27" i="11"/>
  <c r="W27" i="11"/>
  <c r="D27" i="11"/>
  <c r="G27" i="11"/>
  <c r="E27" i="11"/>
  <c r="T27" i="11"/>
  <c r="U27" i="11"/>
  <c r="V27" i="11"/>
  <c r="H16" i="11"/>
  <c r="CT24" i="1"/>
  <c r="CR24" i="1"/>
  <c r="BT19" i="1"/>
  <c r="BT21" i="1"/>
  <c r="BT20" i="1"/>
  <c r="BT18" i="1"/>
  <c r="BT24" i="1"/>
  <c r="Q13" i="31" l="1"/>
  <c r="K57" i="31"/>
  <c r="K39" i="31"/>
  <c r="CQ12" i="31"/>
  <c r="S11" i="32"/>
  <c r="CK36" i="31"/>
  <c r="R16" i="32"/>
  <c r="BS36" i="31"/>
  <c r="O16" i="32"/>
  <c r="DI8" i="31"/>
  <c r="E170" i="31"/>
  <c r="E40" i="31"/>
  <c r="E41" i="31" s="1"/>
  <c r="CW8" i="31"/>
  <c r="CE12" i="31"/>
  <c r="Q11" i="32"/>
  <c r="BY36" i="31"/>
  <c r="P16" i="32"/>
  <c r="DC10" i="31"/>
  <c r="U13" i="32" s="1"/>
  <c r="AX18" i="31"/>
  <c r="AV18" i="31"/>
  <c r="AP20" i="31"/>
  <c r="AR20" i="31"/>
  <c r="DF23" i="31"/>
  <c r="DD23" i="31"/>
  <c r="AN22" i="31"/>
  <c r="AI10" i="31" s="1"/>
  <c r="I13" i="32" s="1"/>
  <c r="AK22" i="31"/>
  <c r="AS22" i="31"/>
  <c r="AI9" i="31"/>
  <c r="BK18" i="31"/>
  <c r="BC18" i="31"/>
  <c r="BF18" i="31"/>
  <c r="AR19" i="31"/>
  <c r="AP19" i="31"/>
  <c r="BE19" i="31"/>
  <c r="AZ19" i="31"/>
  <c r="AW19" i="31"/>
  <c r="AP23" i="31"/>
  <c r="AR23" i="31"/>
  <c r="W24" i="31"/>
  <c r="W18" i="31"/>
  <c r="W21" i="31"/>
  <c r="W23" i="31"/>
  <c r="W15" i="31" s="1"/>
  <c r="W20" i="31"/>
  <c r="W19" i="31"/>
  <c r="DC11" i="31"/>
  <c r="U14" i="32" s="1"/>
  <c r="DC34" i="31"/>
  <c r="AR24" i="31"/>
  <c r="AP24" i="31"/>
  <c r="W22" i="31"/>
  <c r="AW24" i="31"/>
  <c r="AZ24" i="31"/>
  <c r="BE24" i="31"/>
  <c r="AC34" i="31"/>
  <c r="AC11" i="31"/>
  <c r="H14" i="32" s="1"/>
  <c r="W8" i="31"/>
  <c r="DC7" i="31"/>
  <c r="CE21" i="31"/>
  <c r="CE18" i="31"/>
  <c r="CE24" i="31"/>
  <c r="CE22" i="31"/>
  <c r="CE19" i="31"/>
  <c r="CE20" i="31"/>
  <c r="CE23" i="31"/>
  <c r="CE15" i="31" s="1"/>
  <c r="AW21" i="31"/>
  <c r="BE21" i="31"/>
  <c r="AZ21" i="31"/>
  <c r="DD21" i="31"/>
  <c r="DF21" i="31"/>
  <c r="DC8" i="31" s="1"/>
  <c r="DC21" i="31"/>
  <c r="BE20" i="31"/>
  <c r="AZ20" i="31"/>
  <c r="AW20" i="31"/>
  <c r="AF22" i="31"/>
  <c r="AC8" i="31" s="1"/>
  <c r="AD22" i="31"/>
  <c r="AC7" i="31"/>
  <c r="H10" i="32" s="1"/>
  <c r="AP21" i="31"/>
  <c r="AR21" i="31"/>
  <c r="AI11" i="10"/>
  <c r="I16" i="11" s="1"/>
  <c r="P15" i="23"/>
  <c r="AI7" i="10"/>
  <c r="AI22" i="10" s="1"/>
  <c r="AC34" i="1"/>
  <c r="P16" i="22"/>
  <c r="P15" i="13"/>
  <c r="CH18" i="1"/>
  <c r="CH21" i="1"/>
  <c r="CH19" i="1"/>
  <c r="CH20" i="1"/>
  <c r="CE34" i="1"/>
  <c r="BY34" i="1"/>
  <c r="P14" i="17"/>
  <c r="H9" i="3"/>
  <c r="AL20" i="10"/>
  <c r="AI6" i="10"/>
  <c r="AI14" i="10" s="1"/>
  <c r="CB20" i="1"/>
  <c r="I11" i="11"/>
  <c r="CB19" i="1"/>
  <c r="CB21" i="1"/>
  <c r="CB18" i="1"/>
  <c r="AS23" i="1"/>
  <c r="AL19" i="10"/>
  <c r="AL23" i="10"/>
  <c r="AL22" i="10"/>
  <c r="AL24" i="10"/>
  <c r="AL21" i="10"/>
  <c r="AP24" i="10"/>
  <c r="AR24" i="10"/>
  <c r="BE24" i="10"/>
  <c r="AW24" i="10"/>
  <c r="AZ24" i="10"/>
  <c r="AP23" i="10"/>
  <c r="AR23" i="10"/>
  <c r="BE23" i="10"/>
  <c r="BA16" i="10" s="1"/>
  <c r="AW23" i="10"/>
  <c r="AZ23" i="10"/>
  <c r="AR20" i="10"/>
  <c r="AP20" i="10"/>
  <c r="BE20" i="10"/>
  <c r="AZ20" i="10"/>
  <c r="AW20" i="10"/>
  <c r="BE18" i="10"/>
  <c r="AZ18" i="10"/>
  <c r="AW18" i="10"/>
  <c r="CK12" i="10"/>
  <c r="CK13" i="10" s="1"/>
  <c r="CK35" i="10" s="1"/>
  <c r="CK38" i="10" s="1"/>
  <c r="CK39" i="10" s="1"/>
  <c r="CK40" i="10" s="1"/>
  <c r="CK45" i="10" s="1"/>
  <c r="AP18" i="10"/>
  <c r="AR18" i="10"/>
  <c r="AR19" i="10"/>
  <c r="AP19" i="10"/>
  <c r="BE19" i="10"/>
  <c r="AZ19" i="10"/>
  <c r="AW19" i="10"/>
  <c r="AO10" i="10"/>
  <c r="AO11" i="10" s="1"/>
  <c r="CK18" i="10"/>
  <c r="CK19" i="10"/>
  <c r="CK21" i="10"/>
  <c r="CK20" i="10"/>
  <c r="AR21" i="10"/>
  <c r="AP21" i="10"/>
  <c r="CK23" i="10"/>
  <c r="CK15" i="10" s="1"/>
  <c r="AW21" i="10"/>
  <c r="BE21" i="10"/>
  <c r="AZ21" i="10"/>
  <c r="CK24" i="10"/>
  <c r="AC13" i="10"/>
  <c r="AC35" i="10" s="1"/>
  <c r="AC38" i="10" s="1"/>
  <c r="AC39" i="10" s="1"/>
  <c r="AC40" i="10" s="1"/>
  <c r="CE13" i="10"/>
  <c r="CW12" i="10"/>
  <c r="S13" i="11"/>
  <c r="J14" i="11"/>
  <c r="AO33" i="10"/>
  <c r="AR22" i="10"/>
  <c r="AP22" i="10"/>
  <c r="AO7" i="10"/>
  <c r="BE22" i="10"/>
  <c r="AZ22" i="10"/>
  <c r="AW22" i="10"/>
  <c r="AU9" i="10"/>
  <c r="W35" i="10"/>
  <c r="W38" i="10" s="1"/>
  <c r="W39" i="10" s="1"/>
  <c r="W40" i="10" s="1"/>
  <c r="G18" i="11"/>
  <c r="AI20" i="10"/>
  <c r="AI34" i="31" l="1"/>
  <c r="I12" i="32"/>
  <c r="BY57" i="31"/>
  <c r="BY39" i="31"/>
  <c r="BS39" i="31"/>
  <c r="BS57" i="31"/>
  <c r="DC23" i="31"/>
  <c r="DC15" i="31" s="1"/>
  <c r="U10" i="32"/>
  <c r="CE13" i="31"/>
  <c r="Q15" i="32"/>
  <c r="CK57" i="31"/>
  <c r="CK39" i="31"/>
  <c r="DC12" i="31"/>
  <c r="U15" i="32" s="1"/>
  <c r="U11" i="32"/>
  <c r="W12" i="31"/>
  <c r="G11" i="32"/>
  <c r="CW12" i="31"/>
  <c r="T11" i="32"/>
  <c r="F73" i="31"/>
  <c r="F77" i="31"/>
  <c r="F103" i="31"/>
  <c r="F84" i="31"/>
  <c r="F107" i="31"/>
  <c r="F99" i="31"/>
  <c r="F108" i="31"/>
  <c r="E44" i="31"/>
  <c r="F97" i="31"/>
  <c r="F76" i="31"/>
  <c r="F89" i="31"/>
  <c r="F95" i="31"/>
  <c r="F88" i="31"/>
  <c r="F110" i="31"/>
  <c r="F109" i="31"/>
  <c r="F71" i="31"/>
  <c r="F75" i="31"/>
  <c r="F72" i="31"/>
  <c r="G124" i="31"/>
  <c r="F124" i="31" s="1"/>
  <c r="F105" i="31"/>
  <c r="F94" i="31"/>
  <c r="F91" i="31"/>
  <c r="F106" i="31"/>
  <c r="F104" i="31"/>
  <c r="F74" i="31"/>
  <c r="F102" i="31"/>
  <c r="F78" i="31"/>
  <c r="F83" i="31"/>
  <c r="G129" i="31"/>
  <c r="F100" i="31"/>
  <c r="F87" i="31"/>
  <c r="F70" i="31"/>
  <c r="F111" i="31"/>
  <c r="F93" i="31"/>
  <c r="F85" i="31"/>
  <c r="F82" i="31"/>
  <c r="F96" i="31"/>
  <c r="F80" i="31"/>
  <c r="E43" i="31"/>
  <c r="E45" i="31"/>
  <c r="E47" i="31" s="1"/>
  <c r="E49" i="31" s="1"/>
  <c r="E50" i="31" s="1"/>
  <c r="E46" i="31"/>
  <c r="F101" i="31"/>
  <c r="F92" i="31"/>
  <c r="F79" i="31"/>
  <c r="CQ13" i="31"/>
  <c r="S15" i="32"/>
  <c r="K40" i="31"/>
  <c r="K41" i="31" s="1"/>
  <c r="K170" i="31"/>
  <c r="AC12" i="31"/>
  <c r="H15" i="32" s="1"/>
  <c r="H11" i="32"/>
  <c r="DI12" i="31"/>
  <c r="V11" i="32"/>
  <c r="Q36" i="31"/>
  <c r="F16" i="32"/>
  <c r="AI11" i="31"/>
  <c r="I14" i="32" s="1"/>
  <c r="AL22" i="31"/>
  <c r="AI8" i="31" s="1"/>
  <c r="AJ22" i="31"/>
  <c r="AI7" i="31"/>
  <c r="I10" i="32" s="1"/>
  <c r="AX21" i="31"/>
  <c r="AV21" i="31"/>
  <c r="BK19" i="31"/>
  <c r="BC19" i="31"/>
  <c r="BF19" i="31"/>
  <c r="BC20" i="31"/>
  <c r="BK20" i="31"/>
  <c r="BF20" i="31"/>
  <c r="BC24" i="31"/>
  <c r="BK24" i="31"/>
  <c r="BF24" i="31"/>
  <c r="DC13" i="31"/>
  <c r="BB18" i="31"/>
  <c r="BD18" i="31"/>
  <c r="BF21" i="31"/>
  <c r="BC21" i="31"/>
  <c r="BK21" i="31"/>
  <c r="BQ18" i="31"/>
  <c r="BI18" i="31"/>
  <c r="BL18" i="31"/>
  <c r="AC24" i="31"/>
  <c r="AC18" i="31"/>
  <c r="AC23" i="31"/>
  <c r="AC15" i="31" s="1"/>
  <c r="AC19" i="31"/>
  <c r="AC20" i="31"/>
  <c r="AC21" i="31"/>
  <c r="AX24" i="31"/>
  <c r="AV24" i="31"/>
  <c r="AC22" i="31"/>
  <c r="AX20" i="31"/>
  <c r="AV20" i="31"/>
  <c r="DC18" i="31"/>
  <c r="DC19" i="31"/>
  <c r="DC22" i="31"/>
  <c r="DC20" i="31"/>
  <c r="DC24" i="31"/>
  <c r="AV19" i="31"/>
  <c r="AX19" i="31"/>
  <c r="AT22" i="31"/>
  <c r="AO10" i="31" s="1"/>
  <c r="J13" i="32" s="1"/>
  <c r="AQ22" i="31"/>
  <c r="AY22" i="31"/>
  <c r="AO9" i="31"/>
  <c r="I12" i="11"/>
  <c r="AU16" i="1"/>
  <c r="AO16" i="1"/>
  <c r="AI24" i="10"/>
  <c r="I27" i="11" s="1"/>
  <c r="AI21" i="10"/>
  <c r="AI18" i="10"/>
  <c r="AI19" i="10"/>
  <c r="AI23" i="10"/>
  <c r="AI15" i="10" s="1"/>
  <c r="AI8" i="10"/>
  <c r="I13" i="11" s="1"/>
  <c r="BC24" i="10"/>
  <c r="BF24" i="10"/>
  <c r="BK24" i="10"/>
  <c r="AV24" i="10"/>
  <c r="AX24" i="10"/>
  <c r="AX23" i="10"/>
  <c r="AV23" i="10"/>
  <c r="BK23" i="10"/>
  <c r="BG16" i="10" s="1"/>
  <c r="M19" i="11" s="1"/>
  <c r="BC23" i="10"/>
  <c r="BF23" i="10"/>
  <c r="AX20" i="10"/>
  <c r="AV20" i="10"/>
  <c r="BC20" i="10"/>
  <c r="BF20" i="10"/>
  <c r="BK20" i="10"/>
  <c r="CK42" i="10"/>
  <c r="BK18" i="10"/>
  <c r="BC18" i="10"/>
  <c r="BF18" i="10"/>
  <c r="CK44" i="10"/>
  <c r="CK46" i="10" s="1"/>
  <c r="CK48" i="10" s="1"/>
  <c r="CK49" i="10" s="1"/>
  <c r="CK52" i="10" s="1"/>
  <c r="CK56" i="10" s="1"/>
  <c r="CK43" i="10"/>
  <c r="AV18" i="10"/>
  <c r="AX18" i="10"/>
  <c r="BC19" i="10"/>
  <c r="BF19" i="10"/>
  <c r="BK19" i="10"/>
  <c r="AV19" i="10"/>
  <c r="AX19" i="10"/>
  <c r="AO8" i="10"/>
  <c r="J13" i="11" s="1"/>
  <c r="AU10" i="10"/>
  <c r="AU11" i="10" s="1"/>
  <c r="BC21" i="10"/>
  <c r="BF21" i="10"/>
  <c r="BK21" i="10"/>
  <c r="AV21" i="10"/>
  <c r="AX21" i="10"/>
  <c r="H18" i="11"/>
  <c r="AX22" i="10"/>
  <c r="AV22" i="10"/>
  <c r="AU7" i="10"/>
  <c r="AU22" i="10" s="1"/>
  <c r="K14" i="11"/>
  <c r="AU33" i="10"/>
  <c r="CE35" i="10"/>
  <c r="CE38" i="10" s="1"/>
  <c r="CE39" i="10" s="1"/>
  <c r="CE40" i="10" s="1"/>
  <c r="CW13" i="10"/>
  <c r="S17" i="11"/>
  <c r="W43" i="10"/>
  <c r="W42" i="10"/>
  <c r="W45" i="10"/>
  <c r="W44" i="10"/>
  <c r="BK22" i="10"/>
  <c r="BF22" i="10"/>
  <c r="BC22" i="10"/>
  <c r="BA9" i="10"/>
  <c r="J16" i="11"/>
  <c r="J12" i="11"/>
  <c r="AO23" i="10"/>
  <c r="AO15" i="10" s="1"/>
  <c r="AO18" i="10"/>
  <c r="AO20" i="10"/>
  <c r="AO24" i="10"/>
  <c r="J27" i="11" s="1"/>
  <c r="AO21" i="10"/>
  <c r="AO19" i="10"/>
  <c r="AO22" i="10"/>
  <c r="AC43" i="10"/>
  <c r="AC44" i="10"/>
  <c r="AC42" i="10"/>
  <c r="AC45" i="10"/>
  <c r="AS18" i="1"/>
  <c r="AK18" i="1"/>
  <c r="AK20" i="1"/>
  <c r="AS20" i="1"/>
  <c r="AK21" i="1"/>
  <c r="AS21" i="1"/>
  <c r="AK19" i="1"/>
  <c r="AJ19" i="1" s="1"/>
  <c r="AK24" i="1"/>
  <c r="AS24" i="1"/>
  <c r="G139" i="31" l="1"/>
  <c r="E60" i="31"/>
  <c r="E64" i="31" s="1"/>
  <c r="E56" i="31"/>
  <c r="G115" i="31"/>
  <c r="W13" i="31"/>
  <c r="G15" i="32"/>
  <c r="BS40" i="31"/>
  <c r="BS41" i="31" s="1"/>
  <c r="BS170" i="31"/>
  <c r="AC13" i="31"/>
  <c r="CK40" i="31"/>
  <c r="CK41" i="31" s="1"/>
  <c r="CK170" i="31"/>
  <c r="BY40" i="31"/>
  <c r="BY41" i="31" s="1"/>
  <c r="BY170" i="31"/>
  <c r="F129" i="31"/>
  <c r="G134" i="31"/>
  <c r="F134" i="31" s="1"/>
  <c r="AI12" i="31"/>
  <c r="I11" i="32"/>
  <c r="L92" i="31"/>
  <c r="L111" i="31"/>
  <c r="L79" i="31"/>
  <c r="K45" i="31"/>
  <c r="L84" i="31"/>
  <c r="L71" i="31"/>
  <c r="L106" i="31"/>
  <c r="L88" i="31"/>
  <c r="L87" i="31"/>
  <c r="L74" i="31"/>
  <c r="K43" i="31"/>
  <c r="L104" i="31"/>
  <c r="M124" i="31"/>
  <c r="L124" i="31" s="1"/>
  <c r="L89" i="31"/>
  <c r="K46" i="31"/>
  <c r="L107" i="31"/>
  <c r="L82" i="31"/>
  <c r="L103" i="31"/>
  <c r="L100" i="31"/>
  <c r="L70" i="31"/>
  <c r="L105" i="31"/>
  <c r="L91" i="31"/>
  <c r="L72" i="31"/>
  <c r="L109" i="31"/>
  <c r="L96" i="31"/>
  <c r="L78" i="31"/>
  <c r="L99" i="31"/>
  <c r="L85" i="31"/>
  <c r="L75" i="31"/>
  <c r="L77" i="31"/>
  <c r="K44" i="31"/>
  <c r="L97" i="31"/>
  <c r="L73" i="31"/>
  <c r="L102" i="31"/>
  <c r="L94" i="31"/>
  <c r="L83" i="31"/>
  <c r="L76" i="31"/>
  <c r="L108" i="31"/>
  <c r="L101" i="31"/>
  <c r="L110" i="31"/>
  <c r="L80" i="31"/>
  <c r="L95" i="31"/>
  <c r="M129" i="31"/>
  <c r="L93" i="31"/>
  <c r="AO34" i="31"/>
  <c r="J12" i="32"/>
  <c r="DI13" i="31"/>
  <c r="V15" i="32"/>
  <c r="DC36" i="31"/>
  <c r="DC57" i="31" s="1"/>
  <c r="U16" i="32"/>
  <c r="Q57" i="31"/>
  <c r="Q39" i="31"/>
  <c r="CQ36" i="31"/>
  <c r="S16" i="32"/>
  <c r="CW13" i="31"/>
  <c r="T15" i="32"/>
  <c r="CE36" i="31"/>
  <c r="Q16" i="32"/>
  <c r="AO11" i="31"/>
  <c r="J14" i="32" s="1"/>
  <c r="BD21" i="31"/>
  <c r="BB21" i="31"/>
  <c r="BB20" i="31"/>
  <c r="BD20" i="31"/>
  <c r="BD19" i="31"/>
  <c r="BB19" i="31"/>
  <c r="AI18" i="31"/>
  <c r="AI21" i="31"/>
  <c r="AI20" i="31"/>
  <c r="AI23" i="31"/>
  <c r="AI15" i="31" s="1"/>
  <c r="AI24" i="31"/>
  <c r="AI19" i="31"/>
  <c r="BL19" i="31"/>
  <c r="BQ19" i="31"/>
  <c r="BI19" i="31"/>
  <c r="AI22" i="31"/>
  <c r="DC39" i="31"/>
  <c r="BO18" i="31"/>
  <c r="BR18" i="31"/>
  <c r="BN18" i="31"/>
  <c r="BI24" i="31"/>
  <c r="BQ24" i="31"/>
  <c r="BL24" i="31"/>
  <c r="BB24" i="31"/>
  <c r="BD24" i="31"/>
  <c r="AW22" i="31"/>
  <c r="BE22" i="31"/>
  <c r="AZ22" i="31"/>
  <c r="AU10" i="31" s="1"/>
  <c r="K13" i="32" s="1"/>
  <c r="AU9" i="31"/>
  <c r="BJ18" i="31"/>
  <c r="BH18" i="31"/>
  <c r="AP22" i="31"/>
  <c r="AR22" i="31"/>
  <c r="AO8" i="31" s="1"/>
  <c r="AO22" i="31"/>
  <c r="AO7" i="31"/>
  <c r="J10" i="32" s="1"/>
  <c r="BQ21" i="31"/>
  <c r="BL21" i="31"/>
  <c r="BI21" i="31"/>
  <c r="BL20" i="31"/>
  <c r="BI20" i="31"/>
  <c r="BQ20" i="31"/>
  <c r="L19" i="11"/>
  <c r="AI12" i="10"/>
  <c r="I17" i="11" s="1"/>
  <c r="BI24" i="10"/>
  <c r="BQ24" i="10"/>
  <c r="BL24" i="10"/>
  <c r="BD24" i="10"/>
  <c r="BB24" i="10"/>
  <c r="AO12" i="10"/>
  <c r="J17" i="11" s="1"/>
  <c r="BD23" i="10"/>
  <c r="BB23" i="10"/>
  <c r="BQ23" i="10"/>
  <c r="BM16" i="10" s="1"/>
  <c r="N19" i="11" s="1"/>
  <c r="BL23" i="10"/>
  <c r="BI23" i="10"/>
  <c r="BQ20" i="10"/>
  <c r="BL20" i="10"/>
  <c r="BI20" i="10"/>
  <c r="BB20" i="10"/>
  <c r="BD20" i="10"/>
  <c r="BD18" i="10"/>
  <c r="BB18" i="10"/>
  <c r="BI18" i="10"/>
  <c r="BQ18" i="10"/>
  <c r="BL18" i="10"/>
  <c r="BL19" i="10"/>
  <c r="BQ19" i="10"/>
  <c r="BI19" i="10"/>
  <c r="BB19" i="10"/>
  <c r="BD19" i="10"/>
  <c r="AU8" i="10"/>
  <c r="AU12" i="10" s="1"/>
  <c r="K17" i="11" s="1"/>
  <c r="BA10" i="10"/>
  <c r="BA11" i="10" s="1"/>
  <c r="BQ21" i="10"/>
  <c r="BI21" i="10"/>
  <c r="BL21" i="10"/>
  <c r="BB21" i="10"/>
  <c r="BD21" i="10"/>
  <c r="AC46" i="10"/>
  <c r="AC48" i="10" s="1"/>
  <c r="AC49" i="10" s="1"/>
  <c r="AC52" i="10" s="1"/>
  <c r="AC56" i="10" s="1"/>
  <c r="W46" i="10"/>
  <c r="W48" i="10" s="1"/>
  <c r="W49" i="10" s="1"/>
  <c r="W52" i="10" s="1"/>
  <c r="W56" i="10" s="1"/>
  <c r="L14" i="11"/>
  <c r="BA33" i="10"/>
  <c r="BB22" i="10"/>
  <c r="BD22" i="10"/>
  <c r="BA7" i="10"/>
  <c r="BA22" i="10" s="1"/>
  <c r="K16" i="11"/>
  <c r="BQ22" i="10"/>
  <c r="BI22" i="10"/>
  <c r="BL22" i="10"/>
  <c r="BG9" i="10"/>
  <c r="CE45" i="10"/>
  <c r="CE42" i="10"/>
  <c r="CE44" i="10"/>
  <c r="CE43" i="10"/>
  <c r="CW35" i="10"/>
  <c r="CW38" i="10" s="1"/>
  <c r="CW39" i="10" s="1"/>
  <c r="CW40" i="10" s="1"/>
  <c r="S18" i="11"/>
  <c r="K12" i="11"/>
  <c r="AU23" i="10"/>
  <c r="AU15" i="10" s="1"/>
  <c r="AU18" i="10"/>
  <c r="AU20" i="10"/>
  <c r="AU19" i="10"/>
  <c r="AU21" i="10"/>
  <c r="AU24" i="10"/>
  <c r="K27" i="11" s="1"/>
  <c r="AY19" i="1"/>
  <c r="AZ19" i="1" s="1"/>
  <c r="AQ19" i="1"/>
  <c r="AY21" i="1"/>
  <c r="AQ21" i="1"/>
  <c r="AY20" i="1"/>
  <c r="AQ20" i="1"/>
  <c r="AS22" i="1"/>
  <c r="AQ24" i="1"/>
  <c r="AY24" i="1"/>
  <c r="AQ18" i="1"/>
  <c r="AY18" i="1"/>
  <c r="D23" i="1"/>
  <c r="D22" i="1"/>
  <c r="C23" i="1"/>
  <c r="B24" i="32" s="1"/>
  <c r="C22" i="1"/>
  <c r="B23" i="32" s="1"/>
  <c r="C21" i="1"/>
  <c r="C20" i="1"/>
  <c r="C19" i="1"/>
  <c r="C18" i="1"/>
  <c r="B22" i="11" l="1"/>
  <c r="B20" i="32"/>
  <c r="BT102" i="31"/>
  <c r="BT88" i="31"/>
  <c r="BT82" i="31"/>
  <c r="BS43" i="31"/>
  <c r="BT103" i="31"/>
  <c r="BT104" i="31"/>
  <c r="BT108" i="31"/>
  <c r="BS46" i="31"/>
  <c r="BT92" i="31"/>
  <c r="BT110" i="31"/>
  <c r="BT111" i="31"/>
  <c r="BT107" i="31"/>
  <c r="BT96" i="31"/>
  <c r="BS44" i="31"/>
  <c r="BT75" i="31"/>
  <c r="BT87" i="31"/>
  <c r="BT94" i="31"/>
  <c r="BT85" i="31"/>
  <c r="BT91" i="31"/>
  <c r="BT93" i="31"/>
  <c r="BT97" i="31"/>
  <c r="BT79" i="31"/>
  <c r="BT109" i="31"/>
  <c r="BT80" i="31"/>
  <c r="BT71" i="31"/>
  <c r="BT70" i="31"/>
  <c r="BS45" i="31"/>
  <c r="BS47" i="31" s="1"/>
  <c r="BS49" i="31" s="1"/>
  <c r="BS50" i="31" s="1"/>
  <c r="BT100" i="31"/>
  <c r="BT105" i="31"/>
  <c r="BT95" i="31"/>
  <c r="BT73" i="31"/>
  <c r="BT78" i="31"/>
  <c r="BT84" i="31"/>
  <c r="BT76" i="31"/>
  <c r="BT89" i="31"/>
  <c r="BT106" i="31"/>
  <c r="BT99" i="31"/>
  <c r="BT77" i="31"/>
  <c r="BU124" i="31"/>
  <c r="BT124" i="31" s="1"/>
  <c r="BT83" i="31"/>
  <c r="BT74" i="31"/>
  <c r="BT72" i="31"/>
  <c r="BU129" i="31"/>
  <c r="BT101" i="31"/>
  <c r="P23" i="32"/>
  <c r="H23" i="32"/>
  <c r="O23" i="32"/>
  <c r="G23" i="32"/>
  <c r="D23" i="32"/>
  <c r="V23" i="32"/>
  <c r="F23" i="32"/>
  <c r="U23" i="32"/>
  <c r="E23" i="32"/>
  <c r="T23" i="32"/>
  <c r="S23" i="32"/>
  <c r="R23" i="32"/>
  <c r="J23" i="32"/>
  <c r="Q23" i="32"/>
  <c r="I23" i="32"/>
  <c r="W23" i="32"/>
  <c r="B19" i="32"/>
  <c r="W25" i="32"/>
  <c r="DI36" i="31"/>
  <c r="V16" i="32"/>
  <c r="AI13" i="31"/>
  <c r="I15" i="32"/>
  <c r="Q40" i="31"/>
  <c r="Q41" i="31" s="1"/>
  <c r="Q170" i="31"/>
  <c r="CQ39" i="31"/>
  <c r="CQ57" i="31"/>
  <c r="K47" i="31"/>
  <c r="K49" i="31" s="1"/>
  <c r="K50" i="31" s="1"/>
  <c r="W36" i="31"/>
  <c r="G16" i="32"/>
  <c r="B23" i="11"/>
  <c r="B21" i="32"/>
  <c r="AU34" i="31"/>
  <c r="K12" i="32"/>
  <c r="L129" i="31"/>
  <c r="M134" i="31"/>
  <c r="L134" i="31" s="1"/>
  <c r="BZ72" i="31"/>
  <c r="BZ76" i="31"/>
  <c r="BZ99" i="31"/>
  <c r="BZ78" i="31"/>
  <c r="BZ104" i="31"/>
  <c r="BZ80" i="31"/>
  <c r="BY46" i="31"/>
  <c r="BY47" i="31" s="1"/>
  <c r="BY49" i="31" s="1"/>
  <c r="BY50" i="31" s="1"/>
  <c r="CA129" i="31"/>
  <c r="BZ89" i="31"/>
  <c r="BZ79" i="31"/>
  <c r="BZ77" i="31"/>
  <c r="BZ95" i="31"/>
  <c r="BZ109" i="31"/>
  <c r="CA124" i="31"/>
  <c r="BZ124" i="31" s="1"/>
  <c r="BZ70" i="31"/>
  <c r="BZ100" i="31"/>
  <c r="BY45" i="31"/>
  <c r="BZ107" i="31"/>
  <c r="BZ93" i="31"/>
  <c r="BZ97" i="31"/>
  <c r="BZ71" i="31"/>
  <c r="BY43" i="31"/>
  <c r="BZ74" i="31"/>
  <c r="BZ73" i="31"/>
  <c r="BZ84" i="31"/>
  <c r="BZ92" i="31"/>
  <c r="BZ108" i="31"/>
  <c r="BZ105" i="31"/>
  <c r="BZ85" i="31"/>
  <c r="BZ103" i="31"/>
  <c r="BY44" i="31"/>
  <c r="BZ110" i="31"/>
  <c r="BZ102" i="31"/>
  <c r="BZ111" i="31"/>
  <c r="BZ82" i="31"/>
  <c r="BZ101" i="31"/>
  <c r="BZ87" i="31"/>
  <c r="BZ83" i="31"/>
  <c r="BZ94" i="31"/>
  <c r="BZ91" i="31"/>
  <c r="BZ106" i="31"/>
  <c r="BZ75" i="31"/>
  <c r="BZ88" i="31"/>
  <c r="BZ96" i="31"/>
  <c r="F115" i="31"/>
  <c r="G121" i="31"/>
  <c r="F121" i="31" s="1"/>
  <c r="V24" i="32"/>
  <c r="F24" i="32"/>
  <c r="U24" i="32"/>
  <c r="E24" i="32"/>
  <c r="T24" i="32"/>
  <c r="S24" i="32"/>
  <c r="D24" i="32"/>
  <c r="R24" i="32"/>
  <c r="Q24" i="32"/>
  <c r="I24" i="32"/>
  <c r="P24" i="32"/>
  <c r="H24" i="32"/>
  <c r="O24" i="32"/>
  <c r="G24" i="32"/>
  <c r="W24" i="32"/>
  <c r="AO12" i="31"/>
  <c r="J11" i="32"/>
  <c r="CE57" i="31"/>
  <c r="CE39" i="31"/>
  <c r="B24" i="11"/>
  <c r="B22" i="32"/>
  <c r="CL85" i="31"/>
  <c r="CL99" i="31"/>
  <c r="CK45" i="31"/>
  <c r="CK47" i="31" s="1"/>
  <c r="CK49" i="31" s="1"/>
  <c r="CK50" i="31" s="1"/>
  <c r="CL93" i="31"/>
  <c r="CL83" i="31"/>
  <c r="CL105" i="31"/>
  <c r="CL72" i="31"/>
  <c r="CL108" i="31"/>
  <c r="CK43" i="31"/>
  <c r="CL73" i="31"/>
  <c r="CL100" i="31"/>
  <c r="CL109" i="31"/>
  <c r="CL71" i="31"/>
  <c r="CL95" i="31"/>
  <c r="CL70" i="31"/>
  <c r="CL104" i="31"/>
  <c r="CL89" i="31"/>
  <c r="CL102" i="31"/>
  <c r="CL78" i="31"/>
  <c r="CL103" i="31"/>
  <c r="CL91" i="31"/>
  <c r="CM129" i="31"/>
  <c r="CL88" i="31"/>
  <c r="CL96" i="31"/>
  <c r="CM124" i="31"/>
  <c r="CL124" i="31" s="1"/>
  <c r="CK44" i="31"/>
  <c r="CL76" i="31"/>
  <c r="CL110" i="31"/>
  <c r="CL84" i="31"/>
  <c r="CL87" i="31"/>
  <c r="CL77" i="31"/>
  <c r="CL80" i="31"/>
  <c r="CL111" i="31"/>
  <c r="CL94" i="31"/>
  <c r="CL79" i="31"/>
  <c r="CL107" i="31"/>
  <c r="CL74" i="31"/>
  <c r="CL82" i="31"/>
  <c r="CL106" i="31"/>
  <c r="CL101" i="31"/>
  <c r="CK46" i="31"/>
  <c r="CL92" i="31"/>
  <c r="CL97" i="31"/>
  <c r="CL75" i="31"/>
  <c r="CM115" i="31"/>
  <c r="CM139" i="31"/>
  <c r="CW36" i="31"/>
  <c r="T16" i="32"/>
  <c r="AC36" i="31"/>
  <c r="H16" i="32"/>
  <c r="G144" i="31"/>
  <c r="F144" i="31" s="1"/>
  <c r="F139" i="31"/>
  <c r="G147" i="31"/>
  <c r="F147" i="31" s="1"/>
  <c r="AU11" i="31"/>
  <c r="K14" i="32" s="1"/>
  <c r="BR19" i="31"/>
  <c r="BO19" i="31"/>
  <c r="BN19" i="31"/>
  <c r="BP18" i="31"/>
  <c r="DC40" i="31"/>
  <c r="DC41" i="31" s="1"/>
  <c r="DC170" i="31"/>
  <c r="BH20" i="31"/>
  <c r="BJ20" i="31"/>
  <c r="BN21" i="31"/>
  <c r="BO21" i="31"/>
  <c r="BR21" i="31"/>
  <c r="AV22" i="31"/>
  <c r="AX22" i="31"/>
  <c r="AU8" i="31" s="1"/>
  <c r="AU22" i="31"/>
  <c r="K23" i="32" s="1"/>
  <c r="AU7" i="31"/>
  <c r="K10" i="32" s="1"/>
  <c r="BJ21" i="31"/>
  <c r="BH21" i="31"/>
  <c r="BO24" i="31"/>
  <c r="BR24" i="31"/>
  <c r="BN24" i="31"/>
  <c r="BO20" i="31"/>
  <c r="BN20" i="31"/>
  <c r="BR20" i="31"/>
  <c r="BC22" i="31"/>
  <c r="BK22" i="31"/>
  <c r="BF22" i="31"/>
  <c r="BA10" i="31" s="1"/>
  <c r="L13" i="32" s="1"/>
  <c r="BA9" i="31"/>
  <c r="AO18" i="31"/>
  <c r="AO20" i="31"/>
  <c r="AO24" i="31"/>
  <c r="AO23" i="31"/>
  <c r="AO15" i="31" s="1"/>
  <c r="AO19" i="31"/>
  <c r="AO21" i="31"/>
  <c r="BJ24" i="31"/>
  <c r="BH24" i="31"/>
  <c r="BJ19" i="31"/>
  <c r="BH19" i="31"/>
  <c r="J23" i="1"/>
  <c r="G23" i="1"/>
  <c r="G22" i="1"/>
  <c r="J22" i="1"/>
  <c r="CJ22" i="1"/>
  <c r="CG22" i="1"/>
  <c r="CJ23" i="1"/>
  <c r="CG23" i="1"/>
  <c r="Q25" i="21"/>
  <c r="P25" i="21"/>
  <c r="P27" i="21"/>
  <c r="Q22" i="21"/>
  <c r="P24" i="21"/>
  <c r="Q23" i="21"/>
  <c r="Q21" i="21"/>
  <c r="P23" i="21"/>
  <c r="Q27" i="21"/>
  <c r="P21" i="21"/>
  <c r="Q26" i="21"/>
  <c r="Q24" i="21"/>
  <c r="P26" i="21"/>
  <c r="P22" i="21"/>
  <c r="B21" i="11"/>
  <c r="I21" i="11" s="1"/>
  <c r="AE23" i="1"/>
  <c r="AH23" i="1"/>
  <c r="AH22" i="1"/>
  <c r="AE22" i="1"/>
  <c r="AI13" i="10"/>
  <c r="AI35" i="10" s="1"/>
  <c r="AI38" i="10" s="1"/>
  <c r="AI39" i="10" s="1"/>
  <c r="AI40" i="10" s="1"/>
  <c r="DE23" i="1"/>
  <c r="DB23" i="1"/>
  <c r="CY23" i="1"/>
  <c r="DH23" i="1"/>
  <c r="DB22" i="1"/>
  <c r="CY22" i="1"/>
  <c r="DE22" i="1"/>
  <c r="DH22" i="1"/>
  <c r="AK23" i="1"/>
  <c r="DN23" i="1"/>
  <c r="DK23" i="1"/>
  <c r="CA23" i="1"/>
  <c r="CD23" i="1"/>
  <c r="DN22" i="1"/>
  <c r="DK22" i="1"/>
  <c r="CD22" i="1"/>
  <c r="CA22" i="1"/>
  <c r="BO24" i="10"/>
  <c r="BW24" i="10"/>
  <c r="BR24" i="10"/>
  <c r="BJ24" i="10"/>
  <c r="BH24" i="10"/>
  <c r="AO13" i="10"/>
  <c r="J18" i="11" s="1"/>
  <c r="BJ23" i="10"/>
  <c r="BH23" i="10"/>
  <c r="BW23" i="10"/>
  <c r="BS16" i="10" s="1"/>
  <c r="O19" i="11" s="1"/>
  <c r="BR23" i="10"/>
  <c r="BO23" i="10"/>
  <c r="BH20" i="10"/>
  <c r="BJ20" i="10"/>
  <c r="K13" i="11"/>
  <c r="BO20" i="10"/>
  <c r="BR20" i="10"/>
  <c r="BW20" i="10"/>
  <c r="BW18" i="10"/>
  <c r="BO18" i="10"/>
  <c r="BR18" i="10"/>
  <c r="BH18" i="10"/>
  <c r="BJ18" i="10"/>
  <c r="BW19" i="10"/>
  <c r="BO19" i="10"/>
  <c r="BR19" i="10"/>
  <c r="BJ19" i="10"/>
  <c r="BH19" i="10"/>
  <c r="BG10" i="10"/>
  <c r="BG11" i="10" s="1"/>
  <c r="BA8" i="10"/>
  <c r="BA12" i="10" s="1"/>
  <c r="BH21" i="10"/>
  <c r="BJ21" i="10"/>
  <c r="BW21" i="10"/>
  <c r="BO21" i="10"/>
  <c r="BR21" i="10"/>
  <c r="CE46" i="10"/>
  <c r="CE48" i="10" s="1"/>
  <c r="CE49" i="10" s="1"/>
  <c r="CE52" i="10" s="1"/>
  <c r="CE56" i="10" s="1"/>
  <c r="B24" i="3"/>
  <c r="B26" i="11"/>
  <c r="BJ22" i="10"/>
  <c r="BH22" i="10"/>
  <c r="BG7" i="10"/>
  <c r="B23" i="3"/>
  <c r="B25" i="11"/>
  <c r="M14" i="11"/>
  <c r="BG33" i="10"/>
  <c r="AU13" i="10"/>
  <c r="E22" i="11"/>
  <c r="T22" i="11"/>
  <c r="F22" i="11"/>
  <c r="G22" i="11"/>
  <c r="H22" i="11"/>
  <c r="I22" i="11"/>
  <c r="D22" i="11"/>
  <c r="J22" i="11"/>
  <c r="K22" i="11"/>
  <c r="V22" i="11"/>
  <c r="W22" i="11"/>
  <c r="U22" i="11"/>
  <c r="S22" i="11"/>
  <c r="K23" i="11"/>
  <c r="T23" i="11"/>
  <c r="E23" i="11"/>
  <c r="W23" i="11"/>
  <c r="F23" i="11"/>
  <c r="G23" i="11"/>
  <c r="D23" i="11"/>
  <c r="H23" i="11"/>
  <c r="I23" i="11"/>
  <c r="J23" i="11"/>
  <c r="V23" i="11"/>
  <c r="S23" i="11"/>
  <c r="U23" i="11"/>
  <c r="CW43" i="10"/>
  <c r="CW42" i="10"/>
  <c r="CW45" i="10"/>
  <c r="CW44" i="10"/>
  <c r="L16" i="11"/>
  <c r="BO22" i="10"/>
  <c r="BW22" i="10"/>
  <c r="BR22" i="10"/>
  <c r="BM9" i="10"/>
  <c r="J24" i="11"/>
  <c r="K24" i="11"/>
  <c r="S24" i="11"/>
  <c r="E24" i="11"/>
  <c r="T24" i="11"/>
  <c r="D24" i="11"/>
  <c r="F24" i="11"/>
  <c r="G24" i="11"/>
  <c r="H24" i="11"/>
  <c r="I24" i="11"/>
  <c r="W24" i="11"/>
  <c r="U24" i="11"/>
  <c r="V24" i="11"/>
  <c r="BA24" i="10"/>
  <c r="L12" i="11"/>
  <c r="BA23" i="10"/>
  <c r="BA15" i="10" s="1"/>
  <c r="BA20" i="10"/>
  <c r="BA21" i="10"/>
  <c r="BA18" i="10"/>
  <c r="BA19" i="10"/>
  <c r="CM22" i="1"/>
  <c r="CS22" i="1"/>
  <c r="P22" i="1"/>
  <c r="M22" i="1"/>
  <c r="S22" i="1"/>
  <c r="BU22" i="1"/>
  <c r="Y22" i="1"/>
  <c r="BC23" i="1"/>
  <c r="BI23" i="1"/>
  <c r="AQ23" i="1"/>
  <c r="AW23" i="1"/>
  <c r="P23" i="1"/>
  <c r="M23" i="1"/>
  <c r="CM23" i="1"/>
  <c r="S23" i="1"/>
  <c r="CS23" i="1"/>
  <c r="Y23" i="1"/>
  <c r="BU23" i="1"/>
  <c r="BO23" i="1"/>
  <c r="AW24" i="1"/>
  <c r="BE24" i="1"/>
  <c r="AW21" i="1"/>
  <c r="BE21" i="1"/>
  <c r="BE20" i="1"/>
  <c r="AW20" i="1"/>
  <c r="AY22" i="1"/>
  <c r="AQ22" i="1"/>
  <c r="AW18" i="1"/>
  <c r="BE18" i="1"/>
  <c r="AK22" i="1"/>
  <c r="BE19" i="1"/>
  <c r="AW19" i="1"/>
  <c r="CV22" i="1"/>
  <c r="CV23" i="1"/>
  <c r="BT23" i="1"/>
  <c r="B21" i="3"/>
  <c r="B22" i="3"/>
  <c r="B19" i="3"/>
  <c r="B20" i="3"/>
  <c r="BS60" i="31" l="1"/>
  <c r="BS64" i="31" s="1"/>
  <c r="BS56" i="31"/>
  <c r="BU139" i="31"/>
  <c r="BU115" i="31"/>
  <c r="CQ40" i="31"/>
  <c r="CQ41" i="31" s="1"/>
  <c r="CQ170" i="31"/>
  <c r="T21" i="32"/>
  <c r="S21" i="32"/>
  <c r="W21" i="32"/>
  <c r="R21" i="32"/>
  <c r="J21" i="32"/>
  <c r="D21" i="32"/>
  <c r="Q21" i="32"/>
  <c r="I21" i="32"/>
  <c r="P21" i="32"/>
  <c r="H21" i="32"/>
  <c r="O21" i="32"/>
  <c r="G21" i="32"/>
  <c r="V21" i="32"/>
  <c r="F21" i="32"/>
  <c r="U21" i="32"/>
  <c r="E21" i="32"/>
  <c r="CK56" i="31"/>
  <c r="CK60" i="31"/>
  <c r="CK64" i="31" s="1"/>
  <c r="AO13" i="31"/>
  <c r="J15" i="32"/>
  <c r="J24" i="32"/>
  <c r="R80" i="31"/>
  <c r="Q45" i="31"/>
  <c r="Q47" i="31" s="1"/>
  <c r="Q49" i="31" s="1"/>
  <c r="Q50" i="31" s="1"/>
  <c r="Q44" i="31"/>
  <c r="R101" i="31"/>
  <c r="R76" i="31"/>
  <c r="R74" i="31"/>
  <c r="R107" i="31"/>
  <c r="R89" i="31"/>
  <c r="R92" i="31"/>
  <c r="R110" i="31"/>
  <c r="Q46" i="31"/>
  <c r="R97" i="31"/>
  <c r="R70" i="31"/>
  <c r="R87" i="31"/>
  <c r="R99" i="31"/>
  <c r="S129" i="31"/>
  <c r="R111" i="31"/>
  <c r="R103" i="31"/>
  <c r="R75" i="31"/>
  <c r="R96" i="31"/>
  <c r="R71" i="31"/>
  <c r="S124" i="31"/>
  <c r="R124" i="31" s="1"/>
  <c r="R109" i="31"/>
  <c r="R105" i="31"/>
  <c r="R100" i="31"/>
  <c r="Q43" i="31"/>
  <c r="R73" i="31"/>
  <c r="R79" i="31"/>
  <c r="R95" i="31"/>
  <c r="R85" i="31"/>
  <c r="R82" i="31"/>
  <c r="R83" i="31"/>
  <c r="R102" i="31"/>
  <c r="R72" i="31"/>
  <c r="R77" i="31"/>
  <c r="R88" i="31"/>
  <c r="R78" i="31"/>
  <c r="R94" i="31"/>
  <c r="R84" i="31"/>
  <c r="R104" i="31"/>
  <c r="R106" i="31"/>
  <c r="R91" i="31"/>
  <c r="R93" i="31"/>
  <c r="R108" i="31"/>
  <c r="S115" i="31"/>
  <c r="S139" i="31"/>
  <c r="CM121" i="31"/>
  <c r="CL121" i="31" s="1"/>
  <c r="CL115" i="31"/>
  <c r="CK169" i="31" s="1"/>
  <c r="CK54" i="31" s="1"/>
  <c r="CK58" i="31" s="1"/>
  <c r="CK59" i="31" s="1"/>
  <c r="BT129" i="31"/>
  <c r="BU134" i="31"/>
  <c r="BT134" i="31" s="1"/>
  <c r="BA34" i="31"/>
  <c r="L12" i="32"/>
  <c r="AU12" i="31"/>
  <c r="K11" i="32"/>
  <c r="AC57" i="31"/>
  <c r="AC39" i="31"/>
  <c r="W57" i="31"/>
  <c r="W39" i="31"/>
  <c r="P19" i="32"/>
  <c r="H19" i="32"/>
  <c r="O19" i="32"/>
  <c r="G19" i="32"/>
  <c r="V19" i="32"/>
  <c r="F19" i="32"/>
  <c r="U19" i="32"/>
  <c r="E19" i="32"/>
  <c r="T19" i="32"/>
  <c r="S19" i="32"/>
  <c r="D19" i="32"/>
  <c r="R19" i="32"/>
  <c r="J19" i="32"/>
  <c r="Q19" i="32"/>
  <c r="I19" i="32"/>
  <c r="W19" i="32"/>
  <c r="R22" i="32"/>
  <c r="J22" i="32"/>
  <c r="Q22" i="32"/>
  <c r="I22" i="32"/>
  <c r="P22" i="32"/>
  <c r="H22" i="32"/>
  <c r="D22" i="32"/>
  <c r="O22" i="32"/>
  <c r="G22" i="32"/>
  <c r="V22" i="32"/>
  <c r="F22" i="32"/>
  <c r="U22" i="32"/>
  <c r="E22" i="32"/>
  <c r="T22" i="32"/>
  <c r="S22" i="32"/>
  <c r="W22" i="32"/>
  <c r="BZ129" i="31"/>
  <c r="CA134" i="31"/>
  <c r="BZ134" i="31" s="1"/>
  <c r="K56" i="31"/>
  <c r="M115" i="31"/>
  <c r="K60" i="31"/>
  <c r="K64" i="31" s="1"/>
  <c r="M139" i="31"/>
  <c r="AI36" i="31"/>
  <c r="I16" i="32"/>
  <c r="E169" i="31"/>
  <c r="E54" i="31" s="1"/>
  <c r="E58" i="31" s="1"/>
  <c r="E59" i="31" s="1"/>
  <c r="CW57" i="31"/>
  <c r="CW39" i="31"/>
  <c r="CW40" i="31" s="1"/>
  <c r="CA139" i="31"/>
  <c r="CA115" i="31"/>
  <c r="BY56" i="31"/>
  <c r="BY60" i="31"/>
  <c r="BY64" i="31" s="1"/>
  <c r="V20" i="32"/>
  <c r="F20" i="32"/>
  <c r="U20" i="32"/>
  <c r="E20" i="32"/>
  <c r="T20" i="32"/>
  <c r="S20" i="32"/>
  <c r="R20" i="32"/>
  <c r="J20" i="32"/>
  <c r="D20" i="32"/>
  <c r="Q20" i="32"/>
  <c r="I20" i="32"/>
  <c r="P20" i="32"/>
  <c r="H20" i="32"/>
  <c r="O20" i="32"/>
  <c r="G20" i="32"/>
  <c r="W20" i="32"/>
  <c r="CL139" i="31"/>
  <c r="CM144" i="31"/>
  <c r="CL144" i="31" s="1"/>
  <c r="CM147" i="31"/>
  <c r="CL147" i="31" s="1"/>
  <c r="CM134" i="31"/>
  <c r="CL134" i="31" s="1"/>
  <c r="CL129" i="31"/>
  <c r="CE40" i="31"/>
  <c r="CE41" i="31" s="1"/>
  <c r="CE170" i="31"/>
  <c r="DI57" i="31"/>
  <c r="DI39" i="31"/>
  <c r="BA11" i="31"/>
  <c r="L14" i="32" s="1"/>
  <c r="BQ22" i="31"/>
  <c r="BI22" i="31"/>
  <c r="BL22" i="31"/>
  <c r="BG10" i="31" s="1"/>
  <c r="M13" i="32" s="1"/>
  <c r="BG9" i="31"/>
  <c r="M12" i="32" s="1"/>
  <c r="BP21" i="31"/>
  <c r="BP24" i="31"/>
  <c r="AU21" i="31"/>
  <c r="K22" i="32" s="1"/>
  <c r="AU23" i="31"/>
  <c r="AU18" i="31"/>
  <c r="K19" i="32" s="1"/>
  <c r="AU24" i="31"/>
  <c r="AU19" i="31"/>
  <c r="K20" i="32" s="1"/>
  <c r="AU20" i="31"/>
  <c r="K21" i="32" s="1"/>
  <c r="BD22" i="31"/>
  <c r="BA8" i="31" s="1"/>
  <c r="BB22" i="31"/>
  <c r="BA7" i="31"/>
  <c r="L10" i="32" s="1"/>
  <c r="BP20" i="31"/>
  <c r="DD111" i="31"/>
  <c r="DD105" i="31"/>
  <c r="DD89" i="31"/>
  <c r="DD73" i="31"/>
  <c r="DD72" i="31"/>
  <c r="DD100" i="31"/>
  <c r="DD77" i="31"/>
  <c r="DD103" i="31"/>
  <c r="DD101" i="31"/>
  <c r="DD79" i="31"/>
  <c r="DD78" i="31"/>
  <c r="DC46" i="31"/>
  <c r="DD88" i="31"/>
  <c r="DE124" i="31"/>
  <c r="DD124" i="31" s="1"/>
  <c r="DD96" i="31"/>
  <c r="DD87" i="31"/>
  <c r="DE129" i="31"/>
  <c r="DC45" i="31"/>
  <c r="DC44" i="31"/>
  <c r="DD70" i="31"/>
  <c r="DD110" i="31"/>
  <c r="DD94" i="31"/>
  <c r="DD108" i="31"/>
  <c r="DD102" i="31"/>
  <c r="DD84" i="31"/>
  <c r="DD104" i="31"/>
  <c r="DD85" i="31"/>
  <c r="DD95" i="31"/>
  <c r="DC43" i="31"/>
  <c r="DD97" i="31"/>
  <c r="DD109" i="31"/>
  <c r="DD107" i="31"/>
  <c r="DD75" i="31"/>
  <c r="DD99" i="31"/>
  <c r="DD76" i="31"/>
  <c r="DD83" i="31"/>
  <c r="DD74" i="31"/>
  <c r="DD106" i="31"/>
  <c r="DD91" i="31"/>
  <c r="DD93" i="31"/>
  <c r="DD92" i="31"/>
  <c r="DD71" i="31"/>
  <c r="DD80" i="31"/>
  <c r="DD82" i="31"/>
  <c r="BP19" i="31"/>
  <c r="E10" i="1"/>
  <c r="O15" i="27" s="1"/>
  <c r="H22" i="1"/>
  <c r="E7" i="1"/>
  <c r="E23" i="1" s="1"/>
  <c r="H23" i="1"/>
  <c r="CE10" i="1"/>
  <c r="CE7" i="1"/>
  <c r="CH23" i="1"/>
  <c r="CH22" i="1"/>
  <c r="S21" i="11"/>
  <c r="V21" i="11"/>
  <c r="K21" i="11"/>
  <c r="H21" i="11"/>
  <c r="G21" i="11"/>
  <c r="AI7" i="1"/>
  <c r="W21" i="11"/>
  <c r="F21" i="11"/>
  <c r="T21" i="11"/>
  <c r="U21" i="11"/>
  <c r="D21" i="11"/>
  <c r="E21" i="11"/>
  <c r="J21" i="11"/>
  <c r="W7" i="1"/>
  <c r="O13" i="22" s="1"/>
  <c r="D17" i="22" s="1"/>
  <c r="E17" i="22" s="1"/>
  <c r="AD22" i="1"/>
  <c r="AF22" i="1"/>
  <c r="AC7" i="1"/>
  <c r="AC10" i="1"/>
  <c r="P17" i="22" s="1"/>
  <c r="AF23" i="1"/>
  <c r="AD23" i="1"/>
  <c r="DC10" i="1"/>
  <c r="I18" i="11"/>
  <c r="DD22" i="1"/>
  <c r="DF22" i="1"/>
  <c r="DC7" i="1"/>
  <c r="CX22" i="1"/>
  <c r="CZ22" i="1"/>
  <c r="CW7" i="1"/>
  <c r="CW10" i="1"/>
  <c r="CZ23" i="1"/>
  <c r="CX23" i="1"/>
  <c r="DF23" i="1"/>
  <c r="DD23" i="1"/>
  <c r="DI10" i="1"/>
  <c r="BY10" i="1"/>
  <c r="DL22" i="1"/>
  <c r="DJ22" i="1"/>
  <c r="DI7" i="1"/>
  <c r="CB23" i="1"/>
  <c r="DL23" i="1"/>
  <c r="DJ23" i="1"/>
  <c r="CB22" i="1"/>
  <c r="BY7" i="1"/>
  <c r="CC24" i="10"/>
  <c r="BU24" i="10"/>
  <c r="BX24" i="10"/>
  <c r="BN24" i="10"/>
  <c r="BP24" i="10"/>
  <c r="AO35" i="10"/>
  <c r="AO38" i="10" s="1"/>
  <c r="AO39" i="10" s="1"/>
  <c r="AO40" i="10" s="1"/>
  <c r="AO43" i="10" s="1"/>
  <c r="BN23" i="10"/>
  <c r="BP23" i="10"/>
  <c r="CC23" i="10"/>
  <c r="BY16" i="10" s="1"/>
  <c r="P19" i="11" s="1"/>
  <c r="BU23" i="10"/>
  <c r="BX23" i="10"/>
  <c r="BP20" i="10"/>
  <c r="BN20" i="10"/>
  <c r="BX20" i="10"/>
  <c r="BU20" i="10"/>
  <c r="CC20" i="10"/>
  <c r="BN18" i="10"/>
  <c r="BP18" i="10"/>
  <c r="BX18" i="10"/>
  <c r="BU18" i="10"/>
  <c r="CC18" i="10"/>
  <c r="BP19" i="10"/>
  <c r="BN19" i="10"/>
  <c r="BX19" i="10"/>
  <c r="BU19" i="10"/>
  <c r="CC19" i="10"/>
  <c r="BM10" i="10"/>
  <c r="BM11" i="10" s="1"/>
  <c r="BG8" i="10"/>
  <c r="BG12" i="10" s="1"/>
  <c r="M17" i="11" s="1"/>
  <c r="BN21" i="10"/>
  <c r="BP21" i="10"/>
  <c r="BX21" i="10"/>
  <c r="CC21" i="10"/>
  <c r="BU21" i="10"/>
  <c r="CW46" i="10"/>
  <c r="CW48" i="10" s="1"/>
  <c r="CW49" i="10" s="1"/>
  <c r="CW52" i="10" s="1"/>
  <c r="CW56" i="10" s="1"/>
  <c r="BA13" i="10"/>
  <c r="AI45" i="10"/>
  <c r="AI44" i="10"/>
  <c r="AI43" i="10"/>
  <c r="AI42" i="10"/>
  <c r="BN22" i="10"/>
  <c r="BP22" i="10"/>
  <c r="BM7" i="10"/>
  <c r="M16" i="11"/>
  <c r="BG24" i="10"/>
  <c r="M27" i="11" s="1"/>
  <c r="M12" i="11"/>
  <c r="BG23" i="10"/>
  <c r="BG15" i="10" s="1"/>
  <c r="BG21" i="10"/>
  <c r="M24" i="11" s="1"/>
  <c r="BG19" i="10"/>
  <c r="M22" i="11" s="1"/>
  <c r="BG20" i="10"/>
  <c r="M23" i="11" s="1"/>
  <c r="BG18" i="10"/>
  <c r="M21" i="11" s="1"/>
  <c r="BG22" i="10"/>
  <c r="M25" i="11" s="1"/>
  <c r="G26" i="11"/>
  <c r="H26" i="11"/>
  <c r="D26" i="11"/>
  <c r="I26" i="11"/>
  <c r="J26" i="11"/>
  <c r="K26" i="11"/>
  <c r="E26" i="11"/>
  <c r="T26" i="11"/>
  <c r="F26" i="11"/>
  <c r="W26" i="11"/>
  <c r="U26" i="11"/>
  <c r="S26" i="11"/>
  <c r="V26" i="11"/>
  <c r="N14" i="11"/>
  <c r="BM33" i="10"/>
  <c r="AU35" i="10"/>
  <c r="AU38" i="10" s="1"/>
  <c r="AU39" i="10" s="1"/>
  <c r="AU40" i="10" s="1"/>
  <c r="K18" i="11"/>
  <c r="I25" i="11"/>
  <c r="J25" i="11"/>
  <c r="K25" i="11"/>
  <c r="D25" i="11"/>
  <c r="E25" i="11"/>
  <c r="T25" i="11"/>
  <c r="F25" i="11"/>
  <c r="W25" i="11"/>
  <c r="G25" i="11"/>
  <c r="H25" i="11"/>
  <c r="U25" i="11"/>
  <c r="V25" i="11"/>
  <c r="S25" i="11"/>
  <c r="CC22" i="10"/>
  <c r="BU22" i="10"/>
  <c r="BX22" i="10"/>
  <c r="BS9" i="10"/>
  <c r="E15" i="11"/>
  <c r="D15" i="11"/>
  <c r="BC21" i="1"/>
  <c r="BK21" i="1"/>
  <c r="BV22" i="1"/>
  <c r="BS7" i="1"/>
  <c r="O12" i="23" s="1"/>
  <c r="D17" i="23" s="1"/>
  <c r="E17" i="23" s="1"/>
  <c r="K7" i="1"/>
  <c r="BK19" i="1"/>
  <c r="BQ19" i="1" s="1"/>
  <c r="BC19" i="1"/>
  <c r="BE22" i="1"/>
  <c r="AW22" i="1"/>
  <c r="AU7" i="1" s="1"/>
  <c r="CT22" i="1"/>
  <c r="CR22" i="1"/>
  <c r="CQ7" i="1"/>
  <c r="P11" i="24" s="1"/>
  <c r="BC18" i="1"/>
  <c r="BK18" i="1"/>
  <c r="BK24" i="1"/>
  <c r="BC24" i="1"/>
  <c r="BV23" i="1"/>
  <c r="CK7" i="1"/>
  <c r="AO7" i="1"/>
  <c r="Q7" i="1"/>
  <c r="BK20" i="1"/>
  <c r="BC20" i="1"/>
  <c r="CT23" i="1"/>
  <c r="CR23" i="1"/>
  <c r="BX22" i="1"/>
  <c r="BT22" i="1"/>
  <c r="CQ10" i="1"/>
  <c r="CQ9" i="1"/>
  <c r="BS9" i="1"/>
  <c r="O15" i="23" s="1"/>
  <c r="BX23" i="1"/>
  <c r="K16" i="1"/>
  <c r="O16" i="1"/>
  <c r="N16" i="1"/>
  <c r="K9" i="1"/>
  <c r="CA121" i="31" l="1"/>
  <c r="BZ121" i="31" s="1"/>
  <c r="BZ115" i="31"/>
  <c r="BA12" i="31"/>
  <c r="L11" i="32"/>
  <c r="AU15" i="31"/>
  <c r="K24" i="32"/>
  <c r="CW171" i="31"/>
  <c r="CW170" i="31" s="1"/>
  <c r="CW41" i="31"/>
  <c r="CW58" i="31"/>
  <c r="AU13" i="31"/>
  <c r="K15" i="32"/>
  <c r="R115" i="31"/>
  <c r="Q169" i="31" s="1"/>
  <c r="Q54" i="31" s="1"/>
  <c r="Q58" i="31" s="1"/>
  <c r="Q59" i="31" s="1"/>
  <c r="S121" i="31"/>
  <c r="R121" i="31" s="1"/>
  <c r="L115" i="31"/>
  <c r="K169" i="31" s="1"/>
  <c r="K54" i="31" s="1"/>
  <c r="K58" i="31" s="1"/>
  <c r="K59" i="31" s="1"/>
  <c r="M121" i="31"/>
  <c r="L121" i="31" s="1"/>
  <c r="CR93" i="31"/>
  <c r="CR76" i="31"/>
  <c r="CR73" i="31"/>
  <c r="CR97" i="31"/>
  <c r="CR87" i="31"/>
  <c r="CR70" i="31"/>
  <c r="CR89" i="31"/>
  <c r="CR105" i="31"/>
  <c r="CQ46" i="31"/>
  <c r="CR78" i="31"/>
  <c r="CR107" i="31"/>
  <c r="CR103" i="31"/>
  <c r="CR72" i="31"/>
  <c r="CQ44" i="31"/>
  <c r="CQ45" i="31"/>
  <c r="CQ47" i="31" s="1"/>
  <c r="CQ49" i="31" s="1"/>
  <c r="CQ50" i="31" s="1"/>
  <c r="CR74" i="31"/>
  <c r="CR82" i="31"/>
  <c r="CR80" i="31"/>
  <c r="CS124" i="31"/>
  <c r="CR124" i="31" s="1"/>
  <c r="CR108" i="31"/>
  <c r="CR106" i="31"/>
  <c r="CR102" i="31"/>
  <c r="CR77" i="31"/>
  <c r="CR104" i="31"/>
  <c r="CR101" i="31"/>
  <c r="CR92" i="31"/>
  <c r="CR71" i="31"/>
  <c r="CR85" i="31"/>
  <c r="CR109" i="31"/>
  <c r="CR99" i="31"/>
  <c r="CR83" i="31"/>
  <c r="CS129" i="31"/>
  <c r="CR84" i="31"/>
  <c r="CR111" i="31"/>
  <c r="CR79" i="31"/>
  <c r="CR110" i="31"/>
  <c r="CR95" i="31"/>
  <c r="CR75" i="31"/>
  <c r="CR91" i="31"/>
  <c r="CQ43" i="31"/>
  <c r="CR100" i="31"/>
  <c r="CR96" i="31"/>
  <c r="CR88" i="31"/>
  <c r="CR94" i="31"/>
  <c r="BU121" i="31"/>
  <c r="BT121" i="31" s="1"/>
  <c r="BT115" i="31"/>
  <c r="DI170" i="31"/>
  <c r="DI40" i="31"/>
  <c r="DI41" i="31" s="1"/>
  <c r="CF94" i="31"/>
  <c r="CF110" i="31"/>
  <c r="CF70" i="31"/>
  <c r="CE45" i="31"/>
  <c r="CE47" i="31" s="1"/>
  <c r="CE49" i="31" s="1"/>
  <c r="CE50" i="31" s="1"/>
  <c r="CF93" i="31"/>
  <c r="CF72" i="31"/>
  <c r="CF97" i="31"/>
  <c r="CF77" i="31"/>
  <c r="CF80" i="31"/>
  <c r="CF82" i="31"/>
  <c r="CF105" i="31"/>
  <c r="CG129" i="31"/>
  <c r="CF75" i="31"/>
  <c r="CE43" i="31"/>
  <c r="CF106" i="31"/>
  <c r="CF101" i="31"/>
  <c r="CF102" i="31"/>
  <c r="CF108" i="31"/>
  <c r="CF95" i="31"/>
  <c r="CG124" i="31"/>
  <c r="CF124" i="31" s="1"/>
  <c r="CF111" i="31"/>
  <c r="CE46" i="31"/>
  <c r="CF74" i="31"/>
  <c r="CF99" i="31"/>
  <c r="CF79" i="31"/>
  <c r="CF71" i="31"/>
  <c r="CF91" i="31"/>
  <c r="CF100" i="31"/>
  <c r="CF103" i="31"/>
  <c r="CF85" i="31"/>
  <c r="CF88" i="31"/>
  <c r="CF109" i="31"/>
  <c r="CF107" i="31"/>
  <c r="CF83" i="31"/>
  <c r="CF96" i="31"/>
  <c r="CF89" i="31"/>
  <c r="CF78" i="31"/>
  <c r="CF84" i="31"/>
  <c r="CF76" i="31"/>
  <c r="CF73" i="31"/>
  <c r="CF92" i="31"/>
  <c r="CE44" i="31"/>
  <c r="CF104" i="31"/>
  <c r="CF87" i="31"/>
  <c r="BU144" i="31"/>
  <c r="BT144" i="31" s="1"/>
  <c r="BU147" i="31"/>
  <c r="BT147" i="31" s="1"/>
  <c r="BT139" i="31"/>
  <c r="S144" i="31"/>
  <c r="R144" i="31" s="1"/>
  <c r="R139" i="31"/>
  <c r="S147" i="31"/>
  <c r="R147" i="31" s="1"/>
  <c r="AO36" i="31"/>
  <c r="J16" i="32"/>
  <c r="W40" i="31"/>
  <c r="W41" i="31" s="1"/>
  <c r="W170" i="31"/>
  <c r="Q60" i="31"/>
  <c r="Q64" i="31" s="1"/>
  <c r="Q56" i="31"/>
  <c r="BZ139" i="31"/>
  <c r="CA144" i="31"/>
  <c r="BZ144" i="31" s="1"/>
  <c r="CA147" i="31"/>
  <c r="BZ147" i="31" s="1"/>
  <c r="L26" i="11"/>
  <c r="AI57" i="31"/>
  <c r="AI39" i="31"/>
  <c r="M144" i="31"/>
  <c r="L144" i="31" s="1"/>
  <c r="L139" i="31"/>
  <c r="M147" i="31"/>
  <c r="L147" i="31" s="1"/>
  <c r="AC170" i="31"/>
  <c r="AC40" i="31"/>
  <c r="AC41" i="31" s="1"/>
  <c r="S134" i="31"/>
  <c r="R134" i="31" s="1"/>
  <c r="R129" i="31"/>
  <c r="L25" i="11"/>
  <c r="BG34" i="31"/>
  <c r="BG11" i="31"/>
  <c r="M14" i="32" s="1"/>
  <c r="BJ22" i="31"/>
  <c r="BG8" i="31" s="1"/>
  <c r="BH22" i="31"/>
  <c r="BG7" i="31"/>
  <c r="M10" i="32" s="1"/>
  <c r="DC47" i="31"/>
  <c r="DC49" i="31" s="1"/>
  <c r="DC50" i="31" s="1"/>
  <c r="BR22" i="31"/>
  <c r="BM10" i="31" s="1"/>
  <c r="N13" i="32" s="1"/>
  <c r="BO22" i="31"/>
  <c r="BN22" i="31"/>
  <c r="BM9" i="31"/>
  <c r="N12" i="32" s="1"/>
  <c r="BA21" i="31"/>
  <c r="L22" i="32" s="1"/>
  <c r="BA23" i="31"/>
  <c r="BA18" i="31"/>
  <c r="L19" i="32" s="1"/>
  <c r="BA19" i="31"/>
  <c r="L20" i="32" s="1"/>
  <c r="BA20" i="31"/>
  <c r="L21" i="32" s="1"/>
  <c r="BA24" i="31"/>
  <c r="DE134" i="31"/>
  <c r="DD134" i="31" s="1"/>
  <c r="DD129" i="31"/>
  <c r="BA22" i="31"/>
  <c r="L23" i="32" s="1"/>
  <c r="E22" i="1"/>
  <c r="O25" i="25" s="1"/>
  <c r="E8" i="1"/>
  <c r="E12" i="1" s="1"/>
  <c r="E11" i="1"/>
  <c r="O16" i="27" s="1"/>
  <c r="E18" i="27" s="1"/>
  <c r="L21" i="11"/>
  <c r="O15" i="25"/>
  <c r="P11" i="28"/>
  <c r="P11" i="29"/>
  <c r="P11" i="30"/>
  <c r="O25" i="27"/>
  <c r="DC11" i="1"/>
  <c r="O15" i="28"/>
  <c r="O15" i="29"/>
  <c r="O15" i="30"/>
  <c r="O13" i="27"/>
  <c r="L27" i="11"/>
  <c r="O12" i="13"/>
  <c r="D16" i="13" s="1"/>
  <c r="E16" i="13" s="1"/>
  <c r="P11" i="27"/>
  <c r="P11" i="25"/>
  <c r="P15" i="30"/>
  <c r="P15" i="29"/>
  <c r="P15" i="28"/>
  <c r="E15" i="1"/>
  <c r="O26" i="27"/>
  <c r="D25" i="27" s="1"/>
  <c r="O26" i="25"/>
  <c r="D25" i="25" s="1"/>
  <c r="D39" i="25" s="1"/>
  <c r="P14" i="24"/>
  <c r="L13" i="11"/>
  <c r="DC22" i="1"/>
  <c r="O11" i="30"/>
  <c r="D15" i="30" s="1"/>
  <c r="E15" i="30" s="1"/>
  <c r="O11" i="28"/>
  <c r="D15" i="28" s="1"/>
  <c r="O11" i="29"/>
  <c r="D15" i="29" s="1"/>
  <c r="L22" i="11"/>
  <c r="L17" i="11"/>
  <c r="L23" i="11"/>
  <c r="P15" i="24"/>
  <c r="O15" i="13"/>
  <c r="P14" i="27"/>
  <c r="P14" i="25"/>
  <c r="O11" i="27"/>
  <c r="D15" i="27" s="1"/>
  <c r="E15" i="27" s="1"/>
  <c r="O11" i="25"/>
  <c r="D15" i="25" s="1"/>
  <c r="E21" i="1"/>
  <c r="E20" i="1"/>
  <c r="D21" i="3" s="1"/>
  <c r="E19" i="1"/>
  <c r="D20" i="3" s="1"/>
  <c r="E18" i="1"/>
  <c r="E24" i="1"/>
  <c r="L24" i="11"/>
  <c r="P12" i="23"/>
  <c r="P16" i="23"/>
  <c r="J10" i="3"/>
  <c r="CE23" i="1"/>
  <c r="Q12" i="23"/>
  <c r="CE11" i="1"/>
  <c r="O11" i="18"/>
  <c r="D16" i="18" s="1"/>
  <c r="E16" i="18" s="1"/>
  <c r="O11" i="24"/>
  <c r="D17" i="24" s="1"/>
  <c r="E17" i="24" s="1"/>
  <c r="W13" i="3"/>
  <c r="Q15" i="24"/>
  <c r="W10" i="3"/>
  <c r="Q11" i="24"/>
  <c r="AC23" i="1"/>
  <c r="P28" i="22" s="1"/>
  <c r="P13" i="22"/>
  <c r="CE8" i="1"/>
  <c r="CE22" i="1"/>
  <c r="Q11" i="17"/>
  <c r="CE24" i="1"/>
  <c r="Q25" i="32" s="1"/>
  <c r="CE20" i="1"/>
  <c r="CE18" i="1"/>
  <c r="CE21" i="1"/>
  <c r="CE19" i="1"/>
  <c r="BY23" i="1"/>
  <c r="P27" i="23" s="1"/>
  <c r="P11" i="17"/>
  <c r="BY11" i="1"/>
  <c r="P15" i="17"/>
  <c r="DI11" i="1"/>
  <c r="P15" i="18"/>
  <c r="AC11" i="1"/>
  <c r="P18" i="22" s="1"/>
  <c r="AC22" i="1"/>
  <c r="P27" i="22" s="1"/>
  <c r="P12" i="13"/>
  <c r="T12" i="3"/>
  <c r="DI23" i="1"/>
  <c r="P11" i="18"/>
  <c r="AC21" i="1"/>
  <c r="P26" i="22" s="1"/>
  <c r="AC19" i="1"/>
  <c r="P24" i="22" s="1"/>
  <c r="AC20" i="1"/>
  <c r="P25" i="22" s="1"/>
  <c r="AC18" i="1"/>
  <c r="P23" i="22" s="1"/>
  <c r="AC24" i="1"/>
  <c r="AC8" i="1"/>
  <c r="P15" i="22" s="1"/>
  <c r="DC23" i="1"/>
  <c r="DC8" i="1"/>
  <c r="CW19" i="1"/>
  <c r="CW18" i="1"/>
  <c r="CW21" i="1"/>
  <c r="CW20" i="1"/>
  <c r="CW24" i="1"/>
  <c r="T25" i="32" s="1"/>
  <c r="CW22" i="1"/>
  <c r="CW8" i="1"/>
  <c r="CW12" i="1" s="1"/>
  <c r="CW23" i="1"/>
  <c r="CW15" i="1" s="1"/>
  <c r="DC21" i="1"/>
  <c r="DC19" i="1"/>
  <c r="DC20" i="1"/>
  <c r="DC18" i="1"/>
  <c r="DC24" i="1"/>
  <c r="U25" i="32" s="1"/>
  <c r="CW11" i="1"/>
  <c r="W15" i="11"/>
  <c r="T10" i="3"/>
  <c r="G10" i="3"/>
  <c r="DI8" i="1"/>
  <c r="BY24" i="1"/>
  <c r="P25" i="32" s="1"/>
  <c r="BY21" i="1"/>
  <c r="BY20" i="1"/>
  <c r="BY18" i="1"/>
  <c r="BY19" i="1"/>
  <c r="DI18" i="1"/>
  <c r="DI19" i="1"/>
  <c r="DI20" i="1"/>
  <c r="DI21" i="1"/>
  <c r="DI24" i="1"/>
  <c r="V25" i="32" s="1"/>
  <c r="BY22" i="1"/>
  <c r="DI22" i="1"/>
  <c r="BY8" i="1"/>
  <c r="E17" i="3"/>
  <c r="E12" i="3"/>
  <c r="F10" i="3"/>
  <c r="BV24" i="10"/>
  <c r="BT24" i="10"/>
  <c r="CD24" i="10"/>
  <c r="CU24" i="10"/>
  <c r="CA24" i="10"/>
  <c r="AO42" i="10"/>
  <c r="AO45" i="10"/>
  <c r="AO44" i="10"/>
  <c r="BS10" i="10"/>
  <c r="BS11" i="10" s="1"/>
  <c r="BT23" i="10"/>
  <c r="BV23" i="10"/>
  <c r="CA23" i="10"/>
  <c r="CD23" i="10"/>
  <c r="CU23" i="10"/>
  <c r="CA20" i="10"/>
  <c r="CD20" i="10"/>
  <c r="CU20" i="10"/>
  <c r="M13" i="11"/>
  <c r="BV20" i="10"/>
  <c r="BT20" i="10"/>
  <c r="BM8" i="10"/>
  <c r="BM12" i="10" s="1"/>
  <c r="N17" i="11" s="1"/>
  <c r="CU18" i="10"/>
  <c r="CA18" i="10"/>
  <c r="CD18" i="10"/>
  <c r="BV18" i="10"/>
  <c r="BT18" i="10"/>
  <c r="CA19" i="10"/>
  <c r="CU19" i="10"/>
  <c r="CD19" i="10"/>
  <c r="BT19" i="10"/>
  <c r="BV19" i="10"/>
  <c r="BV21" i="10"/>
  <c r="BT21" i="10"/>
  <c r="CD21" i="10"/>
  <c r="CU21" i="10"/>
  <c r="CA21" i="10"/>
  <c r="BA35" i="10"/>
  <c r="BA38" i="10" s="1"/>
  <c r="BA39" i="10" s="1"/>
  <c r="BA40" i="10" s="1"/>
  <c r="BA44" i="10" s="1"/>
  <c r="M26" i="11"/>
  <c r="O14" i="11"/>
  <c r="BS33" i="10"/>
  <c r="BG13" i="10"/>
  <c r="L18" i="11" s="1"/>
  <c r="AU44" i="10"/>
  <c r="AU43" i="10"/>
  <c r="AU42" i="10"/>
  <c r="AU45" i="10"/>
  <c r="F15" i="11"/>
  <c r="BT22" i="10"/>
  <c r="BV22" i="10"/>
  <c r="BS7" i="10"/>
  <c r="BS22" i="10" s="1"/>
  <c r="O25" i="11" s="1"/>
  <c r="N12" i="11"/>
  <c r="BM23" i="10"/>
  <c r="BM18" i="10"/>
  <c r="N21" i="11" s="1"/>
  <c r="BM20" i="10"/>
  <c r="N23" i="11" s="1"/>
  <c r="BM19" i="10"/>
  <c r="N22" i="11" s="1"/>
  <c r="BM21" i="10"/>
  <c r="N24" i="11" s="1"/>
  <c r="BM24" i="10"/>
  <c r="N27" i="11" s="1"/>
  <c r="CA22" i="10"/>
  <c r="CD22" i="10"/>
  <c r="CU22" i="10"/>
  <c r="BY9" i="10"/>
  <c r="BM22" i="10"/>
  <c r="N25" i="11" s="1"/>
  <c r="T13" i="3"/>
  <c r="AI46" i="10"/>
  <c r="AI48" i="10" s="1"/>
  <c r="AI49" i="10" s="1"/>
  <c r="AI52" i="10" s="1"/>
  <c r="AI56" i="10" s="1"/>
  <c r="N16" i="11"/>
  <c r="Q23" i="1"/>
  <c r="H10" i="3"/>
  <c r="W22" i="1"/>
  <c r="O27" i="22" s="1"/>
  <c r="I10" i="3"/>
  <c r="AO22" i="1"/>
  <c r="K10" i="3"/>
  <c r="D10" i="3"/>
  <c r="D13" i="3"/>
  <c r="CK22" i="1"/>
  <c r="U10" i="3"/>
  <c r="CQ23" i="1"/>
  <c r="R10" i="3"/>
  <c r="E10" i="3"/>
  <c r="BS22" i="1"/>
  <c r="O26" i="23" s="1"/>
  <c r="AU23" i="1"/>
  <c r="AU19" i="1"/>
  <c r="AU18" i="1"/>
  <c r="Q22" i="1"/>
  <c r="BC22" i="1"/>
  <c r="BA7" i="1" s="1"/>
  <c r="L10" i="3" s="1"/>
  <c r="BK22" i="1"/>
  <c r="W24" i="1"/>
  <c r="W19" i="1"/>
  <c r="O24" i="22" s="1"/>
  <c r="D23" i="22" s="1"/>
  <c r="W21" i="1"/>
  <c r="O26" i="22" s="1"/>
  <c r="D25" i="22" s="1"/>
  <c r="W20" i="1"/>
  <c r="O25" i="22" s="1"/>
  <c r="D24" i="22" s="1"/>
  <c r="W18" i="1"/>
  <c r="O23" i="22" s="1"/>
  <c r="D22" i="22" s="1"/>
  <c r="AU21" i="1"/>
  <c r="BS23" i="1"/>
  <c r="O27" i="23" s="1"/>
  <c r="D27" i="23" s="1"/>
  <c r="AU22" i="1"/>
  <c r="AO23" i="1"/>
  <c r="AO18" i="1"/>
  <c r="AO24" i="1"/>
  <c r="J25" i="32" s="1"/>
  <c r="AO21" i="1"/>
  <c r="AO20" i="1"/>
  <c r="AO19" i="1"/>
  <c r="BQ24" i="1"/>
  <c r="BI24" i="1"/>
  <c r="AI20" i="1"/>
  <c r="AI19" i="1"/>
  <c r="AI18" i="1"/>
  <c r="AI21" i="1"/>
  <c r="AI24" i="1"/>
  <c r="I25" i="32" s="1"/>
  <c r="BS8" i="1"/>
  <c r="O13" i="23" s="1"/>
  <c r="BQ18" i="1"/>
  <c r="BI18" i="1"/>
  <c r="CQ18" i="1"/>
  <c r="P21" i="24" s="1"/>
  <c r="CQ20" i="1"/>
  <c r="CQ21" i="1"/>
  <c r="P24" i="24" s="1"/>
  <c r="CQ19" i="1"/>
  <c r="CQ24" i="1"/>
  <c r="S25" i="32" s="1"/>
  <c r="AI22" i="1"/>
  <c r="CK18" i="1"/>
  <c r="CK20" i="1"/>
  <c r="CK21" i="1"/>
  <c r="CK19" i="1"/>
  <c r="CK24" i="1"/>
  <c r="R25" i="32" s="1"/>
  <c r="BS21" i="1"/>
  <c r="O25" i="23" s="1"/>
  <c r="D25" i="23" s="1"/>
  <c r="BS18" i="1"/>
  <c r="O22" i="23" s="1"/>
  <c r="D22" i="23" s="1"/>
  <c r="BS20" i="1"/>
  <c r="O24" i="23" s="1"/>
  <c r="D24" i="23" s="1"/>
  <c r="BS19" i="1"/>
  <c r="O23" i="23" s="1"/>
  <c r="D23" i="23" s="1"/>
  <c r="BS24" i="1"/>
  <c r="O25" i="32" s="1"/>
  <c r="W23" i="1"/>
  <c r="CQ8" i="1"/>
  <c r="P12" i="24" s="1"/>
  <c r="BI19" i="1"/>
  <c r="BO19" i="1"/>
  <c r="K18" i="1"/>
  <c r="K21" i="1"/>
  <c r="K19" i="1"/>
  <c r="K20" i="1"/>
  <c r="K24" i="1"/>
  <c r="BI20" i="1"/>
  <c r="BQ20" i="1"/>
  <c r="AU24" i="1"/>
  <c r="K25" i="32" s="1"/>
  <c r="AI23" i="1"/>
  <c r="CQ22" i="1"/>
  <c r="P25" i="24" s="1"/>
  <c r="CK23" i="1"/>
  <c r="K22" i="1"/>
  <c r="BI21" i="1"/>
  <c r="BQ21" i="1"/>
  <c r="Q21" i="1"/>
  <c r="Q18" i="1"/>
  <c r="Q20" i="1"/>
  <c r="Q19" i="1"/>
  <c r="Q24" i="1"/>
  <c r="F25" i="32" s="1"/>
  <c r="AU20" i="1"/>
  <c r="K23" i="1"/>
  <c r="BS10" i="1"/>
  <c r="O16" i="23" s="1"/>
  <c r="BS34" i="1"/>
  <c r="CQ11" i="1"/>
  <c r="CQ34" i="1"/>
  <c r="K10" i="1"/>
  <c r="K34" i="1"/>
  <c r="CQ60" i="31" l="1"/>
  <c r="CQ64" i="31" s="1"/>
  <c r="CQ56" i="31"/>
  <c r="CS139" i="31"/>
  <c r="CS115" i="31"/>
  <c r="CG115" i="31"/>
  <c r="CG139" i="31"/>
  <c r="CE60" i="31"/>
  <c r="CE64" i="31" s="1"/>
  <c r="CE56" i="31"/>
  <c r="P29" i="22"/>
  <c r="H25" i="32"/>
  <c r="O27" i="25"/>
  <c r="D25" i="32"/>
  <c r="BA15" i="31"/>
  <c r="L24" i="32"/>
  <c r="CS134" i="31"/>
  <c r="CR134" i="31" s="1"/>
  <c r="CR129" i="31"/>
  <c r="AO57" i="31"/>
  <c r="AO39" i="31"/>
  <c r="AD72" i="31"/>
  <c r="AD95" i="31"/>
  <c r="AD93" i="31"/>
  <c r="AD74" i="31"/>
  <c r="AD105" i="31"/>
  <c r="AD80" i="31"/>
  <c r="AD110" i="31"/>
  <c r="AD107" i="31"/>
  <c r="AD78" i="31"/>
  <c r="AD85" i="31"/>
  <c r="AD103" i="31"/>
  <c r="AD89" i="31"/>
  <c r="AD109" i="31"/>
  <c r="AD83" i="31"/>
  <c r="AD71" i="31"/>
  <c r="AD94" i="31"/>
  <c r="AD84" i="31"/>
  <c r="AD97" i="31"/>
  <c r="AC46" i="31"/>
  <c r="AC44" i="31"/>
  <c r="AD100" i="31"/>
  <c r="AD70" i="31"/>
  <c r="AD76" i="31"/>
  <c r="AD75" i="31"/>
  <c r="AD88" i="31"/>
  <c r="AD111" i="31"/>
  <c r="AD101" i="31"/>
  <c r="AC45" i="31"/>
  <c r="AC47" i="31" s="1"/>
  <c r="AC49" i="31" s="1"/>
  <c r="AC50" i="31" s="1"/>
  <c r="AE139" i="31" s="1"/>
  <c r="AD82" i="31"/>
  <c r="AD73" i="31"/>
  <c r="AD106" i="31"/>
  <c r="AD102" i="31"/>
  <c r="AD77" i="31"/>
  <c r="AE129" i="31"/>
  <c r="AC43" i="31"/>
  <c r="AD96" i="31"/>
  <c r="AD79" i="31"/>
  <c r="AD108" i="31"/>
  <c r="AD104" i="31"/>
  <c r="AE124" i="31"/>
  <c r="AD124" i="31" s="1"/>
  <c r="AD91" i="31"/>
  <c r="AD99" i="31"/>
  <c r="AD92" i="31"/>
  <c r="AD87" i="31"/>
  <c r="CF129" i="31"/>
  <c r="CG134" i="31"/>
  <c r="CF134" i="31" s="1"/>
  <c r="BA13" i="31"/>
  <c r="L15" i="32"/>
  <c r="DJ97" i="31"/>
  <c r="DJ76" i="31"/>
  <c r="DJ83" i="31"/>
  <c r="DJ109" i="31"/>
  <c r="DJ89" i="31"/>
  <c r="DJ107" i="31"/>
  <c r="DJ99" i="31"/>
  <c r="DJ104" i="31"/>
  <c r="DJ102" i="31"/>
  <c r="DJ95" i="31"/>
  <c r="DJ88" i="31"/>
  <c r="DK129" i="31"/>
  <c r="DJ100" i="31"/>
  <c r="DJ91" i="31"/>
  <c r="DJ80" i="31"/>
  <c r="DJ96" i="31"/>
  <c r="DI44" i="31"/>
  <c r="DJ71" i="31"/>
  <c r="DJ87" i="31"/>
  <c r="DJ77" i="31"/>
  <c r="DJ93" i="31"/>
  <c r="DJ75" i="31"/>
  <c r="DJ101" i="31"/>
  <c r="DK124" i="31"/>
  <c r="DJ124" i="31" s="1"/>
  <c r="DJ94" i="31"/>
  <c r="DJ111" i="31"/>
  <c r="DJ92" i="31"/>
  <c r="DJ82" i="31"/>
  <c r="DJ73" i="31"/>
  <c r="DJ110" i="31"/>
  <c r="DJ85" i="31"/>
  <c r="DJ78" i="31"/>
  <c r="DJ103" i="31"/>
  <c r="DI45" i="31"/>
  <c r="DI47" i="31" s="1"/>
  <c r="DI49" i="31" s="1"/>
  <c r="DI50" i="31" s="1"/>
  <c r="DJ84" i="31"/>
  <c r="DJ70" i="31"/>
  <c r="DI46" i="31"/>
  <c r="DJ108" i="31"/>
  <c r="DJ79" i="31"/>
  <c r="DI43" i="31"/>
  <c r="DJ72" i="31"/>
  <c r="DJ106" i="31"/>
  <c r="DJ105" i="31"/>
  <c r="DJ74" i="31"/>
  <c r="AU36" i="31"/>
  <c r="K16" i="32"/>
  <c r="BY169" i="31"/>
  <c r="BY54" i="31" s="1"/>
  <c r="BY58" i="31" s="1"/>
  <c r="BY59" i="31" s="1"/>
  <c r="P27" i="25"/>
  <c r="E25" i="32"/>
  <c r="O29" i="22"/>
  <c r="G25" i="32"/>
  <c r="AI40" i="31"/>
  <c r="AI41" i="31" s="1"/>
  <c r="AI170" i="31"/>
  <c r="BG12" i="31"/>
  <c r="M15" i="32" s="1"/>
  <c r="M11" i="32"/>
  <c r="Y124" i="31"/>
  <c r="X124" i="31" s="1"/>
  <c r="X94" i="31"/>
  <c r="X96" i="31"/>
  <c r="X89" i="31"/>
  <c r="X95" i="31"/>
  <c r="X108" i="31"/>
  <c r="X110" i="31"/>
  <c r="X109" i="31"/>
  <c r="X99" i="31"/>
  <c r="X88" i="31"/>
  <c r="X102" i="31"/>
  <c r="X100" i="31"/>
  <c r="X104" i="31"/>
  <c r="X97" i="31"/>
  <c r="X101" i="31"/>
  <c r="X82" i="31"/>
  <c r="X72" i="31"/>
  <c r="X70" i="31"/>
  <c r="X79" i="31"/>
  <c r="X83" i="31"/>
  <c r="X84" i="31"/>
  <c r="X92" i="31"/>
  <c r="X106" i="31"/>
  <c r="X87" i="31"/>
  <c r="X74" i="31"/>
  <c r="W46" i="31"/>
  <c r="X103" i="31"/>
  <c r="X73" i="31"/>
  <c r="X75" i="31"/>
  <c r="Y129" i="31"/>
  <c r="X111" i="31"/>
  <c r="X93" i="31"/>
  <c r="X91" i="31"/>
  <c r="W45" i="31"/>
  <c r="W47" i="31" s="1"/>
  <c r="W49" i="31" s="1"/>
  <c r="W50" i="31" s="1"/>
  <c r="W43" i="31"/>
  <c r="X85" i="31"/>
  <c r="X71" i="31"/>
  <c r="W44" i="31"/>
  <c r="X77" i="31"/>
  <c r="X76" i="31"/>
  <c r="X78" i="31"/>
  <c r="X105" i="31"/>
  <c r="X80" i="31"/>
  <c r="X107" i="31"/>
  <c r="BS169" i="31"/>
  <c r="BS54" i="31" s="1"/>
  <c r="BS58" i="31" s="1"/>
  <c r="BS59" i="31" s="1"/>
  <c r="CX108" i="31"/>
  <c r="CX97" i="31"/>
  <c r="CX79" i="31"/>
  <c r="CX80" i="31"/>
  <c r="CX84" i="31"/>
  <c r="CX73" i="31"/>
  <c r="CX88" i="31"/>
  <c r="CX98" i="31"/>
  <c r="CX89" i="31"/>
  <c r="CX81" i="31"/>
  <c r="CW44" i="31"/>
  <c r="CX83" i="31"/>
  <c r="CX77" i="31"/>
  <c r="CX107" i="31"/>
  <c r="CW43" i="31"/>
  <c r="CW46" i="31"/>
  <c r="CX102" i="31"/>
  <c r="CX76" i="31"/>
  <c r="CX105" i="31"/>
  <c r="CX103" i="31"/>
  <c r="CX72" i="31"/>
  <c r="CX75" i="31"/>
  <c r="CY125" i="31"/>
  <c r="CX125" i="31" s="1"/>
  <c r="CX109" i="31"/>
  <c r="CX74" i="31"/>
  <c r="CX112" i="31"/>
  <c r="CX110" i="31"/>
  <c r="CX104" i="31"/>
  <c r="CX94" i="31"/>
  <c r="CX85" i="31"/>
  <c r="CX71" i="31"/>
  <c r="CX96" i="31"/>
  <c r="CX78" i="31"/>
  <c r="CX100" i="31"/>
  <c r="CX93" i="31"/>
  <c r="CX86" i="31"/>
  <c r="CX106" i="31"/>
  <c r="CX95" i="31"/>
  <c r="CX90" i="31"/>
  <c r="CX111" i="31"/>
  <c r="CX101" i="31"/>
  <c r="CX92" i="31"/>
  <c r="CW45" i="31"/>
  <c r="O16" i="25"/>
  <c r="E18" i="25" s="1"/>
  <c r="D18" i="25" s="1"/>
  <c r="BG23" i="31"/>
  <c r="BG18" i="31"/>
  <c r="M19" i="32" s="1"/>
  <c r="BG19" i="31"/>
  <c r="M20" i="32" s="1"/>
  <c r="BG24" i="31"/>
  <c r="BG20" i="31"/>
  <c r="M21" i="32" s="1"/>
  <c r="BG21" i="31"/>
  <c r="M22" i="32" s="1"/>
  <c r="BG22" i="31"/>
  <c r="M23" i="32" s="1"/>
  <c r="BM34" i="31"/>
  <c r="BM11" i="31"/>
  <c r="N14" i="32" s="1"/>
  <c r="BP22" i="31"/>
  <c r="BM8" i="31" s="1"/>
  <c r="BM7" i="31"/>
  <c r="N10" i="32" s="1"/>
  <c r="BG13" i="31"/>
  <c r="DC60" i="31"/>
  <c r="DC64" i="31" s="1"/>
  <c r="DC56" i="31"/>
  <c r="DE139" i="31"/>
  <c r="DE115" i="31"/>
  <c r="O13" i="25"/>
  <c r="E13" i="1"/>
  <c r="E36" i="1" s="1"/>
  <c r="O27" i="24"/>
  <c r="P27" i="24"/>
  <c r="O23" i="28"/>
  <c r="D22" i="28" s="1"/>
  <c r="D36" i="28" s="1"/>
  <c r="O23" i="30"/>
  <c r="D22" i="30" s="1"/>
  <c r="O23" i="29"/>
  <c r="D22" i="29" s="1"/>
  <c r="D36" i="29" s="1"/>
  <c r="D18" i="27"/>
  <c r="F18" i="27"/>
  <c r="P16" i="24"/>
  <c r="Q27" i="24"/>
  <c r="P27" i="29"/>
  <c r="P27" i="28"/>
  <c r="O21" i="30"/>
  <c r="D20" i="30" s="1"/>
  <c r="O21" i="29"/>
  <c r="D20" i="29" s="1"/>
  <c r="D34" i="29" s="1"/>
  <c r="O21" i="28"/>
  <c r="D20" i="28" s="1"/>
  <c r="D34" i="28" s="1"/>
  <c r="AC15" i="1"/>
  <c r="E15" i="29"/>
  <c r="D29" i="29"/>
  <c r="E29" i="29" s="1"/>
  <c r="E32" i="25"/>
  <c r="Q23" i="24"/>
  <c r="P23" i="28"/>
  <c r="P23" i="30"/>
  <c r="P23" i="29"/>
  <c r="O22" i="25"/>
  <c r="D21" i="25" s="1"/>
  <c r="D35" i="25" s="1"/>
  <c r="O22" i="27"/>
  <c r="D21" i="27" s="1"/>
  <c r="E57" i="1"/>
  <c r="E39" i="1"/>
  <c r="E40" i="1" s="1"/>
  <c r="E41" i="1" s="1"/>
  <c r="O16" i="28"/>
  <c r="E18" i="28" s="1"/>
  <c r="O16" i="30"/>
  <c r="E18" i="30" s="1"/>
  <c r="O16" i="29"/>
  <c r="E18" i="29" s="1"/>
  <c r="P26" i="27"/>
  <c r="P26" i="25"/>
  <c r="Q22" i="24"/>
  <c r="P22" i="29"/>
  <c r="P22" i="28"/>
  <c r="P22" i="30"/>
  <c r="O24" i="29"/>
  <c r="D23" i="29" s="1"/>
  <c r="D37" i="29" s="1"/>
  <c r="O24" i="28"/>
  <c r="D23" i="28" s="1"/>
  <c r="D37" i="28" s="1"/>
  <c r="O24" i="30"/>
  <c r="D23" i="30" s="1"/>
  <c r="Q16" i="24"/>
  <c r="P16" i="30"/>
  <c r="P16" i="29"/>
  <c r="P16" i="28"/>
  <c r="O23" i="25"/>
  <c r="D22" i="25" s="1"/>
  <c r="D36" i="25" s="1"/>
  <c r="O23" i="27"/>
  <c r="D22" i="27" s="1"/>
  <c r="O25" i="29"/>
  <c r="O25" i="28"/>
  <c r="O25" i="30"/>
  <c r="O21" i="27"/>
  <c r="D20" i="27" s="1"/>
  <c r="O21" i="25"/>
  <c r="D20" i="25" s="1"/>
  <c r="D34" i="25" s="1"/>
  <c r="O22" i="24"/>
  <c r="D23" i="24" s="1"/>
  <c r="P22" i="24"/>
  <c r="P13" i="29"/>
  <c r="P13" i="28"/>
  <c r="P13" i="30"/>
  <c r="O22" i="29"/>
  <c r="D21" i="29" s="1"/>
  <c r="D35" i="29" s="1"/>
  <c r="O22" i="28"/>
  <c r="D21" i="28" s="1"/>
  <c r="D35" i="28" s="1"/>
  <c r="O22" i="30"/>
  <c r="D21" i="30" s="1"/>
  <c r="P25" i="25"/>
  <c r="P25" i="27"/>
  <c r="P23" i="27"/>
  <c r="P23" i="25"/>
  <c r="O23" i="24"/>
  <c r="D24" i="24" s="1"/>
  <c r="P23" i="24"/>
  <c r="Q21" i="24"/>
  <c r="P21" i="28"/>
  <c r="P21" i="30"/>
  <c r="P21" i="29"/>
  <c r="DC12" i="1"/>
  <c r="O13" i="28"/>
  <c r="O13" i="29"/>
  <c r="O13" i="30"/>
  <c r="O24" i="27"/>
  <c r="D23" i="27" s="1"/>
  <c r="O24" i="25"/>
  <c r="D23" i="25" s="1"/>
  <c r="D37" i="25" s="1"/>
  <c r="Q24" i="24"/>
  <c r="P24" i="29"/>
  <c r="P24" i="28"/>
  <c r="P24" i="30"/>
  <c r="P22" i="27"/>
  <c r="P22" i="25"/>
  <c r="DC15" i="1"/>
  <c r="O26" i="29"/>
  <c r="D25" i="29" s="1"/>
  <c r="D39" i="29" s="1"/>
  <c r="O26" i="28"/>
  <c r="D25" i="28" s="1"/>
  <c r="D39" i="28" s="1"/>
  <c r="O26" i="30"/>
  <c r="D25" i="30" s="1"/>
  <c r="P26" i="29"/>
  <c r="P26" i="30"/>
  <c r="P26" i="28"/>
  <c r="D29" i="25"/>
  <c r="E29" i="25" s="1"/>
  <c r="E15" i="25"/>
  <c r="Q25" i="24"/>
  <c r="P25" i="30"/>
  <c r="P25" i="28"/>
  <c r="P25" i="29"/>
  <c r="O17" i="27"/>
  <c r="O17" i="25"/>
  <c r="E15" i="28"/>
  <c r="D29" i="28"/>
  <c r="E29" i="28" s="1"/>
  <c r="P15" i="27"/>
  <c r="P15" i="25"/>
  <c r="P24" i="25"/>
  <c r="P24" i="27"/>
  <c r="P21" i="27"/>
  <c r="P21" i="25"/>
  <c r="O26" i="24"/>
  <c r="D27" i="24" s="1"/>
  <c r="P26" i="24"/>
  <c r="O27" i="28"/>
  <c r="O27" i="29"/>
  <c r="Q27" i="23"/>
  <c r="P13" i="23"/>
  <c r="O28" i="23"/>
  <c r="CE15" i="1"/>
  <c r="Q26" i="17"/>
  <c r="Q21" i="17"/>
  <c r="Q22" i="23"/>
  <c r="CE12" i="1"/>
  <c r="Q23" i="17"/>
  <c r="Q24" i="23"/>
  <c r="P22" i="17"/>
  <c r="P23" i="23"/>
  <c r="Q27" i="17"/>
  <c r="Q28" i="23"/>
  <c r="P21" i="17"/>
  <c r="P22" i="23"/>
  <c r="P16" i="17"/>
  <c r="P17" i="23"/>
  <c r="P25" i="17"/>
  <c r="P26" i="23"/>
  <c r="P23" i="17"/>
  <c r="P24" i="23"/>
  <c r="Q25" i="17"/>
  <c r="Q26" i="23"/>
  <c r="P24" i="17"/>
  <c r="P25" i="23"/>
  <c r="P27" i="17"/>
  <c r="P28" i="23"/>
  <c r="Q22" i="17"/>
  <c r="Q23" i="23"/>
  <c r="Q24" i="17"/>
  <c r="Q25" i="23"/>
  <c r="O25" i="18"/>
  <c r="O25" i="24"/>
  <c r="W11" i="3"/>
  <c r="Q12" i="24"/>
  <c r="O21" i="18"/>
  <c r="D21" i="18" s="1"/>
  <c r="O21" i="24"/>
  <c r="D22" i="24" s="1"/>
  <c r="O24" i="18"/>
  <c r="O24" i="24"/>
  <c r="D25" i="24" s="1"/>
  <c r="W24" i="3"/>
  <c r="Q26" i="24"/>
  <c r="P27" i="13"/>
  <c r="O28" i="22"/>
  <c r="D27" i="22" s="1"/>
  <c r="BO20" i="1"/>
  <c r="BO21" i="1"/>
  <c r="BO18" i="1"/>
  <c r="BO24" i="1"/>
  <c r="O27" i="13"/>
  <c r="U24" i="3"/>
  <c r="O26" i="13"/>
  <c r="P21" i="18"/>
  <c r="W19" i="3"/>
  <c r="P16" i="18"/>
  <c r="W14" i="3"/>
  <c r="P25" i="18"/>
  <c r="W23" i="3"/>
  <c r="P27" i="18"/>
  <c r="W25" i="3"/>
  <c r="P22" i="18"/>
  <c r="W20" i="3"/>
  <c r="P24" i="18"/>
  <c r="W22" i="3"/>
  <c r="O22" i="18"/>
  <c r="D22" i="18" s="1"/>
  <c r="P23" i="18"/>
  <c r="W21" i="3"/>
  <c r="P28" i="13"/>
  <c r="P22" i="13"/>
  <c r="P24" i="13"/>
  <c r="P26" i="13"/>
  <c r="P23" i="13"/>
  <c r="P25" i="13"/>
  <c r="F24" i="3"/>
  <c r="DI15" i="1"/>
  <c r="P26" i="18"/>
  <c r="E25" i="3"/>
  <c r="O28" i="13"/>
  <c r="T24" i="3"/>
  <c r="O26" i="18"/>
  <c r="AC12" i="1"/>
  <c r="P19" i="22" s="1"/>
  <c r="BY12" i="1"/>
  <c r="P18" i="23" s="1"/>
  <c r="P12" i="17"/>
  <c r="E21" i="3"/>
  <c r="O24" i="13"/>
  <c r="D23" i="13" s="1"/>
  <c r="E20" i="3"/>
  <c r="O23" i="13"/>
  <c r="D22" i="13" s="1"/>
  <c r="T25" i="3"/>
  <c r="O27" i="18"/>
  <c r="E13" i="3"/>
  <c r="E22" i="3"/>
  <c r="O25" i="13"/>
  <c r="DI12" i="1"/>
  <c r="P12" i="18"/>
  <c r="BY15" i="1"/>
  <c r="P26" i="17"/>
  <c r="T14" i="3"/>
  <c r="E19" i="3"/>
  <c r="O22" i="13"/>
  <c r="D21" i="13" s="1"/>
  <c r="T21" i="3"/>
  <c r="O23" i="18"/>
  <c r="D23" i="18" s="1"/>
  <c r="CW13" i="1"/>
  <c r="CW36" i="1" s="1"/>
  <c r="T11" i="3"/>
  <c r="T22" i="3"/>
  <c r="T23" i="3"/>
  <c r="G23" i="3"/>
  <c r="F19" i="3"/>
  <c r="T19" i="3"/>
  <c r="I21" i="3"/>
  <c r="J25" i="3"/>
  <c r="H21" i="3"/>
  <c r="F22" i="3"/>
  <c r="T20" i="3"/>
  <c r="F20" i="3"/>
  <c r="J23" i="3"/>
  <c r="J22" i="3"/>
  <c r="J19" i="3"/>
  <c r="G24" i="3"/>
  <c r="F23" i="3"/>
  <c r="I22" i="3"/>
  <c r="U19" i="3"/>
  <c r="D19" i="3"/>
  <c r="I19" i="3"/>
  <c r="D22" i="3"/>
  <c r="I23" i="3"/>
  <c r="J24" i="3"/>
  <c r="J20" i="3"/>
  <c r="I20" i="3"/>
  <c r="F21" i="3"/>
  <c r="I24" i="3"/>
  <c r="J21" i="3"/>
  <c r="I25" i="3"/>
  <c r="D23" i="3"/>
  <c r="F25" i="3"/>
  <c r="D25" i="3"/>
  <c r="E23" i="3"/>
  <c r="D25" i="21" s="1"/>
  <c r="G20" i="3"/>
  <c r="G22" i="3"/>
  <c r="H25" i="3"/>
  <c r="H19" i="3"/>
  <c r="H20" i="3"/>
  <c r="H22" i="3"/>
  <c r="H23" i="3"/>
  <c r="H24" i="3"/>
  <c r="G19" i="3"/>
  <c r="G21" i="3"/>
  <c r="G25" i="3"/>
  <c r="AO46" i="10"/>
  <c r="AO48" i="10" s="1"/>
  <c r="AO49" i="10" s="1"/>
  <c r="AO52" i="10" s="1"/>
  <c r="AO56" i="10" s="1"/>
  <c r="CB24" i="10"/>
  <c r="BZ24" i="10"/>
  <c r="CR24" i="10"/>
  <c r="CV24" i="10"/>
  <c r="CS24" i="10"/>
  <c r="CT24" i="10" s="1"/>
  <c r="N13" i="11"/>
  <c r="CV23" i="10"/>
  <c r="CR23" i="10"/>
  <c r="CS23" i="10"/>
  <c r="CT23" i="10" s="1"/>
  <c r="CQ16" i="10"/>
  <c r="BZ23" i="10"/>
  <c r="CB23" i="10"/>
  <c r="CS20" i="10"/>
  <c r="CT20" i="10" s="1"/>
  <c r="CV20" i="10"/>
  <c r="CR20" i="10"/>
  <c r="CB20" i="10"/>
  <c r="BZ20" i="10"/>
  <c r="BZ18" i="10"/>
  <c r="CB18" i="10"/>
  <c r="CR18" i="10"/>
  <c r="CV18" i="10"/>
  <c r="CS18" i="10"/>
  <c r="CT18" i="10" s="1"/>
  <c r="CV19" i="10"/>
  <c r="CS19" i="10"/>
  <c r="CT19" i="10" s="1"/>
  <c r="CR19" i="10"/>
  <c r="BZ19" i="10"/>
  <c r="CB19" i="10"/>
  <c r="BY10" i="10"/>
  <c r="BY11" i="10" s="1"/>
  <c r="BS8" i="10"/>
  <c r="BS12" i="10" s="1"/>
  <c r="O17" i="11" s="1"/>
  <c r="CB21" i="10"/>
  <c r="BZ21" i="10"/>
  <c r="CS21" i="10"/>
  <c r="CT21" i="10" s="1"/>
  <c r="CR21" i="10"/>
  <c r="CV21" i="10"/>
  <c r="BA42" i="10"/>
  <c r="BA43" i="10"/>
  <c r="BA45" i="10"/>
  <c r="BA46" i="10" s="1"/>
  <c r="BA48" i="10" s="1"/>
  <c r="BA49" i="10" s="1"/>
  <c r="BA52" i="10" s="1"/>
  <c r="BA56" i="10" s="1"/>
  <c r="CQ15" i="1"/>
  <c r="BM13" i="10"/>
  <c r="BG35" i="10"/>
  <c r="BG38" i="10" s="1"/>
  <c r="BG39" i="10" s="1"/>
  <c r="BG40" i="10" s="1"/>
  <c r="M18" i="11"/>
  <c r="P14" i="11"/>
  <c r="BY33" i="10"/>
  <c r="CR22" i="10"/>
  <c r="CV22" i="10"/>
  <c r="CS22" i="10"/>
  <c r="CQ9" i="10"/>
  <c r="Q14" i="11" s="1"/>
  <c r="O16" i="11"/>
  <c r="BM15" i="10"/>
  <c r="N26" i="11"/>
  <c r="G15" i="11"/>
  <c r="BZ22" i="10"/>
  <c r="CB22" i="10"/>
  <c r="BY7" i="10"/>
  <c r="BY22" i="10" s="1"/>
  <c r="P25" i="11" s="1"/>
  <c r="AU46" i="10"/>
  <c r="AU48" i="10" s="1"/>
  <c r="AU49" i="10" s="1"/>
  <c r="AU52" i="10" s="1"/>
  <c r="AU56" i="10" s="1"/>
  <c r="O12" i="11"/>
  <c r="BS23" i="10"/>
  <c r="BS21" i="10"/>
  <c r="O24" i="11" s="1"/>
  <c r="BS18" i="10"/>
  <c r="O21" i="11" s="1"/>
  <c r="BS19" i="10"/>
  <c r="O22" i="11" s="1"/>
  <c r="BS24" i="10"/>
  <c r="O27" i="11" s="1"/>
  <c r="BS20" i="10"/>
  <c r="O23" i="11" s="1"/>
  <c r="U25" i="3"/>
  <c r="U20" i="3"/>
  <c r="U22" i="3"/>
  <c r="U21" i="3"/>
  <c r="U23" i="3"/>
  <c r="R22" i="3"/>
  <c r="K24" i="3"/>
  <c r="K19" i="3"/>
  <c r="R19" i="3"/>
  <c r="CQ12" i="1"/>
  <c r="P17" i="24" s="1"/>
  <c r="BA23" i="1"/>
  <c r="L24" i="3" s="1"/>
  <c r="K20" i="3"/>
  <c r="R24" i="3"/>
  <c r="R23" i="3"/>
  <c r="K21" i="3"/>
  <c r="E24" i="3"/>
  <c r="D26" i="21" s="1"/>
  <c r="K23" i="3"/>
  <c r="D24" i="3"/>
  <c r="K22" i="3"/>
  <c r="R20" i="3"/>
  <c r="R21" i="3"/>
  <c r="R25" i="3"/>
  <c r="K25" i="3"/>
  <c r="BA20" i="1"/>
  <c r="L21" i="3" s="1"/>
  <c r="BS12" i="1"/>
  <c r="BA19" i="1"/>
  <c r="L20" i="3" s="1"/>
  <c r="A5" i="1"/>
  <c r="AO15" i="1"/>
  <c r="AI15" i="1"/>
  <c r="BA21" i="1"/>
  <c r="BA18" i="1"/>
  <c r="L19" i="3" s="1"/>
  <c r="BS15" i="1"/>
  <c r="BI22" i="1"/>
  <c r="BG7" i="1" s="1"/>
  <c r="M10" i="3" s="1"/>
  <c r="BQ22" i="1"/>
  <c r="BA22" i="1"/>
  <c r="BA24" i="1"/>
  <c r="L25" i="32" s="1"/>
  <c r="BS11" i="1"/>
  <c r="O17" i="23" s="1"/>
  <c r="E20" i="23" s="1"/>
  <c r="K11" i="1"/>
  <c r="F18" i="25" l="1"/>
  <c r="AE147" i="31"/>
  <c r="AD147" i="31" s="1"/>
  <c r="AD139" i="31"/>
  <c r="AE144" i="31"/>
  <c r="AD144" i="31" s="1"/>
  <c r="DK115" i="31"/>
  <c r="DI56" i="31"/>
  <c r="DI60" i="31"/>
  <c r="DI64" i="31" s="1"/>
  <c r="DK139" i="31"/>
  <c r="BM12" i="31"/>
  <c r="N15" i="32" s="1"/>
  <c r="N11" i="32"/>
  <c r="CW47" i="31"/>
  <c r="CW49" i="31" s="1"/>
  <c r="CW50" i="31" s="1"/>
  <c r="W56" i="31"/>
  <c r="W60" i="31"/>
  <c r="W64" i="31" s="1"/>
  <c r="CG121" i="31"/>
  <c r="CF121" i="31" s="1"/>
  <c r="CF115" i="31"/>
  <c r="AD129" i="31"/>
  <c r="AE134" i="31"/>
  <c r="AD134" i="31" s="1"/>
  <c r="CS121" i="31"/>
  <c r="CR121" i="31" s="1"/>
  <c r="CR115" i="31"/>
  <c r="BG15" i="31"/>
  <c r="M24" i="32"/>
  <c r="Y115" i="31"/>
  <c r="Y134" i="31"/>
  <c r="X134" i="31" s="1"/>
  <c r="X129" i="31"/>
  <c r="AU57" i="31"/>
  <c r="AU39" i="31"/>
  <c r="BA36" i="31"/>
  <c r="L16" i="32"/>
  <c r="CS144" i="31"/>
  <c r="CR144" i="31" s="1"/>
  <c r="CS147" i="31"/>
  <c r="CR147" i="31" s="1"/>
  <c r="CR139" i="31"/>
  <c r="CG144" i="31"/>
  <c r="CF144" i="31" s="1"/>
  <c r="CG147" i="31"/>
  <c r="CF147" i="31" s="1"/>
  <c r="CF139" i="31"/>
  <c r="BG36" i="31"/>
  <c r="BG57" i="31" s="1"/>
  <c r="M16" i="32"/>
  <c r="Y139" i="31"/>
  <c r="AJ95" i="31"/>
  <c r="AJ91" i="31"/>
  <c r="AJ80" i="31"/>
  <c r="AI44" i="31"/>
  <c r="AJ110" i="31"/>
  <c r="AJ96" i="31"/>
  <c r="AJ70" i="31"/>
  <c r="AJ84" i="31"/>
  <c r="AJ97" i="31"/>
  <c r="AJ74" i="31"/>
  <c r="AK129" i="31"/>
  <c r="AJ104" i="31"/>
  <c r="AJ83" i="31"/>
  <c r="AK124" i="31"/>
  <c r="AJ124" i="31" s="1"/>
  <c r="AI45" i="31"/>
  <c r="AJ93" i="31"/>
  <c r="AJ107" i="31"/>
  <c r="AJ111" i="31"/>
  <c r="AJ79" i="31"/>
  <c r="AJ88" i="31"/>
  <c r="AJ72" i="31"/>
  <c r="AJ85" i="31"/>
  <c r="AJ105" i="31"/>
  <c r="AJ92" i="31"/>
  <c r="AJ77" i="31"/>
  <c r="AJ103" i="31"/>
  <c r="AJ75" i="31"/>
  <c r="AJ82" i="31"/>
  <c r="AJ100" i="31"/>
  <c r="AJ78" i="31"/>
  <c r="AJ89" i="31"/>
  <c r="AJ76" i="31"/>
  <c r="AJ73" i="31"/>
  <c r="AJ87" i="31"/>
  <c r="AJ108" i="31"/>
  <c r="AJ102" i="31"/>
  <c r="AJ99" i="31"/>
  <c r="AJ109" i="31"/>
  <c r="AJ106" i="31"/>
  <c r="AI43" i="31"/>
  <c r="AJ71" i="31"/>
  <c r="AI46" i="31"/>
  <c r="AI47" i="31" s="1"/>
  <c r="AI49" i="31" s="1"/>
  <c r="AI50" i="31" s="1"/>
  <c r="AJ101" i="31"/>
  <c r="AJ94" i="31"/>
  <c r="AO170" i="31"/>
  <c r="AO40" i="31"/>
  <c r="AO41" i="31" s="1"/>
  <c r="AC56" i="31"/>
  <c r="AC60" i="31"/>
  <c r="AC64" i="31" s="1"/>
  <c r="BM22" i="31"/>
  <c r="N23" i="32" s="1"/>
  <c r="DK134" i="31"/>
  <c r="DJ134" i="31" s="1"/>
  <c r="DJ129" i="31"/>
  <c r="AE115" i="31"/>
  <c r="BG39" i="31"/>
  <c r="BM13" i="31"/>
  <c r="BM23" i="31"/>
  <c r="BM18" i="31"/>
  <c r="N19" i="32" s="1"/>
  <c r="BM20" i="31"/>
  <c r="N21" i="32" s="1"/>
  <c r="BM21" i="31"/>
  <c r="N22" i="32" s="1"/>
  <c r="BM24" i="31"/>
  <c r="BM19" i="31"/>
  <c r="N20" i="32" s="1"/>
  <c r="DE121" i="31"/>
  <c r="DD121" i="31" s="1"/>
  <c r="DD115" i="31"/>
  <c r="DE144" i="31"/>
  <c r="DD144" i="31" s="1"/>
  <c r="DE147" i="31"/>
  <c r="DD147" i="31" s="1"/>
  <c r="DD139" i="31"/>
  <c r="F18" i="29"/>
  <c r="E32" i="29"/>
  <c r="D18" i="29"/>
  <c r="DC13" i="1"/>
  <c r="DC36" i="1" s="1"/>
  <c r="O17" i="28"/>
  <c r="O17" i="30"/>
  <c r="O17" i="29"/>
  <c r="D18" i="30"/>
  <c r="F18" i="30"/>
  <c r="F18" i="28"/>
  <c r="D18" i="28"/>
  <c r="E32" i="28"/>
  <c r="P16" i="27"/>
  <c r="P16" i="25"/>
  <c r="P17" i="30"/>
  <c r="P17" i="29"/>
  <c r="P17" i="28"/>
  <c r="E45" i="1"/>
  <c r="F72" i="1"/>
  <c r="F80" i="1"/>
  <c r="F91" i="1"/>
  <c r="F100" i="1"/>
  <c r="F108" i="1"/>
  <c r="E46" i="1"/>
  <c r="F82" i="1"/>
  <c r="F73" i="1"/>
  <c r="F74" i="1"/>
  <c r="F83" i="1"/>
  <c r="F93" i="1"/>
  <c r="F102" i="1"/>
  <c r="F110" i="1"/>
  <c r="F75" i="1"/>
  <c r="F84" i="1"/>
  <c r="F94" i="1"/>
  <c r="F103" i="1"/>
  <c r="F111" i="1"/>
  <c r="F79" i="1"/>
  <c r="F109" i="1"/>
  <c r="F77" i="1"/>
  <c r="F96" i="1"/>
  <c r="F89" i="1"/>
  <c r="F92" i="1"/>
  <c r="F76" i="1"/>
  <c r="F85" i="1"/>
  <c r="F95" i="1"/>
  <c r="F104" i="1"/>
  <c r="F87" i="1"/>
  <c r="F105" i="1"/>
  <c r="F99" i="1"/>
  <c r="F101" i="1"/>
  <c r="F70" i="1"/>
  <c r="F78" i="1"/>
  <c r="F88" i="1"/>
  <c r="F97" i="1"/>
  <c r="F106" i="1"/>
  <c r="F71" i="1"/>
  <c r="F107" i="1"/>
  <c r="E43" i="1"/>
  <c r="E44" i="1"/>
  <c r="F32" i="25"/>
  <c r="D32" i="25"/>
  <c r="O18" i="23"/>
  <c r="L25" i="3"/>
  <c r="L22" i="3"/>
  <c r="L23" i="3"/>
  <c r="CE13" i="1"/>
  <c r="D20" i="23"/>
  <c r="F20" i="23"/>
  <c r="W15" i="3"/>
  <c r="Q17" i="24"/>
  <c r="BO22" i="1"/>
  <c r="BM7" i="1" s="1"/>
  <c r="N10" i="3" s="1"/>
  <c r="CW39" i="1"/>
  <c r="CW57" i="1"/>
  <c r="D24" i="13"/>
  <c r="D24" i="21"/>
  <c r="D24" i="18"/>
  <c r="D24" i="17"/>
  <c r="AC13" i="1"/>
  <c r="DI13" i="1"/>
  <c r="P17" i="18"/>
  <c r="T15" i="3"/>
  <c r="BY13" i="1"/>
  <c r="P19" i="23" s="1"/>
  <c r="P17" i="17"/>
  <c r="D25" i="17"/>
  <c r="D25" i="18"/>
  <c r="D26" i="17"/>
  <c r="D26" i="18"/>
  <c r="D25" i="13"/>
  <c r="D26" i="13"/>
  <c r="R19" i="11"/>
  <c r="Q19" i="11"/>
  <c r="E14" i="3"/>
  <c r="CQ10" i="10"/>
  <c r="CQ11" i="10" s="1"/>
  <c r="Q16" i="11" s="1"/>
  <c r="O13" i="11"/>
  <c r="BY8" i="10"/>
  <c r="BY12" i="10" s="1"/>
  <c r="P17" i="11" s="1"/>
  <c r="BS13" i="10"/>
  <c r="BS35" i="10" s="1"/>
  <c r="BS38" i="10" s="1"/>
  <c r="BS39" i="10" s="1"/>
  <c r="BS40" i="10" s="1"/>
  <c r="CQ13" i="1"/>
  <c r="P18" i="24" s="1"/>
  <c r="P12" i="11"/>
  <c r="BY23" i="10"/>
  <c r="BY18" i="10"/>
  <c r="P21" i="11" s="1"/>
  <c r="BY19" i="10"/>
  <c r="P22" i="11" s="1"/>
  <c r="BY24" i="10"/>
  <c r="P27" i="11" s="1"/>
  <c r="BY20" i="10"/>
  <c r="P23" i="11" s="1"/>
  <c r="BY21" i="10"/>
  <c r="P24" i="11" s="1"/>
  <c r="V10" i="3"/>
  <c r="S10" i="3"/>
  <c r="R14" i="11"/>
  <c r="CQ33" i="10"/>
  <c r="BG42" i="10"/>
  <c r="BG43" i="10"/>
  <c r="BG45" i="10"/>
  <c r="BG44" i="10"/>
  <c r="CT22" i="10"/>
  <c r="CQ8" i="10" s="1"/>
  <c r="Q13" i="11" s="1"/>
  <c r="CQ7" i="10"/>
  <c r="BS15" i="10"/>
  <c r="O26" i="11"/>
  <c r="P16" i="11"/>
  <c r="BM35" i="10"/>
  <c r="BM38" i="10" s="1"/>
  <c r="BM39" i="10" s="1"/>
  <c r="BM40" i="10" s="1"/>
  <c r="N18" i="11"/>
  <c r="Q10" i="3"/>
  <c r="BG24" i="1"/>
  <c r="BS13" i="1"/>
  <c r="O19" i="23" s="1"/>
  <c r="BG20" i="1"/>
  <c r="M21" i="3" s="1"/>
  <c r="BG19" i="1"/>
  <c r="M20" i="3" s="1"/>
  <c r="BG18" i="1"/>
  <c r="M19" i="3" s="1"/>
  <c r="BG21" i="1"/>
  <c r="M22" i="3" s="1"/>
  <c r="BG23" i="1"/>
  <c r="M24" i="3" s="1"/>
  <c r="BG22" i="1"/>
  <c r="M23" i="3" s="1"/>
  <c r="AJ129" i="31" l="1"/>
  <c r="AK134" i="31"/>
  <c r="AJ134" i="31" s="1"/>
  <c r="DJ139" i="31"/>
  <c r="DK144" i="31"/>
  <c r="DJ144" i="31" s="1"/>
  <c r="DK147" i="31"/>
  <c r="DJ147" i="31" s="1"/>
  <c r="X115" i="31"/>
  <c r="Y121" i="31"/>
  <c r="X121" i="31" s="1"/>
  <c r="AI60" i="31"/>
  <c r="AI64" i="31" s="1"/>
  <c r="AI56" i="31"/>
  <c r="BM36" i="31"/>
  <c r="N16" i="32"/>
  <c r="AP107" i="31"/>
  <c r="AP87" i="31"/>
  <c r="AQ124" i="31"/>
  <c r="AP124" i="31" s="1"/>
  <c r="AP71" i="31"/>
  <c r="AP95" i="31"/>
  <c r="AP76" i="31"/>
  <c r="AP74" i="31"/>
  <c r="AP72" i="31"/>
  <c r="AP111" i="31"/>
  <c r="AP99" i="31"/>
  <c r="AP70" i="31"/>
  <c r="AQ129" i="31"/>
  <c r="AP84" i="31"/>
  <c r="AP79" i="31"/>
  <c r="AP94" i="31"/>
  <c r="AP96" i="31"/>
  <c r="AP77" i="31"/>
  <c r="AP75" i="31"/>
  <c r="AP82" i="31"/>
  <c r="AP83" i="31"/>
  <c r="AP108" i="31"/>
  <c r="AO43" i="31"/>
  <c r="AP88" i="31"/>
  <c r="AO46" i="31"/>
  <c r="AO47" i="31" s="1"/>
  <c r="AO49" i="31" s="1"/>
  <c r="AO50" i="31" s="1"/>
  <c r="AP102" i="31"/>
  <c r="AP91" i="31"/>
  <c r="AP78" i="31"/>
  <c r="AO44" i="31"/>
  <c r="AP101" i="31"/>
  <c r="AP100" i="31"/>
  <c r="AP105" i="31"/>
  <c r="AP104" i="31"/>
  <c r="AP93" i="31"/>
  <c r="AP85" i="31"/>
  <c r="AP109" i="31"/>
  <c r="AP97" i="31"/>
  <c r="AP73" i="31"/>
  <c r="AP106" i="31"/>
  <c r="AO45" i="31"/>
  <c r="AP110" i="31"/>
  <c r="AP80" i="31"/>
  <c r="AP89" i="31"/>
  <c r="AP103" i="31"/>
  <c r="AP92" i="31"/>
  <c r="Y144" i="31"/>
  <c r="X144" i="31" s="1"/>
  <c r="X139" i="31"/>
  <c r="Y147" i="31"/>
  <c r="X147" i="31" s="1"/>
  <c r="DJ115" i="31"/>
  <c r="DK121" i="31"/>
  <c r="DJ121" i="31" s="1"/>
  <c r="AE121" i="31"/>
  <c r="AD121" i="31" s="1"/>
  <c r="AD115" i="31"/>
  <c r="AK115" i="31"/>
  <c r="BA57" i="31"/>
  <c r="BA39" i="31"/>
  <c r="CQ169" i="31"/>
  <c r="CQ54" i="31" s="1"/>
  <c r="CQ58" i="31" s="1"/>
  <c r="CQ59" i="31" s="1"/>
  <c r="CW56" i="31"/>
  <c r="CW59" i="31" s="1"/>
  <c r="CW60" i="31"/>
  <c r="CW64" i="31" s="1"/>
  <c r="CY116" i="31"/>
  <c r="M25" i="3"/>
  <c r="M25" i="32"/>
  <c r="BM15" i="31"/>
  <c r="N24" i="32"/>
  <c r="AK139" i="31"/>
  <c r="CE169" i="31"/>
  <c r="CE54" i="31" s="1"/>
  <c r="CE58" i="31" s="1"/>
  <c r="CE59" i="31" s="1"/>
  <c r="AU40" i="31"/>
  <c r="AU41" i="31" s="1"/>
  <c r="AU170" i="31"/>
  <c r="DC169" i="31"/>
  <c r="DC54" i="31" s="1"/>
  <c r="DC58" i="31" s="1"/>
  <c r="DC59" i="31" s="1"/>
  <c r="BG40" i="31"/>
  <c r="BG41" i="31" s="1"/>
  <c r="BG170" i="31"/>
  <c r="E47" i="1"/>
  <c r="E49" i="1" s="1"/>
  <c r="E50" i="1" s="1"/>
  <c r="E60" i="1" s="1"/>
  <c r="E64" i="1" s="1"/>
  <c r="F32" i="28"/>
  <c r="D32" i="28"/>
  <c r="DC57" i="1"/>
  <c r="DC39" i="1"/>
  <c r="D32" i="29"/>
  <c r="F32" i="29"/>
  <c r="CE36" i="1"/>
  <c r="CE39" i="1" s="1"/>
  <c r="CE170" i="1" s="1"/>
  <c r="W16" i="3"/>
  <c r="Q18" i="24"/>
  <c r="BM24" i="1"/>
  <c r="N25" i="32" s="1"/>
  <c r="BM19" i="1"/>
  <c r="N20" i="3" s="1"/>
  <c r="BM22" i="1"/>
  <c r="N23" i="3" s="1"/>
  <c r="BM23" i="1"/>
  <c r="N24" i="3" s="1"/>
  <c r="BM18" i="1"/>
  <c r="N19" i="3" s="1"/>
  <c r="BM20" i="1"/>
  <c r="BM21" i="1"/>
  <c r="N22" i="3" s="1"/>
  <c r="O14" i="17"/>
  <c r="CW40" i="1"/>
  <c r="CW41" i="1" s="1"/>
  <c r="BY36" i="1"/>
  <c r="P18" i="17"/>
  <c r="DI36" i="1"/>
  <c r="P18" i="18"/>
  <c r="T16" i="3"/>
  <c r="AC36" i="1"/>
  <c r="N21" i="3"/>
  <c r="CQ22" i="10"/>
  <c r="Q12" i="11"/>
  <c r="N25" i="3"/>
  <c r="P13" i="11"/>
  <c r="CQ36" i="1"/>
  <c r="BG46" i="10"/>
  <c r="BG48" i="10" s="1"/>
  <c r="BG49" i="10" s="1"/>
  <c r="BG52" i="10" s="1"/>
  <c r="BG56" i="10" s="1"/>
  <c r="O18" i="11"/>
  <c r="BY13" i="10"/>
  <c r="P18" i="11" s="1"/>
  <c r="V24" i="3"/>
  <c r="S24" i="3"/>
  <c r="V19" i="3"/>
  <c r="S19" i="3"/>
  <c r="R12" i="11"/>
  <c r="CQ23" i="10"/>
  <c r="Q26" i="11" s="1"/>
  <c r="CQ19" i="10"/>
  <c r="CQ21" i="10"/>
  <c r="CQ18" i="10"/>
  <c r="CQ20" i="10"/>
  <c r="CQ24" i="10"/>
  <c r="CQ12" i="10"/>
  <c r="R13" i="11"/>
  <c r="V21" i="3"/>
  <c r="S21" i="3"/>
  <c r="BM44" i="10"/>
  <c r="BM42" i="10"/>
  <c r="BM45" i="10"/>
  <c r="BM43" i="10"/>
  <c r="V22" i="3"/>
  <c r="S22" i="3"/>
  <c r="BY15" i="10"/>
  <c r="P26" i="11"/>
  <c r="V25" i="3"/>
  <c r="S25" i="3"/>
  <c r="V23" i="3"/>
  <c r="S23" i="3"/>
  <c r="V20" i="3"/>
  <c r="S20" i="3"/>
  <c r="R16" i="11"/>
  <c r="BS42" i="10"/>
  <c r="BS45" i="10"/>
  <c r="BS44" i="10"/>
  <c r="BS43" i="10"/>
  <c r="Q21" i="3"/>
  <c r="BS36" i="1"/>
  <c r="Q22" i="3"/>
  <c r="Q24" i="3"/>
  <c r="Q19" i="3"/>
  <c r="Q25" i="3"/>
  <c r="Q23" i="3"/>
  <c r="Q20" i="3"/>
  <c r="AO56" i="31" l="1"/>
  <c r="AO60" i="31"/>
  <c r="AO64" i="31" s="1"/>
  <c r="AQ139" i="31"/>
  <c r="AQ115" i="31"/>
  <c r="AV104" i="31"/>
  <c r="AV108" i="31"/>
  <c r="AV93" i="31"/>
  <c r="AV100" i="31"/>
  <c r="AV84" i="31"/>
  <c r="AW124" i="31"/>
  <c r="AV124" i="31" s="1"/>
  <c r="AV95" i="31"/>
  <c r="AU45" i="31"/>
  <c r="AV83" i="31"/>
  <c r="AU46" i="31"/>
  <c r="AV92" i="31"/>
  <c r="AV107" i="31"/>
  <c r="AV78" i="31"/>
  <c r="AV111" i="31"/>
  <c r="AV80" i="31"/>
  <c r="AV82" i="31"/>
  <c r="AV91" i="31"/>
  <c r="AV105" i="31"/>
  <c r="AV97" i="31"/>
  <c r="AV77" i="31"/>
  <c r="AV109" i="31"/>
  <c r="AV87" i="31"/>
  <c r="AV110" i="31"/>
  <c r="AV74" i="31"/>
  <c r="AV89" i="31"/>
  <c r="AV85" i="31"/>
  <c r="AV71" i="31"/>
  <c r="AV103" i="31"/>
  <c r="AV79" i="31"/>
  <c r="AU43" i="31"/>
  <c r="AV76" i="31"/>
  <c r="AV102" i="31"/>
  <c r="AV101" i="31"/>
  <c r="AV72" i="31"/>
  <c r="AV106" i="31"/>
  <c r="AW129" i="31"/>
  <c r="AV75" i="31"/>
  <c r="AU44" i="31"/>
  <c r="AV94" i="31"/>
  <c r="AV96" i="31"/>
  <c r="AV70" i="31"/>
  <c r="AV99" i="31"/>
  <c r="AV88" i="31"/>
  <c r="AV73" i="31"/>
  <c r="AK144" i="31"/>
  <c r="AJ144" i="31" s="1"/>
  <c r="AK147" i="31"/>
  <c r="AJ147" i="31" s="1"/>
  <c r="AJ139" i="31"/>
  <c r="BA170" i="31"/>
  <c r="BA40" i="31"/>
  <c r="BA41" i="31" s="1"/>
  <c r="W169" i="31"/>
  <c r="W54" i="31" s="1"/>
  <c r="W58" i="31" s="1"/>
  <c r="W59" i="31" s="1"/>
  <c r="AP129" i="31"/>
  <c r="AQ134" i="31"/>
  <c r="AP134" i="31" s="1"/>
  <c r="AK121" i="31"/>
  <c r="AJ121" i="31" s="1"/>
  <c r="AJ115" i="31"/>
  <c r="BY35" i="10"/>
  <c r="BY38" i="10" s="1"/>
  <c r="BY39" i="10" s="1"/>
  <c r="BY40" i="10" s="1"/>
  <c r="DI169" i="31"/>
  <c r="DI54" i="31" s="1"/>
  <c r="DI58" i="31" s="1"/>
  <c r="DI59" i="31" s="1"/>
  <c r="BM57" i="31"/>
  <c r="BM39" i="31"/>
  <c r="CX116" i="31"/>
  <c r="CY122" i="31"/>
  <c r="CX122" i="31" s="1"/>
  <c r="AC169" i="31"/>
  <c r="AC54" i="31" s="1"/>
  <c r="AC58" i="31" s="1"/>
  <c r="AC59" i="31" s="1"/>
  <c r="BH97" i="31"/>
  <c r="BH87" i="31"/>
  <c r="BH76" i="31"/>
  <c r="BH104" i="31"/>
  <c r="BH74" i="31"/>
  <c r="BH110" i="31"/>
  <c r="BH100" i="31"/>
  <c r="BH105" i="31"/>
  <c r="BG46" i="31"/>
  <c r="BH79" i="31"/>
  <c r="BG43" i="31"/>
  <c r="BH84" i="31"/>
  <c r="BH73" i="31"/>
  <c r="BH82" i="31"/>
  <c r="BI124" i="31"/>
  <c r="BH124" i="31" s="1"/>
  <c r="BH80" i="31"/>
  <c r="BH108" i="31"/>
  <c r="BG45" i="31"/>
  <c r="BG47" i="31" s="1"/>
  <c r="BG49" i="31" s="1"/>
  <c r="BG50" i="31" s="1"/>
  <c r="BH71" i="31"/>
  <c r="BH111" i="31"/>
  <c r="BH77" i="31"/>
  <c r="BH92" i="31"/>
  <c r="BH72" i="31"/>
  <c r="BH106" i="31"/>
  <c r="BH70" i="31"/>
  <c r="BH102" i="31"/>
  <c r="BH103" i="31"/>
  <c r="BH93" i="31"/>
  <c r="BH96" i="31"/>
  <c r="BH109" i="31"/>
  <c r="BH83" i="31"/>
  <c r="BH99" i="31"/>
  <c r="BH94" i="31"/>
  <c r="BH89" i="31"/>
  <c r="BH95" i="31"/>
  <c r="BH88" i="31"/>
  <c r="BG44" i="31"/>
  <c r="BH107" i="31"/>
  <c r="BH91" i="31"/>
  <c r="BH78" i="31"/>
  <c r="BI129" i="31"/>
  <c r="BH85" i="31"/>
  <c r="BH75" i="31"/>
  <c r="BH101" i="31"/>
  <c r="G115" i="1"/>
  <c r="F115" i="1" s="1"/>
  <c r="E56" i="1"/>
  <c r="DC170" i="1"/>
  <c r="DC40" i="1"/>
  <c r="DC41" i="1" s="1"/>
  <c r="CE57" i="1"/>
  <c r="O15" i="17"/>
  <c r="CX112" i="1"/>
  <c r="CX104" i="1"/>
  <c r="CX95" i="1"/>
  <c r="CX85" i="1"/>
  <c r="CX76" i="1"/>
  <c r="CX111" i="1"/>
  <c r="CX103" i="1"/>
  <c r="CX94" i="1"/>
  <c r="CX84" i="1"/>
  <c r="CX75" i="1"/>
  <c r="CX110" i="1"/>
  <c r="CX102" i="1"/>
  <c r="CX93" i="1"/>
  <c r="CX83" i="1"/>
  <c r="CX74" i="1"/>
  <c r="CX108" i="1"/>
  <c r="CX100" i="1"/>
  <c r="CX90" i="1"/>
  <c r="CX80" i="1"/>
  <c r="CX72" i="1"/>
  <c r="CY125" i="1"/>
  <c r="CX125" i="1" s="1"/>
  <c r="CX107" i="1"/>
  <c r="CX98" i="1"/>
  <c r="CX89" i="1"/>
  <c r="CX79" i="1"/>
  <c r="CX71" i="1"/>
  <c r="CX106" i="1"/>
  <c r="CX97" i="1"/>
  <c r="CX88" i="1"/>
  <c r="CX78" i="1"/>
  <c r="CX105" i="1"/>
  <c r="CX96" i="1"/>
  <c r="CX86" i="1"/>
  <c r="CX77" i="1"/>
  <c r="CX109" i="1"/>
  <c r="CX101" i="1"/>
  <c r="CX92" i="1"/>
  <c r="CX81" i="1"/>
  <c r="CX73" i="1"/>
  <c r="BS39" i="1"/>
  <c r="BS170" i="1" s="1"/>
  <c r="BS57" i="1"/>
  <c r="BY39" i="1"/>
  <c r="BY170" i="1" s="1"/>
  <c r="BY57" i="1"/>
  <c r="AC39" i="1"/>
  <c r="AC170" i="1" s="1"/>
  <c r="AC57" i="1"/>
  <c r="DI39" i="1"/>
  <c r="DI170" i="1" s="1"/>
  <c r="DI57" i="1"/>
  <c r="CW43" i="1"/>
  <c r="CW46" i="1"/>
  <c r="CW45" i="1"/>
  <c r="CW44" i="1"/>
  <c r="CQ39" i="1"/>
  <c r="CQ170" i="1" s="1"/>
  <c r="CQ57" i="1"/>
  <c r="CE40" i="1"/>
  <c r="CE41" i="1" s="1"/>
  <c r="R21" i="11"/>
  <c r="Q21" i="11"/>
  <c r="R24" i="11"/>
  <c r="Q24" i="11"/>
  <c r="R22" i="11"/>
  <c r="Q22" i="11"/>
  <c r="R25" i="11"/>
  <c r="Q25" i="11"/>
  <c r="R23" i="11"/>
  <c r="Q23" i="11"/>
  <c r="R17" i="11"/>
  <c r="Q17" i="11"/>
  <c r="D11" i="3"/>
  <c r="R27" i="11"/>
  <c r="Q27" i="11"/>
  <c r="BM46" i="10"/>
  <c r="BM48" i="10" s="1"/>
  <c r="BM49" i="10" s="1"/>
  <c r="BM52" i="10" s="1"/>
  <c r="BM56" i="10" s="1"/>
  <c r="CQ13" i="10"/>
  <c r="BY45" i="10"/>
  <c r="BY44" i="10"/>
  <c r="BY42" i="10"/>
  <c r="BY43" i="10"/>
  <c r="CQ15" i="10"/>
  <c r="R26" i="11"/>
  <c r="BS46" i="10"/>
  <c r="BS48" i="10" s="1"/>
  <c r="BS49" i="10" s="1"/>
  <c r="BS52" i="10" s="1"/>
  <c r="BS56" i="10" s="1"/>
  <c r="BM40" i="31" l="1"/>
  <c r="BM41" i="31" s="1"/>
  <c r="BM170" i="31"/>
  <c r="AU47" i="31"/>
  <c r="AU49" i="31" s="1"/>
  <c r="AU50" i="31" s="1"/>
  <c r="AP115" i="31"/>
  <c r="AQ121" i="31"/>
  <c r="AP121" i="31" s="1"/>
  <c r="BB111" i="31"/>
  <c r="BB101" i="31"/>
  <c r="BB89" i="31"/>
  <c r="BA45" i="31"/>
  <c r="BB71" i="31"/>
  <c r="BA44" i="31"/>
  <c r="BB100" i="31"/>
  <c r="BB103" i="31"/>
  <c r="BB96" i="31"/>
  <c r="BB87" i="31"/>
  <c r="BB85" i="31"/>
  <c r="BA46" i="31"/>
  <c r="BB75" i="31"/>
  <c r="BB76" i="31"/>
  <c r="BB93" i="31"/>
  <c r="BB92" i="31"/>
  <c r="BC124" i="31"/>
  <c r="BB124" i="31" s="1"/>
  <c r="BB110" i="31"/>
  <c r="BB102" i="31"/>
  <c r="BB80" i="31"/>
  <c r="BB70" i="31"/>
  <c r="BB73" i="31"/>
  <c r="BC129" i="31"/>
  <c r="BB104" i="31"/>
  <c r="BB105" i="31"/>
  <c r="BB83" i="31"/>
  <c r="BB95" i="31"/>
  <c r="BB72" i="31"/>
  <c r="BB94" i="31"/>
  <c r="BB88" i="31"/>
  <c r="BB74" i="31"/>
  <c r="BB99" i="31"/>
  <c r="BB106" i="31"/>
  <c r="BB107" i="31"/>
  <c r="BB84" i="31"/>
  <c r="BA43" i="31"/>
  <c r="BB79" i="31"/>
  <c r="BB109" i="31"/>
  <c r="BB82" i="31"/>
  <c r="BB97" i="31"/>
  <c r="BB91" i="31"/>
  <c r="BB108" i="31"/>
  <c r="BB77" i="31"/>
  <c r="BB78" i="31"/>
  <c r="BA47" i="31"/>
  <c r="BA49" i="31" s="1"/>
  <c r="BA50" i="31" s="1"/>
  <c r="BC115" i="31" s="1"/>
  <c r="AI169" i="31"/>
  <c r="AI54" i="31" s="1"/>
  <c r="AI58" i="31" s="1"/>
  <c r="AI59" i="31" s="1"/>
  <c r="AQ147" i="31"/>
  <c r="AP147" i="31" s="1"/>
  <c r="AQ144" i="31"/>
  <c r="AP144" i="31" s="1"/>
  <c r="AP139" i="31"/>
  <c r="AW134" i="31"/>
  <c r="AV134" i="31" s="1"/>
  <c r="AV129" i="31"/>
  <c r="BG60" i="31"/>
  <c r="BG64" i="31" s="1"/>
  <c r="BG56" i="31"/>
  <c r="BI115" i="31"/>
  <c r="BI139" i="31"/>
  <c r="BI134" i="31"/>
  <c r="BH134" i="31" s="1"/>
  <c r="BH129" i="31"/>
  <c r="DD73" i="1"/>
  <c r="DD89" i="1"/>
  <c r="DD95" i="1"/>
  <c r="DD110" i="1"/>
  <c r="DD78" i="1"/>
  <c r="DD108" i="1"/>
  <c r="DD79" i="1"/>
  <c r="DD85" i="1"/>
  <c r="DD102" i="1"/>
  <c r="DD70" i="1"/>
  <c r="DD100" i="1"/>
  <c r="DD71" i="1"/>
  <c r="DD76" i="1"/>
  <c r="DD93" i="1"/>
  <c r="DE129" i="1"/>
  <c r="DD91" i="1"/>
  <c r="DD105" i="1"/>
  <c r="DD111" i="1"/>
  <c r="DD83" i="1"/>
  <c r="DE124" i="1"/>
  <c r="DD124" i="1" s="1"/>
  <c r="DD109" i="1"/>
  <c r="DD80" i="1"/>
  <c r="DD96" i="1"/>
  <c r="DD103" i="1"/>
  <c r="DD74" i="1"/>
  <c r="DC44" i="1"/>
  <c r="DD101" i="1"/>
  <c r="DD72" i="1"/>
  <c r="DD87" i="1"/>
  <c r="DD94" i="1"/>
  <c r="DD106" i="1"/>
  <c r="DC43" i="1"/>
  <c r="DD92" i="1"/>
  <c r="DD107" i="1"/>
  <c r="DD77" i="1"/>
  <c r="DD84" i="1"/>
  <c r="DD97" i="1"/>
  <c r="DC46" i="1"/>
  <c r="DD82" i="1"/>
  <c r="DD99" i="1"/>
  <c r="DD104" i="1"/>
  <c r="DD75" i="1"/>
  <c r="DD88" i="1"/>
  <c r="DC45" i="1"/>
  <c r="O11" i="21"/>
  <c r="D16" i="21" s="1"/>
  <c r="E16" i="21" s="1"/>
  <c r="O10" i="3"/>
  <c r="O25" i="17"/>
  <c r="P23" i="3"/>
  <c r="O17" i="17"/>
  <c r="O12" i="17"/>
  <c r="O11" i="17"/>
  <c r="D16" i="17" s="1"/>
  <c r="E16" i="17" s="1"/>
  <c r="P10" i="3"/>
  <c r="CW47" i="1"/>
  <c r="CW49" i="1" s="1"/>
  <c r="CW50" i="1" s="1"/>
  <c r="O16" i="17"/>
  <c r="E19" i="17" s="1"/>
  <c r="CF108" i="1"/>
  <c r="CF100" i="1"/>
  <c r="CF91" i="1"/>
  <c r="CF80" i="1"/>
  <c r="CF72" i="1"/>
  <c r="CF107" i="1"/>
  <c r="CF99" i="1"/>
  <c r="CF89" i="1"/>
  <c r="CF79" i="1"/>
  <c r="CF71" i="1"/>
  <c r="CF106" i="1"/>
  <c r="CF97" i="1"/>
  <c r="CF88" i="1"/>
  <c r="CF78" i="1"/>
  <c r="CF70" i="1"/>
  <c r="CF104" i="1"/>
  <c r="CF95" i="1"/>
  <c r="CF85" i="1"/>
  <c r="CF76" i="1"/>
  <c r="CF111" i="1"/>
  <c r="CF103" i="1"/>
  <c r="CF94" i="1"/>
  <c r="CF84" i="1"/>
  <c r="CF75" i="1"/>
  <c r="CF110" i="1"/>
  <c r="CF102" i="1"/>
  <c r="CF93" i="1"/>
  <c r="CF83" i="1"/>
  <c r="CF74" i="1"/>
  <c r="CF109" i="1"/>
  <c r="CF101" i="1"/>
  <c r="CF92" i="1"/>
  <c r="CF82" i="1"/>
  <c r="CF73" i="1"/>
  <c r="CF87" i="1"/>
  <c r="CF77" i="1"/>
  <c r="CF96" i="1"/>
  <c r="CF105" i="1"/>
  <c r="CG124" i="1"/>
  <c r="CF124" i="1" s="1"/>
  <c r="CG129" i="1"/>
  <c r="DI40" i="1"/>
  <c r="DI41" i="1" s="1"/>
  <c r="AC40" i="1"/>
  <c r="AC41" i="1" s="1"/>
  <c r="BY40" i="1"/>
  <c r="BY41" i="1" s="1"/>
  <c r="CE46" i="1"/>
  <c r="CE45" i="1"/>
  <c r="CE44" i="1"/>
  <c r="CE43" i="1"/>
  <c r="CQ40" i="1"/>
  <c r="CQ41" i="1" s="1"/>
  <c r="BS40" i="1"/>
  <c r="BS41" i="1" s="1"/>
  <c r="CQ35" i="10"/>
  <c r="CQ38" i="10" s="1"/>
  <c r="CQ39" i="10" s="1"/>
  <c r="CQ40" i="10" s="1"/>
  <c r="CQ45" i="10" s="1"/>
  <c r="Q18" i="11"/>
  <c r="D12" i="3"/>
  <c r="R18" i="11"/>
  <c r="BY46" i="10"/>
  <c r="BY48" i="10" s="1"/>
  <c r="BY49" i="10" s="1"/>
  <c r="BY52" i="10" s="1"/>
  <c r="BY56" i="10" s="1"/>
  <c r="BB115" i="31" l="1"/>
  <c r="BC121" i="31"/>
  <c r="BB121" i="31" s="1"/>
  <c r="BC139" i="31"/>
  <c r="BB129" i="31"/>
  <c r="BC134" i="31"/>
  <c r="BB134" i="31" s="1"/>
  <c r="AO169" i="31"/>
  <c r="AO54" i="31" s="1"/>
  <c r="AO58" i="31" s="1"/>
  <c r="AO59" i="31" s="1"/>
  <c r="AW139" i="31"/>
  <c r="AU60" i="31"/>
  <c r="AU64" i="31" s="1"/>
  <c r="AU56" i="31"/>
  <c r="AW115" i="31"/>
  <c r="BA56" i="31"/>
  <c r="BA60" i="31"/>
  <c r="BA64" i="31" s="1"/>
  <c r="BN100" i="31"/>
  <c r="BN71" i="31"/>
  <c r="BM46" i="31"/>
  <c r="BN88" i="31"/>
  <c r="BN80" i="31"/>
  <c r="BN94" i="31"/>
  <c r="BN105" i="31"/>
  <c r="BN108" i="31"/>
  <c r="BN84" i="31"/>
  <c r="BN110" i="31"/>
  <c r="BN85" i="31"/>
  <c r="BN102" i="31"/>
  <c r="BO124" i="31"/>
  <c r="BN124" i="31" s="1"/>
  <c r="BN111" i="31"/>
  <c r="BN78" i="31"/>
  <c r="BN93" i="31"/>
  <c r="BN72" i="31"/>
  <c r="BN87" i="31"/>
  <c r="BN83" i="31"/>
  <c r="BM47" i="31"/>
  <c r="BM49" i="31" s="1"/>
  <c r="BM50" i="31" s="1"/>
  <c r="BN73" i="31"/>
  <c r="BM44" i="31"/>
  <c r="BN96" i="31"/>
  <c r="BN109" i="31"/>
  <c r="BN106" i="31"/>
  <c r="BN104" i="31"/>
  <c r="BN89" i="31"/>
  <c r="BN99" i="31"/>
  <c r="BN75" i="31"/>
  <c r="BM43" i="31"/>
  <c r="BN92" i="31"/>
  <c r="BN82" i="31"/>
  <c r="BN91" i="31"/>
  <c r="BN95" i="31"/>
  <c r="BN79" i="31"/>
  <c r="BN101" i="31"/>
  <c r="BN97" i="31"/>
  <c r="BN74" i="31"/>
  <c r="BN103" i="31"/>
  <c r="BN77" i="31"/>
  <c r="BM45" i="31"/>
  <c r="BN70" i="31"/>
  <c r="BN107" i="31"/>
  <c r="BN76" i="31"/>
  <c r="BO129" i="31"/>
  <c r="BI147" i="31"/>
  <c r="BH147" i="31" s="1"/>
  <c r="BH139" i="31"/>
  <c r="BI144" i="31"/>
  <c r="BH144" i="31" s="1"/>
  <c r="BI121" i="31"/>
  <c r="BH121" i="31" s="1"/>
  <c r="BH115" i="31"/>
  <c r="DC47" i="1"/>
  <c r="DC49" i="1" s="1"/>
  <c r="DC50" i="1" s="1"/>
  <c r="DD129" i="1"/>
  <c r="DE134" i="1"/>
  <c r="DD134" i="1" s="1"/>
  <c r="CY116" i="1"/>
  <c r="CY122" i="1" s="1"/>
  <c r="CX122" i="1" s="1"/>
  <c r="CW60" i="1"/>
  <c r="O23" i="3"/>
  <c r="O25" i="21"/>
  <c r="O25" i="3"/>
  <c r="O27" i="21"/>
  <c r="O21" i="21"/>
  <c r="D21" i="21" s="1"/>
  <c r="O19" i="3"/>
  <c r="O24" i="21"/>
  <c r="O22" i="3"/>
  <c r="O23" i="21"/>
  <c r="D23" i="21" s="1"/>
  <c r="O21" i="3"/>
  <c r="O22" i="21"/>
  <c r="D22" i="21" s="1"/>
  <c r="O20" i="3"/>
  <c r="O24" i="3"/>
  <c r="O26" i="21"/>
  <c r="CW56" i="1"/>
  <c r="CW64" i="1"/>
  <c r="O22" i="17"/>
  <c r="D22" i="17" s="1"/>
  <c r="P20" i="3"/>
  <c r="D19" i="17"/>
  <c r="F19" i="17"/>
  <c r="O27" i="17"/>
  <c r="P25" i="3"/>
  <c r="O21" i="17"/>
  <c r="D21" i="17" s="1"/>
  <c r="P19" i="3"/>
  <c r="O24" i="17"/>
  <c r="P22" i="3"/>
  <c r="O26" i="17"/>
  <c r="P24" i="3"/>
  <c r="O23" i="17"/>
  <c r="D23" i="17" s="1"/>
  <c r="P21" i="3"/>
  <c r="CE47" i="1"/>
  <c r="CE49" i="1" s="1"/>
  <c r="CE50" i="1" s="1"/>
  <c r="DJ108" i="1"/>
  <c r="DJ100" i="1"/>
  <c r="DJ91" i="1"/>
  <c r="DJ80" i="1"/>
  <c r="DJ72" i="1"/>
  <c r="DK124" i="1"/>
  <c r="DJ124" i="1" s="1"/>
  <c r="DJ107" i="1"/>
  <c r="DJ99" i="1"/>
  <c r="DJ89" i="1"/>
  <c r="DJ79" i="1"/>
  <c r="DJ71" i="1"/>
  <c r="DJ106" i="1"/>
  <c r="DJ97" i="1"/>
  <c r="DJ88" i="1"/>
  <c r="DJ78" i="1"/>
  <c r="DJ70" i="1"/>
  <c r="DJ104" i="1"/>
  <c r="DJ95" i="1"/>
  <c r="DJ85" i="1"/>
  <c r="DJ76" i="1"/>
  <c r="DJ111" i="1"/>
  <c r="DJ103" i="1"/>
  <c r="DJ94" i="1"/>
  <c r="DJ84" i="1"/>
  <c r="DJ75" i="1"/>
  <c r="DJ110" i="1"/>
  <c r="DJ102" i="1"/>
  <c r="DJ93" i="1"/>
  <c r="DJ83" i="1"/>
  <c r="DJ74" i="1"/>
  <c r="DJ109" i="1"/>
  <c r="DJ101" i="1"/>
  <c r="DJ92" i="1"/>
  <c r="DJ82" i="1"/>
  <c r="DJ73" i="1"/>
  <c r="DJ105" i="1"/>
  <c r="DJ96" i="1"/>
  <c r="DJ87" i="1"/>
  <c r="DJ77" i="1"/>
  <c r="DK129" i="1"/>
  <c r="BZ110" i="1"/>
  <c r="BZ102" i="1"/>
  <c r="BZ93" i="1"/>
  <c r="BZ83" i="1"/>
  <c r="BZ74" i="1"/>
  <c r="BZ109" i="1"/>
  <c r="BZ101" i="1"/>
  <c r="BZ92" i="1"/>
  <c r="BZ82" i="1"/>
  <c r="BZ73" i="1"/>
  <c r="BZ108" i="1"/>
  <c r="BZ100" i="1"/>
  <c r="BZ91" i="1"/>
  <c r="BZ80" i="1"/>
  <c r="BZ72" i="1"/>
  <c r="BZ106" i="1"/>
  <c r="BZ97" i="1"/>
  <c r="BZ88" i="1"/>
  <c r="BZ78" i="1"/>
  <c r="BZ70" i="1"/>
  <c r="BZ105" i="1"/>
  <c r="BZ96" i="1"/>
  <c r="BZ87" i="1"/>
  <c r="BZ77" i="1"/>
  <c r="BZ104" i="1"/>
  <c r="BZ95" i="1"/>
  <c r="BZ85" i="1"/>
  <c r="BZ76" i="1"/>
  <c r="BZ111" i="1"/>
  <c r="BZ103" i="1"/>
  <c r="BZ94" i="1"/>
  <c r="BZ84" i="1"/>
  <c r="BZ75" i="1"/>
  <c r="BZ89" i="1"/>
  <c r="BZ79" i="1"/>
  <c r="BZ71" i="1"/>
  <c r="BZ99" i="1"/>
  <c r="BZ107" i="1"/>
  <c r="CA124" i="1"/>
  <c r="BZ124" i="1" s="1"/>
  <c r="CA129" i="1"/>
  <c r="CF129" i="1"/>
  <c r="CG134" i="1"/>
  <c r="CF134" i="1" s="1"/>
  <c r="BT104" i="1"/>
  <c r="BT95" i="1"/>
  <c r="BT85" i="1"/>
  <c r="BT76" i="1"/>
  <c r="BT111" i="1"/>
  <c r="BT103" i="1"/>
  <c r="BT94" i="1"/>
  <c r="BT84" i="1"/>
  <c r="BT75" i="1"/>
  <c r="BT110" i="1"/>
  <c r="BT102" i="1"/>
  <c r="BT93" i="1"/>
  <c r="BT83" i="1"/>
  <c r="BT74" i="1"/>
  <c r="BT108" i="1"/>
  <c r="BT100" i="1"/>
  <c r="BT91" i="1"/>
  <c r="BT80" i="1"/>
  <c r="BT72" i="1"/>
  <c r="BT107" i="1"/>
  <c r="BT99" i="1"/>
  <c r="BT89" i="1"/>
  <c r="BT79" i="1"/>
  <c r="BT71" i="1"/>
  <c r="BT106" i="1"/>
  <c r="BT97" i="1"/>
  <c r="BT88" i="1"/>
  <c r="BT78" i="1"/>
  <c r="BT70" i="1"/>
  <c r="BT105" i="1"/>
  <c r="BT96" i="1"/>
  <c r="BT87" i="1"/>
  <c r="BT77" i="1"/>
  <c r="BT92" i="1"/>
  <c r="BT82" i="1"/>
  <c r="BT73" i="1"/>
  <c r="BT109" i="1"/>
  <c r="BT101" i="1"/>
  <c r="BU124" i="1"/>
  <c r="BT124" i="1" s="1"/>
  <c r="BU129" i="1"/>
  <c r="CR105" i="1"/>
  <c r="CR96" i="1"/>
  <c r="CR87" i="1"/>
  <c r="CR77" i="1"/>
  <c r="CR104" i="1"/>
  <c r="CR95" i="1"/>
  <c r="CR85" i="1"/>
  <c r="CR76" i="1"/>
  <c r="CR111" i="1"/>
  <c r="CR103" i="1"/>
  <c r="CR94" i="1"/>
  <c r="CR84" i="1"/>
  <c r="CR75" i="1"/>
  <c r="CR109" i="1"/>
  <c r="CR101" i="1"/>
  <c r="CR92" i="1"/>
  <c r="CR82" i="1"/>
  <c r="CR73" i="1"/>
  <c r="CR108" i="1"/>
  <c r="CR100" i="1"/>
  <c r="CR91" i="1"/>
  <c r="CR80" i="1"/>
  <c r="CR72" i="1"/>
  <c r="CR107" i="1"/>
  <c r="CR99" i="1"/>
  <c r="CR89" i="1"/>
  <c r="CR79" i="1"/>
  <c r="CR71" i="1"/>
  <c r="CR106" i="1"/>
  <c r="CR97" i="1"/>
  <c r="CR88" i="1"/>
  <c r="CR78" i="1"/>
  <c r="CR70" i="1"/>
  <c r="CR110" i="1"/>
  <c r="CR102" i="1"/>
  <c r="CR93" i="1"/>
  <c r="CR83" i="1"/>
  <c r="CR74" i="1"/>
  <c r="CS129" i="1"/>
  <c r="CS124" i="1"/>
  <c r="CR124" i="1" s="1"/>
  <c r="AD108" i="1"/>
  <c r="AD100" i="1"/>
  <c r="AD91" i="1"/>
  <c r="AD104" i="1"/>
  <c r="AD95" i="1"/>
  <c r="AD85" i="1"/>
  <c r="AD76" i="1"/>
  <c r="AE124" i="1"/>
  <c r="AD124" i="1" s="1"/>
  <c r="AD105" i="1"/>
  <c r="AD93" i="1"/>
  <c r="AD80" i="1"/>
  <c r="AD71" i="1"/>
  <c r="AD79" i="1"/>
  <c r="AD103" i="1"/>
  <c r="AD92" i="1"/>
  <c r="AD70" i="1"/>
  <c r="AD102" i="1"/>
  <c r="AD89" i="1"/>
  <c r="AD78" i="1"/>
  <c r="AD111" i="1"/>
  <c r="AD88" i="1"/>
  <c r="AD101" i="1"/>
  <c r="AD77" i="1"/>
  <c r="AD110" i="1"/>
  <c r="AD99" i="1"/>
  <c r="AD87" i="1"/>
  <c r="AD75" i="1"/>
  <c r="AD82" i="1"/>
  <c r="AD109" i="1"/>
  <c r="AD97" i="1"/>
  <c r="AD84" i="1"/>
  <c r="AD74" i="1"/>
  <c r="AD106" i="1"/>
  <c r="AD72" i="1"/>
  <c r="AD107" i="1"/>
  <c r="AD96" i="1"/>
  <c r="AD83" i="1"/>
  <c r="AD73" i="1"/>
  <c r="AD94" i="1"/>
  <c r="AE129" i="1"/>
  <c r="CQ43" i="1"/>
  <c r="CQ44" i="1"/>
  <c r="CQ46" i="1"/>
  <c r="CQ45" i="1"/>
  <c r="AC43" i="1"/>
  <c r="AC46" i="1"/>
  <c r="AC44" i="1"/>
  <c r="AC45" i="1"/>
  <c r="BY45" i="1"/>
  <c r="BY44" i="1"/>
  <c r="BY46" i="1"/>
  <c r="BY43" i="1"/>
  <c r="CW54" i="1"/>
  <c r="DI44" i="1"/>
  <c r="DI45" i="1"/>
  <c r="DI46" i="1"/>
  <c r="DI43" i="1"/>
  <c r="BS44" i="1"/>
  <c r="BS45" i="1"/>
  <c r="BS46" i="1"/>
  <c r="BS43" i="1"/>
  <c r="CQ44" i="10"/>
  <c r="CQ46" i="10" s="1"/>
  <c r="CQ48" i="10" s="1"/>
  <c r="CQ49" i="10" s="1"/>
  <c r="CQ52" i="10" s="1"/>
  <c r="CQ56" i="10" s="1"/>
  <c r="CQ42" i="10"/>
  <c r="CQ43" i="10"/>
  <c r="D15" i="3"/>
  <c r="D14" i="3"/>
  <c r="AW144" i="31" l="1"/>
  <c r="AV144" i="31" s="1"/>
  <c r="AW147" i="31"/>
  <c r="AV147" i="31" s="1"/>
  <c r="AV139" i="31"/>
  <c r="BG169" i="31"/>
  <c r="BG54" i="31" s="1"/>
  <c r="BG58" i="31" s="1"/>
  <c r="BG59" i="31" s="1"/>
  <c r="BB139" i="31"/>
  <c r="BA169" i="31" s="1"/>
  <c r="BA54" i="31" s="1"/>
  <c r="BA58" i="31" s="1"/>
  <c r="BA59" i="31" s="1"/>
  <c r="BC147" i="31"/>
  <c r="BB147" i="31" s="1"/>
  <c r="BC144" i="31"/>
  <c r="BB144" i="31" s="1"/>
  <c r="AW121" i="31"/>
  <c r="AV121" i="31" s="1"/>
  <c r="AV115" i="31"/>
  <c r="AU169" i="31" s="1"/>
  <c r="AU54" i="31" s="1"/>
  <c r="AU58" i="31" s="1"/>
  <c r="AU59" i="31" s="1"/>
  <c r="BO134" i="31"/>
  <c r="BN134" i="31" s="1"/>
  <c r="BN129" i="31"/>
  <c r="BO115" i="31"/>
  <c r="BO139" i="31"/>
  <c r="BM60" i="31"/>
  <c r="BM64" i="31" s="1"/>
  <c r="BM56" i="31"/>
  <c r="DC60" i="1"/>
  <c r="DC64" i="1" s="1"/>
  <c r="DC56" i="1"/>
  <c r="DE139" i="1"/>
  <c r="DE115" i="1"/>
  <c r="CX116" i="1"/>
  <c r="CE56" i="1"/>
  <c r="CE60" i="1"/>
  <c r="CE64" i="1" s="1"/>
  <c r="O18" i="17"/>
  <c r="DI47" i="1"/>
  <c r="DI49" i="1" s="1"/>
  <c r="DI50" i="1" s="1"/>
  <c r="AC47" i="1"/>
  <c r="AC49" i="1" s="1"/>
  <c r="AC50" i="1" s="1"/>
  <c r="CA134" i="1"/>
  <c r="BZ134" i="1" s="1"/>
  <c r="BZ129" i="1"/>
  <c r="BY47" i="1"/>
  <c r="BY49" i="1" s="1"/>
  <c r="BY50" i="1" s="1"/>
  <c r="BU134" i="1"/>
  <c r="BT134" i="1" s="1"/>
  <c r="BT129" i="1"/>
  <c r="AE134" i="1"/>
  <c r="AD134" i="1" s="1"/>
  <c r="AD129" i="1"/>
  <c r="DJ129" i="1"/>
  <c r="DK134" i="1"/>
  <c r="DJ134" i="1" s="1"/>
  <c r="CR129" i="1"/>
  <c r="CS134" i="1"/>
  <c r="CR134" i="1" s="1"/>
  <c r="CQ47" i="1"/>
  <c r="CQ49" i="1" s="1"/>
  <c r="CQ50" i="1" s="1"/>
  <c r="CG139" i="1"/>
  <c r="CG115" i="1"/>
  <c r="CW58" i="1"/>
  <c r="CW59" i="1" s="1"/>
  <c r="CW171" i="1"/>
  <c r="CW170" i="1" s="1"/>
  <c r="BS47" i="1"/>
  <c r="BS49" i="1" s="1"/>
  <c r="BS50" i="1" s="1"/>
  <c r="BS60" i="1" s="1"/>
  <c r="D16" i="3"/>
  <c r="BN139" i="31" l="1"/>
  <c r="BO147" i="31"/>
  <c r="BN147" i="31" s="1"/>
  <c r="BO144" i="31"/>
  <c r="BN144" i="31" s="1"/>
  <c r="BN115" i="31"/>
  <c r="BO121" i="31"/>
  <c r="BN121" i="31" s="1"/>
  <c r="DD115" i="1"/>
  <c r="DE121" i="1"/>
  <c r="DD121" i="1" s="1"/>
  <c r="DE144" i="1"/>
  <c r="DD144" i="1" s="1"/>
  <c r="DE147" i="1"/>
  <c r="DD147" i="1" s="1"/>
  <c r="DD139" i="1"/>
  <c r="AC60" i="1"/>
  <c r="AC64" i="1" s="1"/>
  <c r="DK115" i="1"/>
  <c r="DK121" i="1" s="1"/>
  <c r="DJ121" i="1" s="1"/>
  <c r="DI60" i="1"/>
  <c r="DI64" i="1" s="1"/>
  <c r="BY60" i="1"/>
  <c r="BY64" i="1" s="1"/>
  <c r="CQ56" i="1"/>
  <c r="CQ60" i="1"/>
  <c r="CQ64" i="1" s="1"/>
  <c r="DI56" i="1"/>
  <c r="AC56" i="1"/>
  <c r="DK139" i="1"/>
  <c r="DJ139" i="1" s="1"/>
  <c r="AE115" i="1"/>
  <c r="AE139" i="1"/>
  <c r="CA115" i="1"/>
  <c r="CA139" i="1"/>
  <c r="CG121" i="1"/>
  <c r="CF121" i="1" s="1"/>
  <c r="CF115" i="1"/>
  <c r="CS139" i="1"/>
  <c r="CS115" i="1"/>
  <c r="BU115" i="1"/>
  <c r="BU139" i="1"/>
  <c r="CG147" i="1"/>
  <c r="CF147" i="1" s="1"/>
  <c r="CF139" i="1"/>
  <c r="CG144" i="1"/>
  <c r="CF144" i="1" s="1"/>
  <c r="BY56" i="1"/>
  <c r="BS64" i="1"/>
  <c r="BS56" i="1"/>
  <c r="BM169" i="31" l="1"/>
  <c r="BM54" i="31" s="1"/>
  <c r="BM58" i="31" s="1"/>
  <c r="BM59" i="31" s="1"/>
  <c r="DC169" i="1"/>
  <c r="DC54" i="1" s="1"/>
  <c r="DC58" i="1" s="1"/>
  <c r="DC59" i="1" s="1"/>
  <c r="DJ115" i="1"/>
  <c r="DK144" i="1"/>
  <c r="DJ144" i="1" s="1"/>
  <c r="DK147" i="1"/>
  <c r="DJ147" i="1" s="1"/>
  <c r="AD139" i="1"/>
  <c r="AE144" i="1"/>
  <c r="AD144" i="1" s="1"/>
  <c r="AE147" i="1"/>
  <c r="AD147" i="1" s="1"/>
  <c r="AE121" i="1"/>
  <c r="AD121" i="1" s="1"/>
  <c r="AD115" i="1"/>
  <c r="BU147" i="1"/>
  <c r="BT147" i="1" s="1"/>
  <c r="BU144" i="1"/>
  <c r="BT144" i="1" s="1"/>
  <c r="BT139" i="1"/>
  <c r="BU121" i="1"/>
  <c r="BT121" i="1" s="1"/>
  <c r="BT115" i="1"/>
  <c r="CA121" i="1"/>
  <c r="BZ121" i="1" s="1"/>
  <c r="BZ115" i="1"/>
  <c r="CS121" i="1"/>
  <c r="CR121" i="1" s="1"/>
  <c r="CR115" i="1"/>
  <c r="CS147" i="1"/>
  <c r="CR147" i="1" s="1"/>
  <c r="CS144" i="1"/>
  <c r="CR144" i="1" s="1"/>
  <c r="CR139" i="1"/>
  <c r="CE169" i="1"/>
  <c r="CE54" i="1" s="1"/>
  <c r="CE58" i="1" s="1"/>
  <c r="CE59" i="1" s="1"/>
  <c r="BZ139" i="1"/>
  <c r="CA147" i="1"/>
  <c r="BZ147" i="1" s="1"/>
  <c r="CA144" i="1"/>
  <c r="BZ144" i="1" s="1"/>
  <c r="E170" i="1"/>
  <c r="AU15" i="1"/>
  <c r="DI169" i="1" l="1"/>
  <c r="DI54" i="1" s="1"/>
  <c r="DI58" i="1" s="1"/>
  <c r="DI59" i="1" s="1"/>
  <c r="AC169" i="1"/>
  <c r="AC54" i="1" s="1"/>
  <c r="AC58" i="1" s="1"/>
  <c r="AC59" i="1" s="1"/>
  <c r="BY169" i="1"/>
  <c r="BY54" i="1" s="1"/>
  <c r="BY58" i="1" s="1"/>
  <c r="BY59" i="1" s="1"/>
  <c r="CQ169" i="1"/>
  <c r="CQ54" i="1" s="1"/>
  <c r="CQ58" i="1" s="1"/>
  <c r="CQ59" i="1" s="1"/>
  <c r="BS169" i="1"/>
  <c r="BS54" i="1" s="1"/>
  <c r="BS58" i="1" s="1"/>
  <c r="BS59" i="1" s="1"/>
  <c r="G124" i="1"/>
  <c r="F124" i="1" s="1"/>
  <c r="G129" i="1"/>
  <c r="F129" i="1" s="1"/>
  <c r="CK15" i="1"/>
  <c r="G134" i="1" l="1"/>
  <c r="F134" i="1" s="1"/>
  <c r="CP20" i="1"/>
  <c r="CN20" i="1"/>
  <c r="CP24" i="1"/>
  <c r="CN24" i="1"/>
  <c r="CN22" i="1"/>
  <c r="CP22" i="1"/>
  <c r="CP21" i="1"/>
  <c r="CN21" i="1"/>
  <c r="CP19" i="1"/>
  <c r="CN19" i="1"/>
  <c r="CL23" i="1"/>
  <c r="CN23" i="1"/>
  <c r="CN18" i="1"/>
  <c r="CL18" i="1"/>
  <c r="G139" i="1" l="1"/>
  <c r="G147" i="1" s="1"/>
  <c r="F147" i="1" s="1"/>
  <c r="G121" i="1"/>
  <c r="F121" i="1" s="1"/>
  <c r="CL19" i="1"/>
  <c r="CL22" i="1"/>
  <c r="CL24" i="1"/>
  <c r="CL20" i="1"/>
  <c r="CL21" i="1"/>
  <c r="BS16" i="1"/>
  <c r="CP23" i="1"/>
  <c r="CK9" i="1"/>
  <c r="O14" i="24" s="1"/>
  <c r="CP18" i="1"/>
  <c r="CK8" i="1"/>
  <c r="O12" i="24" s="1"/>
  <c r="O12" i="18" l="1"/>
  <c r="Q13" i="23"/>
  <c r="Q12" i="17"/>
  <c r="O14" i="18"/>
  <c r="Q15" i="23"/>
  <c r="Q14" i="17"/>
  <c r="O21" i="23"/>
  <c r="O17" i="3"/>
  <c r="G144" i="1"/>
  <c r="F144" i="1" s="1"/>
  <c r="F139" i="1"/>
  <c r="R17" i="3"/>
  <c r="O20" i="17"/>
  <c r="U12" i="3"/>
  <c r="R12" i="3"/>
  <c r="U11" i="3"/>
  <c r="R11" i="3"/>
  <c r="CK10" i="1"/>
  <c r="O15" i="24" s="1"/>
  <c r="CK34" i="1"/>
  <c r="O15" i="18" l="1"/>
  <c r="Q15" i="17"/>
  <c r="Q16" i="23"/>
  <c r="U15" i="11"/>
  <c r="T15" i="11"/>
  <c r="S15" i="11"/>
  <c r="R13" i="3"/>
  <c r="CK12" i="1"/>
  <c r="O17" i="24" s="1"/>
  <c r="U13" i="3"/>
  <c r="CK11" i="1"/>
  <c r="O16" i="24" s="1"/>
  <c r="E20" i="24" s="1"/>
  <c r="F20" i="24" l="1"/>
  <c r="D20" i="24"/>
  <c r="O17" i="18"/>
  <c r="Q18" i="23"/>
  <c r="Q17" i="17"/>
  <c r="O16" i="18"/>
  <c r="E19" i="18" s="1"/>
  <c r="F19" i="18" s="1"/>
  <c r="Q16" i="17"/>
  <c r="Q17" i="23"/>
  <c r="U14" i="3"/>
  <c r="R14" i="3"/>
  <c r="U15" i="3"/>
  <c r="R15" i="3"/>
  <c r="CK13" i="1"/>
  <c r="O18" i="24" s="1"/>
  <c r="D19" i="18" l="1"/>
  <c r="Q19" i="23"/>
  <c r="Q18" i="17"/>
  <c r="R16" i="3"/>
  <c r="O18" i="18"/>
  <c r="CK36" i="1"/>
  <c r="U16" i="3"/>
  <c r="CK39" i="1" l="1"/>
  <c r="CK170" i="1" s="1"/>
  <c r="CK57" i="1"/>
  <c r="AN23" i="1"/>
  <c r="CK40" i="1" l="1"/>
  <c r="CK41" i="1" s="1"/>
  <c r="V21" i="1"/>
  <c r="T20" i="1"/>
  <c r="K15" i="1"/>
  <c r="L18" i="1"/>
  <c r="N22" i="1"/>
  <c r="N19" i="1"/>
  <c r="L23" i="1"/>
  <c r="N23" i="1"/>
  <c r="L24" i="1"/>
  <c r="L21" i="1"/>
  <c r="N21" i="1"/>
  <c r="CL106" i="1" l="1"/>
  <c r="CL97" i="1"/>
  <c r="CL88" i="1"/>
  <c r="CL78" i="1"/>
  <c r="CL70" i="1"/>
  <c r="CL105" i="1"/>
  <c r="CL96" i="1"/>
  <c r="CL87" i="1"/>
  <c r="CL77" i="1"/>
  <c r="CL104" i="1"/>
  <c r="CL95" i="1"/>
  <c r="CL85" i="1"/>
  <c r="CL76" i="1"/>
  <c r="CL110" i="1"/>
  <c r="CL102" i="1"/>
  <c r="CL93" i="1"/>
  <c r="CL83" i="1"/>
  <c r="CL74" i="1"/>
  <c r="CL109" i="1"/>
  <c r="CL101" i="1"/>
  <c r="CL92" i="1"/>
  <c r="CL82" i="1"/>
  <c r="CL73" i="1"/>
  <c r="CL108" i="1"/>
  <c r="CL100" i="1"/>
  <c r="CL91" i="1"/>
  <c r="CL80" i="1"/>
  <c r="CL72" i="1"/>
  <c r="CL107" i="1"/>
  <c r="CL99" i="1"/>
  <c r="CL89" i="1"/>
  <c r="CL79" i="1"/>
  <c r="CL71" i="1"/>
  <c r="CL103" i="1"/>
  <c r="CL94" i="1"/>
  <c r="CL84" i="1"/>
  <c r="CL75" i="1"/>
  <c r="CL111" i="1"/>
  <c r="CM124" i="1"/>
  <c r="CL124" i="1" s="1"/>
  <c r="CM129" i="1"/>
  <c r="CK46" i="1"/>
  <c r="CK43" i="1"/>
  <c r="CK44" i="1"/>
  <c r="CK45" i="1"/>
  <c r="R23" i="1"/>
  <c r="T23" i="1"/>
  <c r="T18" i="1"/>
  <c r="R18" i="1"/>
  <c r="T22" i="1"/>
  <c r="R22" i="1"/>
  <c r="V22" i="1"/>
  <c r="T24" i="1"/>
  <c r="R24" i="1"/>
  <c r="V24" i="1"/>
  <c r="L22" i="1"/>
  <c r="Q15" i="1"/>
  <c r="V20" i="1"/>
  <c r="T21" i="1"/>
  <c r="N18" i="1"/>
  <c r="N24" i="1"/>
  <c r="N20" i="1"/>
  <c r="R20" i="1"/>
  <c r="R21" i="1"/>
  <c r="L20" i="1"/>
  <c r="L19" i="1"/>
  <c r="CK47" i="1" l="1"/>
  <c r="CK49" i="1" s="1"/>
  <c r="CK50" i="1" s="1"/>
  <c r="CL129" i="1"/>
  <c r="CM134" i="1"/>
  <c r="CL134" i="1" s="1"/>
  <c r="V18" i="1"/>
  <c r="X19" i="1"/>
  <c r="AB19" i="1"/>
  <c r="AB22" i="1"/>
  <c r="X22" i="1"/>
  <c r="X18" i="1"/>
  <c r="R19" i="1"/>
  <c r="T19" i="1"/>
  <c r="Q8" i="1" s="1"/>
  <c r="V19" i="1"/>
  <c r="K8" i="1"/>
  <c r="X23" i="1"/>
  <c r="AB20" i="1"/>
  <c r="X20" i="1"/>
  <c r="V23" i="1"/>
  <c r="Q16" i="1"/>
  <c r="T16" i="1"/>
  <c r="U16" i="1"/>
  <c r="P13" i="27" l="1"/>
  <c r="P13" i="25"/>
  <c r="CM115" i="1"/>
  <c r="CL115" i="1" s="1"/>
  <c r="CK60" i="1"/>
  <c r="CK64" i="1" s="1"/>
  <c r="CK56" i="1"/>
  <c r="CM139" i="1"/>
  <c r="CM144" i="1" s="1"/>
  <c r="CL144" i="1" s="1"/>
  <c r="F17" i="3"/>
  <c r="E11" i="3"/>
  <c r="F11" i="3"/>
  <c r="Q9" i="1"/>
  <c r="W5" i="1" s="1"/>
  <c r="O10" i="22" s="1"/>
  <c r="D19" i="22" s="1"/>
  <c r="E19" i="22" s="1"/>
  <c r="F19" i="22" s="1"/>
  <c r="Q10" i="1"/>
  <c r="X21" i="1"/>
  <c r="AB21" i="1"/>
  <c r="Z16" i="1"/>
  <c r="W16" i="1"/>
  <c r="O22" i="22" s="1"/>
  <c r="AA16" i="1"/>
  <c r="AB23" i="1"/>
  <c r="X24" i="1"/>
  <c r="AB24" i="1"/>
  <c r="K12" i="1"/>
  <c r="P17" i="27" l="1"/>
  <c r="P17" i="25"/>
  <c r="CM121" i="1"/>
  <c r="CL121" i="1" s="1"/>
  <c r="CM147" i="1"/>
  <c r="CL147" i="1" s="1"/>
  <c r="CL139" i="1"/>
  <c r="P21" i="13"/>
  <c r="O21" i="13"/>
  <c r="P10" i="13"/>
  <c r="E31" i="13" s="1"/>
  <c r="D31" i="13" s="1"/>
  <c r="O10" i="13"/>
  <c r="D18" i="13" s="1"/>
  <c r="E18" i="13" s="1"/>
  <c r="F18" i="13" s="1"/>
  <c r="F12" i="3"/>
  <c r="G17" i="3"/>
  <c r="H15" i="11"/>
  <c r="F13" i="3"/>
  <c r="E15" i="3"/>
  <c r="H17" i="3"/>
  <c r="Q12" i="1"/>
  <c r="Q11" i="1"/>
  <c r="Q34" i="1"/>
  <c r="K13" i="1"/>
  <c r="W10" i="1"/>
  <c r="O16" i="13" l="1"/>
  <c r="O17" i="22"/>
  <c r="CK169" i="1"/>
  <c r="CK54" i="1" s="1"/>
  <c r="CK58" i="1" s="1"/>
  <c r="CK59" i="1" s="1"/>
  <c r="G9" i="3"/>
  <c r="F31" i="13"/>
  <c r="G13" i="3"/>
  <c r="P16" i="13"/>
  <c r="E16" i="3"/>
  <c r="F14" i="3"/>
  <c r="F15" i="3"/>
  <c r="G12" i="3"/>
  <c r="I15" i="11"/>
  <c r="Z24" i="1"/>
  <c r="I9" i="3"/>
  <c r="Q13" i="1"/>
  <c r="F16" i="3" s="1"/>
  <c r="Z21" i="1"/>
  <c r="Z19" i="1"/>
  <c r="Z22" i="1"/>
  <c r="W6" i="1"/>
  <c r="W14" i="1" s="1"/>
  <c r="W15" i="1" s="1"/>
  <c r="Z18" i="1"/>
  <c r="Z23" i="1"/>
  <c r="Z20" i="1"/>
  <c r="J17" i="3"/>
  <c r="AN19" i="1"/>
  <c r="AN22" i="1"/>
  <c r="W11" i="1"/>
  <c r="O18" i="22" s="1"/>
  <c r="E20" i="22" s="1"/>
  <c r="W34" i="1"/>
  <c r="K36" i="1"/>
  <c r="I17" i="3"/>
  <c r="AN20" i="1"/>
  <c r="H13" i="3"/>
  <c r="F20" i="22" l="1"/>
  <c r="D20" i="22"/>
  <c r="K39" i="1"/>
  <c r="K57" i="1"/>
  <c r="P17" i="13"/>
  <c r="O17" i="13"/>
  <c r="E19" i="13" s="1"/>
  <c r="H12" i="3"/>
  <c r="G14" i="3"/>
  <c r="J15" i="11"/>
  <c r="Q36" i="1"/>
  <c r="W8" i="1"/>
  <c r="AN18" i="1"/>
  <c r="AN21" i="1"/>
  <c r="AN24" i="1"/>
  <c r="O14" i="13" l="1"/>
  <c r="O15" i="22"/>
  <c r="Q39" i="1"/>
  <c r="Q170" i="1" s="1"/>
  <c r="Q57" i="1"/>
  <c r="K40" i="1"/>
  <c r="K41" i="1" s="1"/>
  <c r="K170" i="1"/>
  <c r="F19" i="13"/>
  <c r="D19" i="13"/>
  <c r="G11" i="3"/>
  <c r="P14" i="13"/>
  <c r="H11" i="3"/>
  <c r="H14" i="3"/>
  <c r="W12" i="1"/>
  <c r="AI9" i="1"/>
  <c r="AI10" i="1"/>
  <c r="I12" i="3" l="1"/>
  <c r="I13" i="3"/>
  <c r="K15" i="11"/>
  <c r="O18" i="13"/>
  <c r="O19" i="22"/>
  <c r="L111" i="1"/>
  <c r="L103" i="1"/>
  <c r="L94" i="1"/>
  <c r="L84" i="1"/>
  <c r="L75" i="1"/>
  <c r="L93" i="1"/>
  <c r="L109" i="1"/>
  <c r="L101" i="1"/>
  <c r="L92" i="1"/>
  <c r="L82" i="1"/>
  <c r="L73" i="1"/>
  <c r="M129" i="1"/>
  <c r="L108" i="1"/>
  <c r="L100" i="1"/>
  <c r="L91" i="1"/>
  <c r="L80" i="1"/>
  <c r="L72" i="1"/>
  <c r="L107" i="1"/>
  <c r="L89" i="1"/>
  <c r="L71" i="1"/>
  <c r="L106" i="1"/>
  <c r="L78" i="1"/>
  <c r="L85" i="1"/>
  <c r="L110" i="1"/>
  <c r="L99" i="1"/>
  <c r="L79" i="1"/>
  <c r="L97" i="1"/>
  <c r="L95" i="1"/>
  <c r="L76" i="1"/>
  <c r="L74" i="1"/>
  <c r="L88" i="1"/>
  <c r="L70" i="1"/>
  <c r="L83" i="1"/>
  <c r="L105" i="1"/>
  <c r="L96" i="1"/>
  <c r="L87" i="1"/>
  <c r="L77" i="1"/>
  <c r="L104" i="1"/>
  <c r="L102" i="1"/>
  <c r="M124" i="1"/>
  <c r="L124" i="1" s="1"/>
  <c r="K43" i="1"/>
  <c r="K44" i="1"/>
  <c r="K45" i="1"/>
  <c r="K46" i="1"/>
  <c r="Q40" i="1"/>
  <c r="Q41" i="1" s="1"/>
  <c r="H15" i="3"/>
  <c r="P18" i="13"/>
  <c r="G15" i="3"/>
  <c r="H16" i="3"/>
  <c r="W13" i="1"/>
  <c r="AI34" i="1"/>
  <c r="AI11" i="1"/>
  <c r="I14" i="3" l="1"/>
  <c r="K47" i="1"/>
  <c r="K49" i="1" s="1"/>
  <c r="K50" i="1" s="1"/>
  <c r="R105" i="1"/>
  <c r="R96" i="1"/>
  <c r="R87" i="1"/>
  <c r="R77" i="1"/>
  <c r="R104" i="1"/>
  <c r="R95" i="1"/>
  <c r="R111" i="1"/>
  <c r="R103" i="1"/>
  <c r="R94" i="1"/>
  <c r="R84" i="1"/>
  <c r="R75" i="1"/>
  <c r="R110" i="1"/>
  <c r="R93" i="1"/>
  <c r="R74" i="1"/>
  <c r="R102" i="1"/>
  <c r="R83" i="1"/>
  <c r="R109" i="1"/>
  <c r="R101" i="1"/>
  <c r="R92" i="1"/>
  <c r="R82" i="1"/>
  <c r="R73" i="1"/>
  <c r="R97" i="1"/>
  <c r="R70" i="1"/>
  <c r="R108" i="1"/>
  <c r="R100" i="1"/>
  <c r="R91" i="1"/>
  <c r="R80" i="1"/>
  <c r="R72" i="1"/>
  <c r="R78" i="1"/>
  <c r="R76" i="1"/>
  <c r="S124" i="1"/>
  <c r="R124" i="1" s="1"/>
  <c r="R107" i="1"/>
  <c r="R99" i="1"/>
  <c r="R89" i="1"/>
  <c r="R79" i="1"/>
  <c r="R71" i="1"/>
  <c r="R106" i="1"/>
  <c r="R88" i="1"/>
  <c r="R85" i="1"/>
  <c r="S129" i="1"/>
  <c r="Q45" i="1"/>
  <c r="Q44" i="1"/>
  <c r="Q46" i="1"/>
  <c r="Q43" i="1"/>
  <c r="L129" i="1"/>
  <c r="M134" i="1"/>
  <c r="L134" i="1" s="1"/>
  <c r="P19" i="13"/>
  <c r="O19" i="13"/>
  <c r="G16" i="3"/>
  <c r="W36" i="1"/>
  <c r="K60" i="1" l="1"/>
  <c r="K64" i="1" s="1"/>
  <c r="M139" i="1"/>
  <c r="L139" i="1" s="1"/>
  <c r="M115" i="1"/>
  <c r="M121" i="1" s="1"/>
  <c r="L121" i="1" s="1"/>
  <c r="K56" i="1"/>
  <c r="R129" i="1"/>
  <c r="S134" i="1"/>
  <c r="R134" i="1" s="1"/>
  <c r="Q47" i="1"/>
  <c r="Q49" i="1" s="1"/>
  <c r="Q50" i="1" s="1"/>
  <c r="Q60" i="1" s="1"/>
  <c r="W39" i="1"/>
  <c r="W170" i="1" s="1"/>
  <c r="W57" i="1"/>
  <c r="L115" i="1" l="1"/>
  <c r="M144" i="1"/>
  <c r="L144" i="1" s="1"/>
  <c r="M147" i="1"/>
  <c r="L147" i="1" s="1"/>
  <c r="S115" i="1"/>
  <c r="S139" i="1"/>
  <c r="W40" i="1"/>
  <c r="W41" i="1" s="1"/>
  <c r="Q64" i="1"/>
  <c r="Q56" i="1"/>
  <c r="AL20" i="1"/>
  <c r="AJ20" i="1"/>
  <c r="AL22" i="1"/>
  <c r="AJ22" i="1"/>
  <c r="AJ23" i="1"/>
  <c r="AL21" i="1"/>
  <c r="AJ21" i="1"/>
  <c r="AL24" i="1"/>
  <c r="AL18" i="1"/>
  <c r="AJ24" i="1"/>
  <c r="K169" i="1" l="1"/>
  <c r="K54" i="1" s="1"/>
  <c r="K58" i="1" s="1"/>
  <c r="K59" i="1" s="1"/>
  <c r="X109" i="1"/>
  <c r="X101" i="1"/>
  <c r="X92" i="1"/>
  <c r="X103" i="1"/>
  <c r="X93" i="1"/>
  <c r="X82" i="1"/>
  <c r="X73" i="1"/>
  <c r="X111" i="1"/>
  <c r="X91" i="1"/>
  <c r="X72" i="1"/>
  <c r="X102" i="1"/>
  <c r="X80" i="1"/>
  <c r="X110" i="1"/>
  <c r="X100" i="1"/>
  <c r="X89" i="1"/>
  <c r="X79" i="1"/>
  <c r="X71" i="1"/>
  <c r="X108" i="1"/>
  <c r="X88" i="1"/>
  <c r="X70" i="1"/>
  <c r="X99" i="1"/>
  <c r="X78" i="1"/>
  <c r="X107" i="1"/>
  <c r="X97" i="1"/>
  <c r="X87" i="1"/>
  <c r="X77" i="1"/>
  <c r="X94" i="1"/>
  <c r="Y124" i="1"/>
  <c r="X124" i="1" s="1"/>
  <c r="X106" i="1"/>
  <c r="X96" i="1"/>
  <c r="X85" i="1"/>
  <c r="X76" i="1"/>
  <c r="X83" i="1"/>
  <c r="X105" i="1"/>
  <c r="X95" i="1"/>
  <c r="X84" i="1"/>
  <c r="X75" i="1"/>
  <c r="X104" i="1"/>
  <c r="X74" i="1"/>
  <c r="Y129" i="1"/>
  <c r="R139" i="1"/>
  <c r="S144" i="1"/>
  <c r="R144" i="1" s="1"/>
  <c r="S147" i="1"/>
  <c r="R147" i="1" s="1"/>
  <c r="S121" i="1"/>
  <c r="R121" i="1" s="1"/>
  <c r="R115" i="1"/>
  <c r="W44" i="1"/>
  <c r="W43" i="1"/>
  <c r="W45" i="1"/>
  <c r="W46" i="1"/>
  <c r="AP23" i="1"/>
  <c r="AX23" i="1"/>
  <c r="AP21" i="1"/>
  <c r="AR18" i="1"/>
  <c r="AR20" i="1"/>
  <c r="AR24" i="1"/>
  <c r="AP19" i="1"/>
  <c r="AT19" i="1"/>
  <c r="AR19" i="1"/>
  <c r="AL23" i="1"/>
  <c r="AL19" i="1"/>
  <c r="AR21" i="1"/>
  <c r="AT21" i="1"/>
  <c r="AJ18" i="1"/>
  <c r="W47" i="1" l="1"/>
  <c r="W49" i="1" s="1"/>
  <c r="W50" i="1" s="1"/>
  <c r="Q169" i="1"/>
  <c r="Q54" i="1" s="1"/>
  <c r="Q58" i="1" s="1"/>
  <c r="Q59" i="1" s="1"/>
  <c r="Y134" i="1"/>
  <c r="X134" i="1" s="1"/>
  <c r="X129" i="1"/>
  <c r="AP18" i="1"/>
  <c r="AP24" i="1"/>
  <c r="AR23" i="1"/>
  <c r="AT24" i="1"/>
  <c r="AV23" i="1"/>
  <c r="AT20" i="1"/>
  <c r="AT18" i="1"/>
  <c r="AI8" i="1"/>
  <c r="I11" i="3" s="1"/>
  <c r="AZ23" i="1"/>
  <c r="AP20" i="1"/>
  <c r="AT22" i="1"/>
  <c r="AR22" i="1"/>
  <c r="AP22" i="1"/>
  <c r="Y115" i="1" l="1"/>
  <c r="X115" i="1" s="1"/>
  <c r="W60" i="1"/>
  <c r="W64" i="1" s="1"/>
  <c r="W56" i="1"/>
  <c r="Y139" i="1"/>
  <c r="Y147" i="1" s="1"/>
  <c r="X147" i="1" s="1"/>
  <c r="AI12" i="1"/>
  <c r="J11" i="3"/>
  <c r="K17" i="3"/>
  <c r="AO8" i="1"/>
  <c r="AT23" i="1"/>
  <c r="AO10" i="1" s="1"/>
  <c r="J13" i="3" s="1"/>
  <c r="AO9" i="1"/>
  <c r="J12" i="3" s="1"/>
  <c r="Y121" i="1" l="1"/>
  <c r="X121" i="1" s="1"/>
  <c r="I15" i="3"/>
  <c r="X139" i="1"/>
  <c r="Y144" i="1"/>
  <c r="X144" i="1" s="1"/>
  <c r="AI13" i="1"/>
  <c r="L17" i="3"/>
  <c r="L15" i="11"/>
  <c r="AO34" i="1"/>
  <c r="AO11" i="1"/>
  <c r="J14" i="3" s="1"/>
  <c r="AO12" i="1"/>
  <c r="J15" i="3" s="1"/>
  <c r="I16" i="3" l="1"/>
  <c r="W169" i="1"/>
  <c r="W54" i="1" s="1"/>
  <c r="W58" i="1" s="1"/>
  <c r="W59" i="1" s="1"/>
  <c r="AI36" i="1"/>
  <c r="AO13" i="1"/>
  <c r="J16" i="3" s="1"/>
  <c r="AX18" i="1"/>
  <c r="AV18" i="1"/>
  <c r="AX20" i="1"/>
  <c r="AV20" i="1"/>
  <c r="AZ20" i="1"/>
  <c r="AV19" i="1"/>
  <c r="AX19" i="1"/>
  <c r="AX24" i="1"/>
  <c r="AV24" i="1"/>
  <c r="AZ24" i="1"/>
  <c r="AV21" i="1"/>
  <c r="AX21" i="1"/>
  <c r="AZ21" i="1"/>
  <c r="AZ22" i="1"/>
  <c r="AV22" i="1"/>
  <c r="AX22" i="1"/>
  <c r="AI39" i="1" l="1"/>
  <c r="AI170" i="1" s="1"/>
  <c r="AI57" i="1"/>
  <c r="AO36" i="1"/>
  <c r="AU8" i="1"/>
  <c r="AU9" i="1"/>
  <c r="AZ18" i="1"/>
  <c r="K12" i="3" l="1"/>
  <c r="K11" i="3"/>
  <c r="AI40" i="1"/>
  <c r="AI41" i="1" s="1"/>
  <c r="AO39" i="1"/>
  <c r="AO170" i="1" s="1"/>
  <c r="AO57" i="1"/>
  <c r="AU34" i="1"/>
  <c r="AU10" i="1"/>
  <c r="K13" i="3" s="1"/>
  <c r="AJ110" i="1" l="1"/>
  <c r="AJ102" i="1"/>
  <c r="AJ93" i="1"/>
  <c r="AJ83" i="1"/>
  <c r="AJ74" i="1"/>
  <c r="AJ109" i="1"/>
  <c r="AJ101" i="1"/>
  <c r="AJ92" i="1"/>
  <c r="AJ82" i="1"/>
  <c r="AJ73" i="1"/>
  <c r="AJ108" i="1"/>
  <c r="AJ100" i="1"/>
  <c r="AJ91" i="1"/>
  <c r="AJ80" i="1"/>
  <c r="AJ72" i="1"/>
  <c r="AJ106" i="1"/>
  <c r="AJ97" i="1"/>
  <c r="AJ88" i="1"/>
  <c r="AJ78" i="1"/>
  <c r="AJ70" i="1"/>
  <c r="AJ105" i="1"/>
  <c r="AJ96" i="1"/>
  <c r="AJ87" i="1"/>
  <c r="AJ77" i="1"/>
  <c r="AJ104" i="1"/>
  <c r="AJ95" i="1"/>
  <c r="AJ85" i="1"/>
  <c r="AJ76" i="1"/>
  <c r="AJ111" i="1"/>
  <c r="AJ103" i="1"/>
  <c r="AJ94" i="1"/>
  <c r="AJ75" i="1"/>
  <c r="AJ71" i="1"/>
  <c r="AJ107" i="1"/>
  <c r="AJ99" i="1"/>
  <c r="AJ89" i="1"/>
  <c r="AJ79" i="1"/>
  <c r="AJ84" i="1"/>
  <c r="AK129" i="1"/>
  <c r="AK124" i="1"/>
  <c r="AJ124" i="1" s="1"/>
  <c r="AI43" i="1"/>
  <c r="AI45" i="1"/>
  <c r="AI44" i="1"/>
  <c r="AI46" i="1"/>
  <c r="AO40" i="1"/>
  <c r="AO41" i="1" s="1"/>
  <c r="M15" i="11"/>
  <c r="AU12" i="1"/>
  <c r="AU11" i="1"/>
  <c r="K15" i="3" l="1"/>
  <c r="K14" i="3"/>
  <c r="AP108" i="1"/>
  <c r="AP100" i="1"/>
  <c r="AP91" i="1"/>
  <c r="AP80" i="1"/>
  <c r="AP72" i="1"/>
  <c r="AP107" i="1"/>
  <c r="AP99" i="1"/>
  <c r="AP89" i="1"/>
  <c r="AP79" i="1"/>
  <c r="AP71" i="1"/>
  <c r="AP106" i="1"/>
  <c r="AP97" i="1"/>
  <c r="AP88" i="1"/>
  <c r="AP78" i="1"/>
  <c r="AP70" i="1"/>
  <c r="AP104" i="1"/>
  <c r="AP95" i="1"/>
  <c r="AP85" i="1"/>
  <c r="AP76" i="1"/>
  <c r="AP111" i="1"/>
  <c r="AP103" i="1"/>
  <c r="AP94" i="1"/>
  <c r="AP84" i="1"/>
  <c r="AP75" i="1"/>
  <c r="AP110" i="1"/>
  <c r="AP102" i="1"/>
  <c r="AP93" i="1"/>
  <c r="AP83" i="1"/>
  <c r="AP74" i="1"/>
  <c r="AP109" i="1"/>
  <c r="AP101" i="1"/>
  <c r="AP92" i="1"/>
  <c r="AP82" i="1"/>
  <c r="AP73" i="1"/>
  <c r="AP105" i="1"/>
  <c r="AP96" i="1"/>
  <c r="AP87" i="1"/>
  <c r="AP77" i="1"/>
  <c r="AQ129" i="1"/>
  <c r="AQ124" i="1"/>
  <c r="AP124" i="1" s="1"/>
  <c r="AI47" i="1"/>
  <c r="AI49" i="1" s="1"/>
  <c r="AI50" i="1" s="1"/>
  <c r="AJ129" i="1"/>
  <c r="AK134" i="1"/>
  <c r="AJ134" i="1" s="1"/>
  <c r="AO45" i="1"/>
  <c r="AO46" i="1"/>
  <c r="AO44" i="1"/>
  <c r="AO43" i="1"/>
  <c r="AU13" i="1"/>
  <c r="BA15" i="1"/>
  <c r="AI56" i="1" l="1"/>
  <c r="AI60" i="1"/>
  <c r="AI64" i="1" s="1"/>
  <c r="K16" i="3"/>
  <c r="AO47" i="1"/>
  <c r="AO49" i="1" s="1"/>
  <c r="AO50" i="1" s="1"/>
  <c r="AP129" i="1"/>
  <c r="AQ134" i="1"/>
  <c r="AP134" i="1" s="1"/>
  <c r="AK139" i="1"/>
  <c r="AK115" i="1"/>
  <c r="AU36" i="1"/>
  <c r="BB24" i="1"/>
  <c r="BF24" i="1"/>
  <c r="BD24" i="1"/>
  <c r="BF21" i="1"/>
  <c r="BB21" i="1"/>
  <c r="BD21" i="1"/>
  <c r="BB23" i="1"/>
  <c r="BD23" i="1"/>
  <c r="BB18" i="1"/>
  <c r="BD18" i="1"/>
  <c r="BD19" i="1"/>
  <c r="BF19" i="1"/>
  <c r="BB19" i="1"/>
  <c r="BD20" i="1"/>
  <c r="BB20" i="1"/>
  <c r="BF20" i="1"/>
  <c r="BF22" i="1"/>
  <c r="BD22" i="1"/>
  <c r="BB22" i="1"/>
  <c r="AQ115" i="1" l="1"/>
  <c r="AP115" i="1" s="1"/>
  <c r="AO60" i="1"/>
  <c r="AO56" i="1"/>
  <c r="AQ139" i="1"/>
  <c r="AQ147" i="1" s="1"/>
  <c r="AP147" i="1" s="1"/>
  <c r="AO64" i="1"/>
  <c r="AJ115" i="1"/>
  <c r="AK121" i="1"/>
  <c r="AJ121" i="1" s="1"/>
  <c r="AK147" i="1"/>
  <c r="AJ147" i="1" s="1"/>
  <c r="AK144" i="1"/>
  <c r="AJ144" i="1" s="1"/>
  <c r="AJ139" i="1"/>
  <c r="AU39" i="1"/>
  <c r="AU170" i="1" s="1"/>
  <c r="AU57" i="1"/>
  <c r="BF23" i="1"/>
  <c r="M17" i="3"/>
  <c r="BA8" i="1"/>
  <c r="BA9" i="1"/>
  <c r="BF18" i="1"/>
  <c r="AQ121" i="1" l="1"/>
  <c r="AP121" i="1" s="1"/>
  <c r="L11" i="3"/>
  <c r="L12" i="3"/>
  <c r="AQ144" i="1"/>
  <c r="AP144" i="1" s="1"/>
  <c r="AP139" i="1"/>
  <c r="AI169" i="1"/>
  <c r="AI54" i="1" s="1"/>
  <c r="AI58" i="1" s="1"/>
  <c r="AI59" i="1" s="1"/>
  <c r="AU40" i="1"/>
  <c r="AU41" i="1" s="1"/>
  <c r="BA34" i="1"/>
  <c r="BA10" i="1"/>
  <c r="L13" i="3" s="1"/>
  <c r="AO169" i="1" l="1"/>
  <c r="AO54" i="1" s="1"/>
  <c r="AO58" i="1" s="1"/>
  <c r="AO59" i="1" s="1"/>
  <c r="AV106" i="1"/>
  <c r="AV97" i="1"/>
  <c r="AV88" i="1"/>
  <c r="AV78" i="1"/>
  <c r="AV70" i="1"/>
  <c r="AV105" i="1"/>
  <c r="AV96" i="1"/>
  <c r="AV87" i="1"/>
  <c r="AV77" i="1"/>
  <c r="AV104" i="1"/>
  <c r="AV95" i="1"/>
  <c r="AV85" i="1"/>
  <c r="AV76" i="1"/>
  <c r="AV110" i="1"/>
  <c r="AV102" i="1"/>
  <c r="AV93" i="1"/>
  <c r="AV83" i="1"/>
  <c r="AV74" i="1"/>
  <c r="AV109" i="1"/>
  <c r="AV101" i="1"/>
  <c r="AV92" i="1"/>
  <c r="AV82" i="1"/>
  <c r="AV73" i="1"/>
  <c r="AV108" i="1"/>
  <c r="AV100" i="1"/>
  <c r="AV91" i="1"/>
  <c r="AV80" i="1"/>
  <c r="AV72" i="1"/>
  <c r="AV107" i="1"/>
  <c r="AV99" i="1"/>
  <c r="AV89" i="1"/>
  <c r="AV79" i="1"/>
  <c r="AV71" i="1"/>
  <c r="AV84" i="1"/>
  <c r="AV75" i="1"/>
  <c r="AV111" i="1"/>
  <c r="AV103" i="1"/>
  <c r="AV94" i="1"/>
  <c r="AW129" i="1"/>
  <c r="AW124" i="1"/>
  <c r="AV124" i="1" s="1"/>
  <c r="AU43" i="1"/>
  <c r="AU44" i="1"/>
  <c r="AU45" i="1"/>
  <c r="AU46" i="1"/>
  <c r="N15" i="11"/>
  <c r="BG15" i="1"/>
  <c r="BA12" i="1"/>
  <c r="BA11" i="1"/>
  <c r="L14" i="3" l="1"/>
  <c r="L15" i="3"/>
  <c r="AU47" i="1"/>
  <c r="AU49" i="1" s="1"/>
  <c r="AU50" i="1" s="1"/>
  <c r="AW134" i="1"/>
  <c r="AV134" i="1" s="1"/>
  <c r="AV129" i="1"/>
  <c r="BA13" i="1"/>
  <c r="BJ23" i="1"/>
  <c r="BH23" i="1"/>
  <c r="AU60" i="1" l="1"/>
  <c r="AU64" i="1" s="1"/>
  <c r="L16" i="3"/>
  <c r="AU56" i="1"/>
  <c r="AW115" i="1"/>
  <c r="AW139" i="1"/>
  <c r="BL20" i="1"/>
  <c r="BH20" i="1"/>
  <c r="BJ20" i="1"/>
  <c r="BL23" i="1"/>
  <c r="N17" i="3"/>
  <c r="BJ21" i="1"/>
  <c r="BH21" i="1"/>
  <c r="BL21" i="1"/>
  <c r="BJ24" i="1"/>
  <c r="BL24" i="1"/>
  <c r="BH24" i="1"/>
  <c r="BH18" i="1"/>
  <c r="BJ18" i="1"/>
  <c r="BA36" i="1"/>
  <c r="BM15" i="1"/>
  <c r="BL19" i="1"/>
  <c r="BH19" i="1"/>
  <c r="BJ19" i="1"/>
  <c r="BJ22" i="1"/>
  <c r="BH22" i="1"/>
  <c r="BL22" i="1"/>
  <c r="AV139" i="1" l="1"/>
  <c r="AW147" i="1"/>
  <c r="AV147" i="1" s="1"/>
  <c r="AW144" i="1"/>
  <c r="AV144" i="1" s="1"/>
  <c r="AV115" i="1"/>
  <c r="AW121" i="1"/>
  <c r="AV121" i="1" s="1"/>
  <c r="BA39" i="1"/>
  <c r="BA170" i="1" s="1"/>
  <c r="BA57" i="1"/>
  <c r="P17" i="3"/>
  <c r="BG8" i="1"/>
  <c r="BP23" i="1"/>
  <c r="BG9" i="1"/>
  <c r="BL18" i="1"/>
  <c r="BG10" i="1" s="1"/>
  <c r="M13" i="3" l="1"/>
  <c r="M12" i="3"/>
  <c r="M11" i="3"/>
  <c r="AU169" i="1"/>
  <c r="AU54" i="1" s="1"/>
  <c r="AU58" i="1" s="1"/>
  <c r="AU59" i="1" s="1"/>
  <c r="BA40" i="1"/>
  <c r="BA41" i="1" s="1"/>
  <c r="O15" i="11"/>
  <c r="P15" i="11"/>
  <c r="P13" i="3"/>
  <c r="P12" i="3"/>
  <c r="P11" i="3"/>
  <c r="BG12" i="1"/>
  <c r="BP24" i="1"/>
  <c r="BP22" i="1"/>
  <c r="BG11" i="1"/>
  <c r="BG34" i="1"/>
  <c r="BP21" i="1"/>
  <c r="BP18" i="1"/>
  <c r="BP20" i="1"/>
  <c r="BR23" i="1"/>
  <c r="BN23" i="1"/>
  <c r="BP19" i="1"/>
  <c r="M15" i="3" l="1"/>
  <c r="M14" i="3"/>
  <c r="BB104" i="1"/>
  <c r="BB95" i="1"/>
  <c r="BB85" i="1"/>
  <c r="BB76" i="1"/>
  <c r="BB111" i="1"/>
  <c r="BB103" i="1"/>
  <c r="BB94" i="1"/>
  <c r="BB84" i="1"/>
  <c r="BB75" i="1"/>
  <c r="BB110" i="1"/>
  <c r="BB102" i="1"/>
  <c r="BB93" i="1"/>
  <c r="BB83" i="1"/>
  <c r="BB74" i="1"/>
  <c r="BB108" i="1"/>
  <c r="BB100" i="1"/>
  <c r="BB91" i="1"/>
  <c r="BB80" i="1"/>
  <c r="BB72" i="1"/>
  <c r="BB107" i="1"/>
  <c r="BB99" i="1"/>
  <c r="BB89" i="1"/>
  <c r="BB79" i="1"/>
  <c r="BB71" i="1"/>
  <c r="BB106" i="1"/>
  <c r="BB97" i="1"/>
  <c r="BB88" i="1"/>
  <c r="BB78" i="1"/>
  <c r="BB70" i="1"/>
  <c r="BB105" i="1"/>
  <c r="BB96" i="1"/>
  <c r="BB87" i="1"/>
  <c r="BB77" i="1"/>
  <c r="BB82" i="1"/>
  <c r="BB73" i="1"/>
  <c r="BB109" i="1"/>
  <c r="BB92" i="1"/>
  <c r="BB101" i="1"/>
  <c r="BC124" i="1"/>
  <c r="BB124" i="1" s="1"/>
  <c r="BC129" i="1"/>
  <c r="BA44" i="1"/>
  <c r="BA45" i="1"/>
  <c r="BA43" i="1"/>
  <c r="BA46" i="1"/>
  <c r="O20" i="21"/>
  <c r="P15" i="3"/>
  <c r="P14" i="3"/>
  <c r="Q17" i="3"/>
  <c r="BM8" i="1"/>
  <c r="N11" i="3" s="1"/>
  <c r="BN20" i="1"/>
  <c r="BR20" i="1"/>
  <c r="BG13" i="1"/>
  <c r="BN19" i="1"/>
  <c r="BR19" i="1"/>
  <c r="BN22" i="1"/>
  <c r="BR22" i="1"/>
  <c r="BM9" i="1"/>
  <c r="N12" i="3" s="1"/>
  <c r="BN18" i="1"/>
  <c r="BR18" i="1"/>
  <c r="BN21" i="1"/>
  <c r="BR21" i="1"/>
  <c r="BN24" i="1"/>
  <c r="BR24" i="1"/>
  <c r="M16" i="3" l="1"/>
  <c r="BB129" i="1"/>
  <c r="BC134" i="1"/>
  <c r="BB134" i="1" s="1"/>
  <c r="BA47" i="1"/>
  <c r="BA49" i="1" s="1"/>
  <c r="BA50" i="1" s="1"/>
  <c r="BA60" i="1" s="1"/>
  <c r="O12" i="3"/>
  <c r="O14" i="21"/>
  <c r="O11" i="3"/>
  <c r="O12" i="21"/>
  <c r="V12" i="3"/>
  <c r="S12" i="3"/>
  <c r="V11" i="3"/>
  <c r="S11" i="3"/>
  <c r="P16" i="3"/>
  <c r="Q12" i="3"/>
  <c r="Q11" i="3"/>
  <c r="BM10" i="1"/>
  <c r="N13" i="3" s="1"/>
  <c r="BM34" i="1"/>
  <c r="BG36" i="1"/>
  <c r="BC115" i="1" l="1"/>
  <c r="BC139" i="1"/>
  <c r="BG39" i="1"/>
  <c r="BG170" i="1" s="1"/>
  <c r="BG57" i="1"/>
  <c r="BA64" i="1"/>
  <c r="BA56" i="1"/>
  <c r="O13" i="3"/>
  <c r="O15" i="21"/>
  <c r="R15" i="11"/>
  <c r="S13" i="3"/>
  <c r="V13" i="3"/>
  <c r="V15" i="11"/>
  <c r="Q15" i="11"/>
  <c r="Q13" i="3"/>
  <c r="BM12" i="1"/>
  <c r="N15" i="3" s="1"/>
  <c r="BM11" i="1"/>
  <c r="N14" i="3" s="1"/>
  <c r="BB139" i="1" l="1"/>
  <c r="BC147" i="1"/>
  <c r="BB147" i="1" s="1"/>
  <c r="BC144" i="1"/>
  <c r="BB144" i="1" s="1"/>
  <c r="BC121" i="1"/>
  <c r="BB121" i="1" s="1"/>
  <c r="BB115" i="1"/>
  <c r="BG40" i="1"/>
  <c r="BG41" i="1" s="1"/>
  <c r="O14" i="3"/>
  <c r="O16" i="21"/>
  <c r="E19" i="21" s="1"/>
  <c r="O15" i="3"/>
  <c r="O17" i="21"/>
  <c r="V15" i="3"/>
  <c r="S15" i="3"/>
  <c r="V14" i="3"/>
  <c r="S14" i="3"/>
  <c r="Q14" i="3"/>
  <c r="Q15" i="3"/>
  <c r="BM13" i="1"/>
  <c r="N16" i="3" s="1"/>
  <c r="BA169" i="1" l="1"/>
  <c r="BA54" i="1" s="1"/>
  <c r="BA58" i="1" s="1"/>
  <c r="BA59" i="1" s="1"/>
  <c r="BH111" i="1"/>
  <c r="BH103" i="1"/>
  <c r="BH94" i="1"/>
  <c r="BH84" i="1"/>
  <c r="BH75" i="1"/>
  <c r="BI129" i="1"/>
  <c r="BH110" i="1"/>
  <c r="BH102" i="1"/>
  <c r="BH93" i="1"/>
  <c r="BH83" i="1"/>
  <c r="BH74" i="1"/>
  <c r="BH109" i="1"/>
  <c r="BH101" i="1"/>
  <c r="BH92" i="1"/>
  <c r="BH82" i="1"/>
  <c r="BH73" i="1"/>
  <c r="BH107" i="1"/>
  <c r="BH99" i="1"/>
  <c r="BH89" i="1"/>
  <c r="BH79" i="1"/>
  <c r="BH71" i="1"/>
  <c r="BH106" i="1"/>
  <c r="BH97" i="1"/>
  <c r="BH88" i="1"/>
  <c r="BH78" i="1"/>
  <c r="BH70" i="1"/>
  <c r="BH105" i="1"/>
  <c r="BH96" i="1"/>
  <c r="BH87" i="1"/>
  <c r="BH77" i="1"/>
  <c r="BH104" i="1"/>
  <c r="BH95" i="1"/>
  <c r="BH85" i="1"/>
  <c r="BH76" i="1"/>
  <c r="BH91" i="1"/>
  <c r="BH80" i="1"/>
  <c r="BH72" i="1"/>
  <c r="BI124" i="1"/>
  <c r="BH124" i="1" s="1"/>
  <c r="BH108" i="1"/>
  <c r="BH100" i="1"/>
  <c r="BG43" i="1"/>
  <c r="BG46" i="1"/>
  <c r="BG44" i="1"/>
  <c r="BG45" i="1"/>
  <c r="F19" i="21"/>
  <c r="D19" i="21"/>
  <c r="O16" i="3"/>
  <c r="O18" i="21"/>
  <c r="V16" i="3"/>
  <c r="S16" i="3"/>
  <c r="Q16" i="3"/>
  <c r="BM36" i="1"/>
  <c r="BH129" i="1" l="1"/>
  <c r="BI134" i="1"/>
  <c r="BH134" i="1" s="1"/>
  <c r="BM39" i="1"/>
  <c r="BM170" i="1" s="1"/>
  <c r="BM57" i="1"/>
  <c r="BG47" i="1"/>
  <c r="BG49" i="1" s="1"/>
  <c r="BG50" i="1" s="1"/>
  <c r="BG60" i="1" s="1"/>
  <c r="BI139" i="1" l="1"/>
  <c r="BI115" i="1"/>
  <c r="BG64" i="1"/>
  <c r="BG56" i="1"/>
  <c r="BM40" i="1"/>
  <c r="BM41" i="1" s="1"/>
  <c r="BI121" i="1" l="1"/>
  <c r="BH121" i="1" s="1"/>
  <c r="BH115" i="1"/>
  <c r="BH139" i="1"/>
  <c r="BI144" i="1"/>
  <c r="BH144" i="1" s="1"/>
  <c r="BI147" i="1"/>
  <c r="BH147" i="1" s="1"/>
  <c r="BN105" i="1"/>
  <c r="BN96" i="1"/>
  <c r="BN87" i="1"/>
  <c r="BN77" i="1"/>
  <c r="BN104" i="1"/>
  <c r="BN95" i="1"/>
  <c r="BN85" i="1"/>
  <c r="BN76" i="1"/>
  <c r="BN111" i="1"/>
  <c r="BN103" i="1"/>
  <c r="BN94" i="1"/>
  <c r="BN84" i="1"/>
  <c r="BN75" i="1"/>
  <c r="BN109" i="1"/>
  <c r="BN101" i="1"/>
  <c r="BN92" i="1"/>
  <c r="BN82" i="1"/>
  <c r="BN73" i="1"/>
  <c r="BN108" i="1"/>
  <c r="BN100" i="1"/>
  <c r="BN91" i="1"/>
  <c r="BN80" i="1"/>
  <c r="BN72" i="1"/>
  <c r="BN107" i="1"/>
  <c r="BN99" i="1"/>
  <c r="BN89" i="1"/>
  <c r="BN79" i="1"/>
  <c r="BN71" i="1"/>
  <c r="BN106" i="1"/>
  <c r="BN97" i="1"/>
  <c r="BN88" i="1"/>
  <c r="BN78" i="1"/>
  <c r="BN70" i="1"/>
  <c r="BN83" i="1"/>
  <c r="BN74" i="1"/>
  <c r="BN110" i="1"/>
  <c r="BN93" i="1"/>
  <c r="BN102" i="1"/>
  <c r="BO129" i="1"/>
  <c r="BO124" i="1"/>
  <c r="BN124" i="1" s="1"/>
  <c r="BM43" i="1"/>
  <c r="BM46" i="1"/>
  <c r="BM45" i="1"/>
  <c r="BM44" i="1"/>
  <c r="E169" i="1"/>
  <c r="E54" i="1" s="1"/>
  <c r="E58" i="1" s="1"/>
  <c r="E59" i="1" s="1"/>
  <c r="BG169" i="1" l="1"/>
  <c r="BG54" i="1" s="1"/>
  <c r="BG58" i="1" s="1"/>
  <c r="BG59" i="1" s="1"/>
  <c r="BM47" i="1"/>
  <c r="BM49" i="1" s="1"/>
  <c r="BM50" i="1" s="1"/>
  <c r="BN129" i="1"/>
  <c r="BO134" i="1"/>
  <c r="BN134" i="1" s="1"/>
  <c r="BO115" i="1" l="1"/>
  <c r="BO121" i="1" s="1"/>
  <c r="BN121" i="1" s="1"/>
  <c r="BM60" i="1"/>
  <c r="BM64" i="1" s="1"/>
  <c r="BO139" i="1"/>
  <c r="BO144" i="1" s="1"/>
  <c r="BN144" i="1" s="1"/>
  <c r="BM56" i="1"/>
  <c r="BN115" i="1" l="1"/>
  <c r="BN139" i="1"/>
  <c r="BO147" i="1"/>
  <c r="BN147" i="1" s="1"/>
  <c r="BM169" i="1" l="1"/>
  <c r="BM54" i="1" s="1"/>
  <c r="BM58" i="1" s="1"/>
  <c r="BM59" i="1" s="1"/>
</calcChain>
</file>

<file path=xl/sharedStrings.xml><?xml version="1.0" encoding="utf-8"?>
<sst xmlns="http://schemas.openxmlformats.org/spreadsheetml/2006/main" count="6843" uniqueCount="973">
  <si>
    <t>Temperature</t>
  </si>
  <si>
    <t>Pressure</t>
  </si>
  <si>
    <t>Mass Flow</t>
  </si>
  <si>
    <t>lb/hr</t>
  </si>
  <si>
    <t>ºF</t>
  </si>
  <si>
    <t>psig</t>
  </si>
  <si>
    <t>Stream #</t>
  </si>
  <si>
    <t>Methane (CH4)</t>
  </si>
  <si>
    <t>Carbon Dioxide (CO2)</t>
  </si>
  <si>
    <t>Nitrogen (N2)</t>
  </si>
  <si>
    <t>Oxygen (O2)</t>
  </si>
  <si>
    <t>Hydrogen Sulfide (H2S)</t>
  </si>
  <si>
    <t>Water (H2O)</t>
  </si>
  <si>
    <t xml:space="preserve">MW </t>
  </si>
  <si>
    <t>Stream Name</t>
  </si>
  <si>
    <t>Vol. Flow (SCFM)</t>
  </si>
  <si>
    <t>Vol. Flow (ACFM)</t>
  </si>
  <si>
    <t>Mass. Flow
(lb/hr)</t>
  </si>
  <si>
    <t>Gas Avg Mol. Wt</t>
  </si>
  <si>
    <t>Mol. Flow
(lbmol/hr)</t>
  </si>
  <si>
    <t>Actual Gas Density</t>
  </si>
  <si>
    <t>lb/ft3</t>
  </si>
  <si>
    <t>Compressibility Factor</t>
  </si>
  <si>
    <t>z</t>
  </si>
  <si>
    <t>Component Name</t>
  </si>
  <si>
    <t>Component ID</t>
  </si>
  <si>
    <t>Total Gas Flow</t>
  </si>
  <si>
    <t>SCFM</t>
  </si>
  <si>
    <t>Actual Gas Flow</t>
  </si>
  <si>
    <t>ACFM</t>
  </si>
  <si>
    <t>Molar Flow</t>
  </si>
  <si>
    <t>lbmol/hr</t>
  </si>
  <si>
    <t>Hydrogen (H2)</t>
  </si>
  <si>
    <t>scfm</t>
  </si>
  <si>
    <t>Feed Gas properties</t>
  </si>
  <si>
    <t>Flowrate</t>
  </si>
  <si>
    <t>Mol. Wt.</t>
  </si>
  <si>
    <t>Comp. ID</t>
  </si>
  <si>
    <t>Product Gas</t>
  </si>
  <si>
    <t>Feed Comp.</t>
  </si>
  <si>
    <t>Waste Gas</t>
  </si>
  <si>
    <t>Methane Yield</t>
  </si>
  <si>
    <t>Pressure Drop</t>
  </si>
  <si>
    <t>Friction factor selected</t>
  </si>
  <si>
    <t>Flow Regime</t>
  </si>
  <si>
    <t>B</t>
  </si>
  <si>
    <t>A</t>
  </si>
  <si>
    <t>Using Churchill Equation</t>
  </si>
  <si>
    <t>Friction factor value</t>
  </si>
  <si>
    <t>Using Colebrook Equation</t>
  </si>
  <si>
    <t>For Re &gt; 4000</t>
  </si>
  <si>
    <t>for Re &lt; 2100</t>
  </si>
  <si>
    <t>Reynold's Number</t>
  </si>
  <si>
    <t>Fluid Velocity</t>
  </si>
  <si>
    <t>Volumetric Flow</t>
  </si>
  <si>
    <t>Pipe Cross Sectional Area</t>
  </si>
  <si>
    <t>Density</t>
  </si>
  <si>
    <t>cP</t>
  </si>
  <si>
    <t>Viscosity</t>
  </si>
  <si>
    <t>Fluid Data</t>
  </si>
  <si>
    <t>Pipe Inner Diameter</t>
  </si>
  <si>
    <t>Pipe Data</t>
  </si>
  <si>
    <t>psi/ 100 ft</t>
  </si>
  <si>
    <t>ft</t>
  </si>
  <si>
    <t>ft/sec</t>
  </si>
  <si>
    <t>ft^3/h</t>
  </si>
  <si>
    <t>ft^2</t>
  </si>
  <si>
    <t>lb/ft^3</t>
  </si>
  <si>
    <t>lb/h</t>
  </si>
  <si>
    <t>Piping Inside Diameter, Inches</t>
  </si>
  <si>
    <t>Sch / Thickness</t>
  </si>
  <si>
    <t>Nominal Pipe Size</t>
  </si>
  <si>
    <t>OD</t>
  </si>
  <si>
    <t>Pipe Size</t>
  </si>
  <si>
    <t>Pipe Schedule</t>
  </si>
  <si>
    <t>Pipe Material</t>
  </si>
  <si>
    <t>Roughness (in)</t>
  </si>
  <si>
    <t>Concrete</t>
  </si>
  <si>
    <t>Cast Iron</t>
  </si>
  <si>
    <t>Galvanized Iron</t>
  </si>
  <si>
    <t>Asphalt Cast Iron</t>
  </si>
  <si>
    <t>PVC, Glass or Other Drawn Tubing</t>
  </si>
  <si>
    <t>Commercial Steel</t>
  </si>
  <si>
    <t>Roughness</t>
  </si>
  <si>
    <t>in</t>
  </si>
  <si>
    <t>Reynold Number Calculation</t>
  </si>
  <si>
    <t>Friction factor Calculation</t>
  </si>
  <si>
    <t>Line length</t>
  </si>
  <si>
    <t>f</t>
  </si>
  <si>
    <t>psi/100ft</t>
  </si>
  <si>
    <t>Velocity</t>
  </si>
  <si>
    <t xml:space="preserve">Pressure Drop </t>
  </si>
  <si>
    <t>Fluid Phase</t>
  </si>
  <si>
    <t>Lower Limit</t>
  </si>
  <si>
    <t>Upper Limit</t>
  </si>
  <si>
    <t>Liquid</t>
  </si>
  <si>
    <t>Boiling Liquid at Pump Suction</t>
  </si>
  <si>
    <t>Cooling Water at Pump Suct.</t>
  </si>
  <si>
    <t>Cooling Water at Pump discharge</t>
  </si>
  <si>
    <t>Differential Pressure Liquids (Static head)</t>
  </si>
  <si>
    <t>Gas</t>
  </si>
  <si>
    <t>Atmospheric Pressure Gas</t>
  </si>
  <si>
    <t>Gas Stream with excess pressure</t>
  </si>
  <si>
    <t>Vacuum Gas</t>
  </si>
  <si>
    <t>Steam</t>
  </si>
  <si>
    <t>Steam header over 50 psig</t>
  </si>
  <si>
    <t>Steam over 50 psig (short lines to equipments)</t>
  </si>
  <si>
    <t>Steam header under 50 psig</t>
  </si>
  <si>
    <t>Steam under 50 psig (short lines to equipments)</t>
  </si>
  <si>
    <t>Higher Pressure Gas</t>
  </si>
  <si>
    <t>Sizing Check</t>
  </si>
  <si>
    <t>Boiling Liquid at Pump discharge</t>
  </si>
  <si>
    <t>Sub-Cooled Liquid at pump suction (40F below)</t>
  </si>
  <si>
    <t>Sub-Cooled Liquid at pump discharge (40F below)</t>
  </si>
  <si>
    <t>Fluid State</t>
  </si>
  <si>
    <t>Fluid Phase and State</t>
  </si>
  <si>
    <t>Pressure Drop Criteria Check</t>
  </si>
  <si>
    <t>Velocity Criteria</t>
  </si>
  <si>
    <t>Liquid Fluid</t>
  </si>
  <si>
    <t>Gas Fluid</t>
  </si>
  <si>
    <t>Fluid_Steam</t>
  </si>
  <si>
    <t>Unit</t>
  </si>
  <si>
    <t>Vol%</t>
  </si>
  <si>
    <t>ppm</t>
  </si>
  <si>
    <t>lb/MMSCF</t>
  </si>
  <si>
    <t>Column1</t>
  </si>
  <si>
    <t>Saturated</t>
  </si>
  <si>
    <t>ºC</t>
  </si>
  <si>
    <t>Feed Mass flow (lb/hr)</t>
  </si>
  <si>
    <t>Product Gas Comp</t>
  </si>
  <si>
    <t>Product Gas properties</t>
  </si>
  <si>
    <t>Product Gas Flowrate</t>
  </si>
  <si>
    <t>Gas Composition</t>
  </si>
  <si>
    <t>Recycle Ratio</t>
  </si>
  <si>
    <t>Product Mass flow (lb/hr)</t>
  </si>
  <si>
    <t>Additional Stream (for analysis)</t>
  </si>
  <si>
    <t>Avg. Mol. Wt</t>
  </si>
  <si>
    <t>Corrected flow</t>
  </si>
  <si>
    <t>After H2S bed Removal</t>
  </si>
  <si>
    <t>Vol %</t>
  </si>
  <si>
    <t>Column2</t>
  </si>
  <si>
    <t>Recycle Rate</t>
  </si>
  <si>
    <t>Nor. Feed Composition (mol%)</t>
  </si>
  <si>
    <t>Nor Prod. Comp (mol%)</t>
  </si>
  <si>
    <t>Norm. H2S Bed outlet Comp (mol%)</t>
  </si>
  <si>
    <t>Nor Comp. (mol%)</t>
  </si>
  <si>
    <t>Psat</t>
  </si>
  <si>
    <t>Relative Humidity</t>
  </si>
  <si>
    <t>psia</t>
  </si>
  <si>
    <t>%</t>
  </si>
  <si>
    <t>Feed+Recycle to Compressor</t>
  </si>
  <si>
    <t>Compressed Gas to After Cooler</t>
  </si>
  <si>
    <t>7A</t>
  </si>
  <si>
    <t>Compressed Gas to Chiller</t>
  </si>
  <si>
    <t>7B</t>
  </si>
  <si>
    <t>Compressed Cooled gas to Re-Heater</t>
  </si>
  <si>
    <t>Cooled Compressed Gas to Activated Carbon Filter</t>
  </si>
  <si>
    <t>To AL Skid</t>
  </si>
  <si>
    <t>Recycle Gas</t>
  </si>
  <si>
    <t>Condensate Removed</t>
  </si>
  <si>
    <t xml:space="preserve">Raw Feed to Low Pressure Separator </t>
  </si>
  <si>
    <t>Seperator to Compressor</t>
  </si>
  <si>
    <t>Typical. Recycle Gas Comp. (Mol%)</t>
  </si>
  <si>
    <t>Check</t>
  </si>
  <si>
    <t>Raw Gas to H2S Removal</t>
  </si>
  <si>
    <t>Recycle Mass flow (lb/hr)</t>
  </si>
  <si>
    <t>Compressed Gas from Cooler to Re-heater</t>
  </si>
  <si>
    <t>Assumed Recycle Ratio</t>
  </si>
  <si>
    <t>Polished Product Gas</t>
  </si>
  <si>
    <t>Components</t>
  </si>
  <si>
    <t>Project: Big Dairy</t>
  </si>
  <si>
    <t>Raw Gas to Feed Blower</t>
  </si>
  <si>
    <t>Blower Discharge</t>
  </si>
  <si>
    <t>0A</t>
  </si>
  <si>
    <t>0B</t>
  </si>
  <si>
    <t>Compressor Discharge to AL Skid HX</t>
  </si>
  <si>
    <t>Ackerman Dairy</t>
  </si>
  <si>
    <t>Double D Dairy</t>
  </si>
  <si>
    <t>Ahlem Farms Jerseys</t>
  </si>
  <si>
    <t>K &amp; R Blount Dairy</t>
  </si>
  <si>
    <t>Albert Mendes Dairy</t>
  </si>
  <si>
    <t>Morrios Family Enterprises</t>
  </si>
  <si>
    <t>S&amp;S Dairy</t>
  </si>
  <si>
    <t>Bar Vee Dairy Inc.</t>
  </si>
  <si>
    <t>Dairy Central</t>
  </si>
  <si>
    <t>Martins Brothers Dairy</t>
  </si>
  <si>
    <t>Borba Dairy Farms</t>
  </si>
  <si>
    <t>AJ Borba Dairy</t>
  </si>
  <si>
    <t>Hilmar Holstenis</t>
  </si>
  <si>
    <t>Wickstrom Jersey Farms</t>
  </si>
  <si>
    <t>Oliveira Dairy</t>
  </si>
  <si>
    <t>Alamo Dairy</t>
  </si>
  <si>
    <t>Gioletti Dairy</t>
  </si>
  <si>
    <t>Vierra Dairy</t>
  </si>
  <si>
    <t>Total Flow</t>
  </si>
  <si>
    <t>Composition</t>
  </si>
  <si>
    <t>CH4</t>
  </si>
  <si>
    <t>CO2</t>
  </si>
  <si>
    <t>o2</t>
  </si>
  <si>
    <t>H2O</t>
  </si>
  <si>
    <t>H2S</t>
  </si>
  <si>
    <t>Kg/hr</t>
  </si>
  <si>
    <t>2.20462*kg/hr=lb/hr</t>
  </si>
  <si>
    <t>Cooled Compressed gas to Re-Heater</t>
  </si>
  <si>
    <t>Re-Heated Compressed Gas to Activated Carbon Filter</t>
  </si>
  <si>
    <t>Recycle Gas to Recycle Gas Compressor</t>
  </si>
  <si>
    <t>Raw Gas to H2S Guard Beds</t>
  </si>
  <si>
    <t>Compressed Product Gas to Air Cooled Aftercooler</t>
  </si>
  <si>
    <t>Product Gas to Chilled Water Cooler</t>
  </si>
  <si>
    <t>Checks</t>
  </si>
  <si>
    <t>Project:</t>
  </si>
  <si>
    <t>R.</t>
  </si>
  <si>
    <t>Location:</t>
  </si>
  <si>
    <t>Class 1, Division 2, Group D</t>
  </si>
  <si>
    <t>Minimum</t>
  </si>
  <si>
    <t>Maximum</t>
  </si>
  <si>
    <t>VOC &amp; Siloxanes</t>
  </si>
  <si>
    <t>Non-Detect</t>
  </si>
  <si>
    <t>Normal</t>
  </si>
  <si>
    <t>Owner:</t>
  </si>
  <si>
    <t>Aemetis Inc.</t>
  </si>
  <si>
    <t>NOTES</t>
  </si>
  <si>
    <t>Units</t>
  </si>
  <si>
    <t>Rev. A</t>
  </si>
  <si>
    <t>PROJECT INFORMATION</t>
  </si>
  <si>
    <t>Datasheet No:</t>
  </si>
  <si>
    <t>Ceres, California</t>
  </si>
  <si>
    <t>Contractor:</t>
  </si>
  <si>
    <t>BIOGAS ENGINEERING INC.</t>
  </si>
  <si>
    <t>Chk by</t>
  </si>
  <si>
    <t>App by</t>
  </si>
  <si>
    <t>Prep. by</t>
  </si>
  <si>
    <t>NST</t>
  </si>
  <si>
    <t>TW</t>
  </si>
  <si>
    <t>AR</t>
  </si>
  <si>
    <t>Rev.</t>
  </si>
  <si>
    <t>SYSTEM DESCRIPTION</t>
  </si>
  <si>
    <t>PSIG</t>
  </si>
  <si>
    <t>°F</t>
  </si>
  <si>
    <t>ppmv</t>
  </si>
  <si>
    <r>
      <t>Methane (CH</t>
    </r>
    <r>
      <rPr>
        <vertAlign val="subscript"/>
        <sz val="10"/>
        <color theme="1"/>
        <rFont val="Calibri"/>
        <family val="2"/>
        <scheme val="minor"/>
      </rPr>
      <t>4</t>
    </r>
    <r>
      <rPr>
        <sz val="10"/>
        <color theme="1"/>
        <rFont val="Calibri"/>
        <family val="2"/>
        <scheme val="minor"/>
      </rPr>
      <t>)</t>
    </r>
  </si>
  <si>
    <r>
      <t>Carbon Dioxide (CO</t>
    </r>
    <r>
      <rPr>
        <vertAlign val="subscript"/>
        <sz val="10"/>
        <color theme="1"/>
        <rFont val="Calibri"/>
        <family val="2"/>
        <scheme val="minor"/>
      </rPr>
      <t>2</t>
    </r>
    <r>
      <rPr>
        <sz val="10"/>
        <color theme="1"/>
        <rFont val="Calibri"/>
        <family val="2"/>
        <scheme val="minor"/>
      </rPr>
      <t>)</t>
    </r>
  </si>
  <si>
    <r>
      <t>Oxygen (O</t>
    </r>
    <r>
      <rPr>
        <vertAlign val="subscript"/>
        <sz val="10"/>
        <color theme="1"/>
        <rFont val="Calibri"/>
        <family val="2"/>
        <scheme val="minor"/>
      </rPr>
      <t>2</t>
    </r>
    <r>
      <rPr>
        <sz val="10"/>
        <color theme="1"/>
        <rFont val="Calibri"/>
        <family val="2"/>
        <scheme val="minor"/>
      </rPr>
      <t xml:space="preserve">) </t>
    </r>
  </si>
  <si>
    <r>
      <t>Nitrogen (N</t>
    </r>
    <r>
      <rPr>
        <vertAlign val="subscript"/>
        <sz val="10"/>
        <color theme="1"/>
        <rFont val="Calibri"/>
        <family val="2"/>
        <scheme val="minor"/>
      </rPr>
      <t>2</t>
    </r>
    <r>
      <rPr>
        <sz val="10"/>
        <color theme="1"/>
        <rFont val="Calibri"/>
        <family val="2"/>
        <scheme val="minor"/>
      </rPr>
      <t xml:space="preserve">) </t>
    </r>
  </si>
  <si>
    <r>
      <t>Hydrogen Sulfide (H</t>
    </r>
    <r>
      <rPr>
        <vertAlign val="subscript"/>
        <sz val="10"/>
        <color theme="1"/>
        <rFont val="Calibri"/>
        <family val="2"/>
        <scheme val="minor"/>
      </rPr>
      <t>2</t>
    </r>
    <r>
      <rPr>
        <sz val="10"/>
        <color theme="1"/>
        <rFont val="Calibri"/>
        <family val="2"/>
        <scheme val="minor"/>
      </rPr>
      <t>S)</t>
    </r>
  </si>
  <si>
    <r>
      <t>Water (H</t>
    </r>
    <r>
      <rPr>
        <vertAlign val="subscript"/>
        <sz val="10"/>
        <color theme="1"/>
        <rFont val="Calibri"/>
        <family val="2"/>
        <scheme val="minor"/>
      </rPr>
      <t>2</t>
    </r>
    <r>
      <rPr>
        <sz val="10"/>
        <color theme="1"/>
        <rFont val="Calibri"/>
        <family val="2"/>
        <scheme val="minor"/>
      </rPr>
      <t>O)</t>
    </r>
  </si>
  <si>
    <t>VTA</t>
  </si>
  <si>
    <t>NOTES CONT…</t>
  </si>
  <si>
    <t>Parameters</t>
  </si>
  <si>
    <t>Vacuum Condition</t>
  </si>
  <si>
    <t>FV @ 112 °F</t>
  </si>
  <si>
    <t>Value</t>
  </si>
  <si>
    <t>Skid Design</t>
  </si>
  <si>
    <t>SITE CONDITIONS</t>
  </si>
  <si>
    <t>Electrical Classification Area:</t>
  </si>
  <si>
    <t>Outdoor</t>
  </si>
  <si>
    <t>Site Elevation</t>
  </si>
  <si>
    <t>Low Ambient Temperature</t>
  </si>
  <si>
    <t>High Ambient Temperature</t>
  </si>
  <si>
    <t>Equipment Location</t>
  </si>
  <si>
    <t>Operation</t>
  </si>
  <si>
    <t>Other Requirement</t>
  </si>
  <si>
    <t>Yes</t>
  </si>
  <si>
    <t>No</t>
  </si>
  <si>
    <t>Advanced Control System</t>
  </si>
  <si>
    <t>Additional Notes</t>
  </si>
  <si>
    <t>Instrument Air Supply Press.</t>
  </si>
  <si>
    <t>Instrument Air Supply Temp</t>
  </si>
  <si>
    <t>actuators, instrumentation and other components for a complete and functioning system.</t>
  </si>
  <si>
    <t xml:space="preserve">  BIOGAS ENGINEERING                                         Signal Hill, CA                                        biogaseng.com                                   (562) 786-5656	</t>
  </si>
  <si>
    <t>Actual Recycle Ratio</t>
  </si>
  <si>
    <t>Actual  Recycle Gas Comp. (Mol%)</t>
  </si>
  <si>
    <t>Seperator to Feed Gas Compressor</t>
  </si>
  <si>
    <t>Compressed Gas from Air Cooler to Re-heater</t>
  </si>
  <si>
    <t>Date: 17-Feb-20</t>
  </si>
  <si>
    <t>Equipment No.</t>
  </si>
  <si>
    <t xml:space="preserve">Feed Gas Compressor </t>
  </si>
  <si>
    <t>Equipment Name:</t>
  </si>
  <si>
    <t>C-3001</t>
  </si>
  <si>
    <t>Equipment Service</t>
  </si>
  <si>
    <t>Digester Gas</t>
  </si>
  <si>
    <t>D-002</t>
  </si>
  <si>
    <t>Required Capacity (14.7 PSIA &amp; 60 °F)</t>
  </si>
  <si>
    <t>DISCHARGE CONDITIONS</t>
  </si>
  <si>
    <t>INLET CONDITIONS</t>
  </si>
  <si>
    <t>Pressure (Note 2)</t>
  </si>
  <si>
    <t>Molecular Weight  (Note 2)</t>
  </si>
  <si>
    <t>Composition (Note 2)</t>
  </si>
  <si>
    <t>Inlet Pressure (Note 1)</t>
  </si>
  <si>
    <t>Pressure (Note 3)</t>
  </si>
  <si>
    <t>Temperature (Note 3)</t>
  </si>
  <si>
    <t>Specific Heat (Cp/Cv)</t>
  </si>
  <si>
    <t>Compressibility (z)</t>
  </si>
  <si>
    <t>Dew Point</t>
  </si>
  <si>
    <t>Oil Carryover (Note 4)</t>
  </si>
  <si>
    <t>&lt;4 ppm</t>
  </si>
  <si>
    <t>BHP Required (All Losses Incl)</t>
  </si>
  <si>
    <t>HP</t>
  </si>
  <si>
    <t xml:space="preserve">Speed </t>
  </si>
  <si>
    <t>RPM</t>
  </si>
  <si>
    <t>Pressure ratio</t>
  </si>
  <si>
    <t>R</t>
  </si>
  <si>
    <t>Volumetric Efficiency</t>
  </si>
  <si>
    <t>Performance Curve No.</t>
  </si>
  <si>
    <t>Process Control Method</t>
  </si>
  <si>
    <t>Slide Valve</t>
  </si>
  <si>
    <t>Bypass From</t>
  </si>
  <si>
    <t xml:space="preserve">Discharge </t>
  </si>
  <si>
    <t xml:space="preserve">To </t>
  </si>
  <si>
    <t>Suction</t>
  </si>
  <si>
    <t>VFD Drive</t>
  </si>
  <si>
    <t>Speed Variation From</t>
  </si>
  <si>
    <t>UTILITY SYPPLY CONDITIONS</t>
  </si>
  <si>
    <t>EQUIPMENT DESIGN CONSIDERATION</t>
  </si>
  <si>
    <t>Design Pressure (Note 5)</t>
  </si>
  <si>
    <t xml:space="preserve">Design Pressure </t>
  </si>
  <si>
    <t>Air Cooler Inlet/Outlet Temp</t>
  </si>
  <si>
    <t>Exchanger Inlet/Outlet Temp</t>
  </si>
  <si>
    <t>Chilled Gas Re-Heater</t>
  </si>
  <si>
    <t>Suction Separator</t>
  </si>
  <si>
    <t>Discharge Separator</t>
  </si>
  <si>
    <t>Chiller Package</t>
  </si>
  <si>
    <t>Chilled Water Supply Press.</t>
  </si>
  <si>
    <t>Chilled Water Supply Temp.</t>
  </si>
  <si>
    <t>Chilled Water Return Temp. (Note 5)</t>
  </si>
  <si>
    <t>5. The temperature gradient between chiller water supply and return temperature shall not be more than 10 °F.</t>
  </si>
  <si>
    <t>Design Temperature (Note 6)</t>
  </si>
  <si>
    <t>Material of Construction (Note 7)</t>
  </si>
  <si>
    <t>Chilled Water Exchanger (Note 8)</t>
  </si>
  <si>
    <t xml:space="preserve">11. The compressor system to be HAZOP'ed immediately after the PID approval. As a minimum, the documents require for the HAZOP are, </t>
  </si>
  <si>
    <t>Yes/No</t>
  </si>
  <si>
    <t>approved PID, system description, brief control strategy, and Cause and Effect Diagrams.</t>
  </si>
  <si>
    <t>Aemetis DG Upgrading Facility</t>
  </si>
  <si>
    <r>
      <t xml:space="preserve">1. The inlet pressure specified is at the B/L of the compressor system (Low Pressure Separator inlet). 
2. The system shall be designed to handle a molecular weight variation of </t>
    </r>
    <r>
      <rPr>
        <sz val="10"/>
        <color theme="1"/>
        <rFont val="Calibri"/>
        <family val="2"/>
      </rPr>
      <t>±</t>
    </r>
    <r>
      <rPr>
        <sz val="10"/>
        <color theme="1"/>
        <rFont val="Calibri"/>
        <family val="2"/>
        <scheme val="minor"/>
      </rPr>
      <t>10%, while meeting the discharge conditions.</t>
    </r>
  </si>
  <si>
    <t>3. Estimated Temperature. Vendor to advise (VTA) the discharge temperature.
4. The compressor system shall be designed to minimize the oil carryover to maximum possible extent.</t>
  </si>
  <si>
    <t>Continuous</t>
  </si>
  <si>
    <t>13. All equipment tags, instruments tags, and line numbers with in the membrane skid shall have the unique identification</t>
  </si>
  <si>
    <t xml:space="preserve">Recycle Gas Compressor </t>
  </si>
  <si>
    <t>C-4001</t>
  </si>
  <si>
    <t>Permeate from 2nd Stage membrane</t>
  </si>
  <si>
    <t>D-003</t>
  </si>
  <si>
    <r>
      <t xml:space="preserve">1. The inlet pressure specified is at the B/L of the compressor system. 
2. The system shall be designed to handle a molecular weight variation of </t>
    </r>
    <r>
      <rPr>
        <sz val="10"/>
        <color theme="1"/>
        <rFont val="Calibri"/>
        <family val="2"/>
      </rPr>
      <t>±</t>
    </r>
    <r>
      <rPr>
        <sz val="10"/>
        <color theme="1"/>
        <rFont val="Calibri"/>
        <family val="2"/>
        <scheme val="minor"/>
      </rPr>
      <t>10%, while meeting the discharge conditions.</t>
    </r>
  </si>
  <si>
    <t>Oil Carryover (Note 5)</t>
  </si>
  <si>
    <t>7. The system material of construction shall be suitable for the given digester gas composition.</t>
  </si>
  <si>
    <t>Suction Separator (Note 8)</t>
  </si>
  <si>
    <t>9. All equipment tags, instruments tags, and line numbers associated with the Recycle Gas Compressor System shall have the unique</t>
  </si>
  <si>
    <t>identification number. Hence, a number series between 4,001 to 4,999 is reserved for the Recycle Gas Compressor System only, where "4"</t>
  </si>
  <si>
    <t>means "Recycle Gas Compressor System".</t>
  </si>
  <si>
    <t xml:space="preserve">10.  The Recycle Gas Compressor system shall be packaged on a skid with control panel/ HMI on the skid, skid wiring, piping, tubing, valves, </t>
  </si>
  <si>
    <t xml:space="preserve">identification number. Hence, a number series between 3,001 to 3,999 is reserved for the Feed Gas Compressor System only, where "3" </t>
  </si>
  <si>
    <t>means "Feed Gas Compressor System".</t>
  </si>
  <si>
    <t xml:space="preserve">Product Gas Compressor </t>
  </si>
  <si>
    <t>C-5001</t>
  </si>
  <si>
    <t>RNG</t>
  </si>
  <si>
    <t>D-004</t>
  </si>
  <si>
    <t>Driver Type</t>
  </si>
  <si>
    <t>Motor Driven</t>
  </si>
  <si>
    <t>Steam Turbine</t>
  </si>
  <si>
    <t xml:space="preserve">1. The inlet pressure specified is at the B/L of the compressor system. 
</t>
  </si>
  <si>
    <t xml:space="preserve">Adiabatic Temperature </t>
  </si>
  <si>
    <t>2.Discharge pressure require at the customer B/L.
3. The compressed product gas shall be cooled to specified temperature before leaving the system skid.</t>
  </si>
  <si>
    <t>SPM</t>
  </si>
  <si>
    <t>Bypass Valve</t>
  </si>
  <si>
    <t>RPM/RPM</t>
  </si>
  <si>
    <t>Chilled Water Return Temp. (Note 4)</t>
  </si>
  <si>
    <t>4. The temperature gradient between chiller water supply and return temperature shall not be more than 10 °F.</t>
  </si>
  <si>
    <t>Performance Curves</t>
  </si>
  <si>
    <t xml:space="preserve">5. Preliminary value. To be confirmed later.
6. The design temperature shall be system maximum operating temperature + 50 °F.
</t>
  </si>
  <si>
    <t>Re-Heater Inlet/ Outlet Temp (Note 9)</t>
  </si>
  <si>
    <t>Compressed Gas Air Cooler</t>
  </si>
  <si>
    <t>Discharge Separator (Note 8)</t>
  </si>
  <si>
    <t xml:space="preserve">8. Vendor to advise. 
</t>
  </si>
  <si>
    <t>identification number. Hence, a number series between 5,001 to 5,999 is reserved for the Product Gas Compressor System only, where "5"</t>
  </si>
  <si>
    <t>means "Product Gas Compressor System".</t>
  </si>
  <si>
    <t>Number of Stages</t>
  </si>
  <si>
    <t>Number of Chambers in each Stage</t>
  </si>
  <si>
    <t>Bypass valve</t>
  </si>
  <si>
    <t>Discharge Pulsation Damper (Note 8)</t>
  </si>
  <si>
    <t>Suction Pulsation Damper (Note 8)</t>
  </si>
  <si>
    <t>Rev. B</t>
  </si>
  <si>
    <t>Compressed Recycle Gas to Recycle Gas Air Cooled  After Cooler</t>
  </si>
  <si>
    <t>Compressed Cooled Recycle Gas to Feed Compressor</t>
  </si>
  <si>
    <t>.</t>
  </si>
  <si>
    <t xml:space="preserve">6. The feed compressor system design temperature shall be the maximum operating temperature + 50 °F 
</t>
  </si>
  <si>
    <t xml:space="preserve">Compressed Gas Air Cooler </t>
  </si>
  <si>
    <t>Chilled Water Exchanger</t>
  </si>
  <si>
    <t>Re-Heater Inlet/ Outlet Temp</t>
  </si>
  <si>
    <t>8. All equipment tags, instruments tags, and line numbers associated with the Feed Gas Compressor System shall have the unique</t>
  </si>
  <si>
    <t xml:space="preserve">9.  The Feed Gas Compressor system shall be packaged on a skid with control panel/ HMI on the skid, skid wiring, piping, tubing, valves, </t>
  </si>
  <si>
    <t xml:space="preserve">10. The compressor system to be HAZOP'ed immediately after the PID approval. As a minimum, the documents require for the HAZOP are, </t>
  </si>
  <si>
    <t>Temperature @ Comp Disch (Note 3)</t>
  </si>
  <si>
    <t>Temperature @ Skid Outlet</t>
  </si>
  <si>
    <t>Datasheet Status:</t>
  </si>
  <si>
    <t>Issued for Proposal</t>
  </si>
  <si>
    <t>Issued for Quotation</t>
  </si>
  <si>
    <t>Issued for Purchase</t>
  </si>
  <si>
    <t>Temperature @ Comp Disch (Note 4)</t>
  </si>
  <si>
    <t>Temperature @ Skid Outlet (Note 6)</t>
  </si>
  <si>
    <t>6. The recycle compressor system design temperature shall be the system maximum operating temperature + 50 °F.</t>
  </si>
  <si>
    <t>7. The temperature gradient between chiller water supply and return temperature shall not be more than 10 °F.</t>
  </si>
  <si>
    <t>Chilled Water Return Temp. (Note 7)</t>
  </si>
  <si>
    <t>Design Temperature (Note 8)</t>
  </si>
  <si>
    <t>8. The recycle compressor system design temperature shall be the system maximum operating temperature + 50 °F.</t>
  </si>
  <si>
    <t>Material of Construction (Note 9)</t>
  </si>
  <si>
    <t>9. The system material of construction shall be suitable for the given digester gas composition.</t>
  </si>
  <si>
    <t>Suction Separator (Note 10)</t>
  </si>
  <si>
    <t xml:space="preserve">10. The 2nd membrane permeate is recycle gas, which is very dry (Relative humidity &lt;4%). Vendor to confirm the suction and discharge scrubber requirement. 
</t>
  </si>
  <si>
    <t>Discharge Separator (Note 10)</t>
  </si>
  <si>
    <t>NA</t>
  </si>
  <si>
    <t>11. All equipment tags, instruments tags, and line numbers associated with the Recycle Gas Compressor System shall have the unique</t>
  </si>
  <si>
    <t xml:space="preserve">12.  The Recycle Gas Compressor system shall be packaged on a skid with control panel/ HMI on the skid, skid wiring, piping, tubing, valves, </t>
  </si>
  <si>
    <t xml:space="preserve">13. The compressor system to be HAZOP'ed immediately after the PID approval. As a minimum, the documents require for the HAZOP are, </t>
  </si>
  <si>
    <t>Waste Gas Blower</t>
  </si>
  <si>
    <t>C-6001</t>
  </si>
  <si>
    <t>Waste Gas from 1st Stage Membrane</t>
  </si>
  <si>
    <t>D-005</t>
  </si>
  <si>
    <t>xx</t>
  </si>
  <si>
    <t>3. The exact number to be confirmed later.
4. The blower discharge will be routed to thermal oxidizer. Hence, the cooling is not required, unless the discharge temperature is more than 200 °F. Exact limit on higher temperature to be confirmed later after receiving information on thermal oxidizer.</t>
  </si>
  <si>
    <t xml:space="preserve">8. The 1st Stage membrane permeate is waste gas, which is very dry (Relative humidity &lt;2%). Vendor to confirm the suction and discharge scrubber requirement. 
</t>
  </si>
  <si>
    <t xml:space="preserve">Re-Heater Inlet/ Outlet Temp </t>
  </si>
  <si>
    <t>9. All equipment tags, instruments tags, and line numbers associated with the Waste Gas Blower System shall have the unique</t>
  </si>
  <si>
    <t>identification number. Hence, a number series between 6,001 to 6,999 is reserved for the Waste Gas Blower System only, where "6"</t>
  </si>
  <si>
    <t>means "Waste Gas Blower System".</t>
  </si>
  <si>
    <t xml:space="preserve">10.  The Waste Gas Blower system shall be packaged on a skid with control panel/ HMI on the skid, skid wiring, piping, tubing, valves, </t>
  </si>
  <si>
    <t xml:space="preserve">11. The blower system to be HAZOP'ed immediately after the PID approval. As a minimum, the documents require for the HAZOP are, </t>
  </si>
  <si>
    <t>Slide Valve/ Inlet Guid Vanes</t>
  </si>
  <si>
    <t>Fittings</t>
  </si>
  <si>
    <t>90° Elbow</t>
  </si>
  <si>
    <t>Pipe 1</t>
  </si>
  <si>
    <t>K1</t>
  </si>
  <si>
    <t>K∞</t>
  </si>
  <si>
    <t>Kd</t>
  </si>
  <si>
    <t>Method</t>
  </si>
  <si>
    <t>Threaded, r/D = 1</t>
  </si>
  <si>
    <t>3K</t>
  </si>
  <si>
    <t>Threaded, Long Radius, r/D = 1.5</t>
  </si>
  <si>
    <t>Flanged, Welded, Bend, r/D = 1</t>
  </si>
  <si>
    <t>Flanged, Welded, Bend, r/D = 2</t>
  </si>
  <si>
    <t>Flanged, Welded, Bend, r/D = 4</t>
  </si>
  <si>
    <t>Flanged, Welded, Bend, r/D = 6</t>
  </si>
  <si>
    <t>Mitered, 1 Weld, 90°</t>
  </si>
  <si>
    <t>Mitered, 2 Weld, 45°</t>
  </si>
  <si>
    <t>Mitered, 3 Weld, 30°</t>
  </si>
  <si>
    <t>Mitered, 4 Weld, 22.5°</t>
  </si>
  <si>
    <t>2K</t>
  </si>
  <si>
    <t>Mitered, 5 Weld, 18°</t>
  </si>
  <si>
    <t>45° Elbow</t>
  </si>
  <si>
    <t>Standard, r/D = 1</t>
  </si>
  <si>
    <t>Long Radius, r/D = 1.5</t>
  </si>
  <si>
    <t>Mitered, 1 Weld, 45°</t>
  </si>
  <si>
    <t>Mitered, 2 Weld, 22.5°</t>
  </si>
  <si>
    <t>180° Bend</t>
  </si>
  <si>
    <t>Flanged/ Welded, r/D = 1</t>
  </si>
  <si>
    <t>Tees</t>
  </si>
  <si>
    <t>Standard, Threaded, r/D = 1</t>
  </si>
  <si>
    <t>Long Radius, Threaded, r/D = 1.5</t>
  </si>
  <si>
    <t>Standard, Flanged/Welded, r/D = 1</t>
  </si>
  <si>
    <t>Stub-in Branch</t>
  </si>
  <si>
    <t>Run Through Threaded, r/D = 1</t>
  </si>
  <si>
    <t>Run Through Flanged/Welded, r/D = 1</t>
  </si>
  <si>
    <t>Run Through Stub in Branch</t>
  </si>
  <si>
    <t>Valves</t>
  </si>
  <si>
    <t>Angle Valve = 45°, β = 1</t>
  </si>
  <si>
    <t>Angle Valve = 90°, β = 1</t>
  </si>
  <si>
    <t>Globe Valve, β = 1</t>
  </si>
  <si>
    <t>Plug Valve, Branch Flow</t>
  </si>
  <si>
    <t>Plug Valve, Straight Through</t>
  </si>
  <si>
    <t>Plug Valve, 3-way, Flow Through</t>
  </si>
  <si>
    <t>Gate Valve, β = 1</t>
  </si>
  <si>
    <t>Ball Valve, β = 1</t>
  </si>
  <si>
    <t>Butterfly Valve</t>
  </si>
  <si>
    <t>Diaphragm Valve, Dam Type</t>
  </si>
  <si>
    <t>Swing Check Valve</t>
  </si>
  <si>
    <t>Lift Check Valve</t>
  </si>
  <si>
    <t>Tilting Disk Check Valve</t>
  </si>
  <si>
    <t>Reducer</t>
  </si>
  <si>
    <t>Qty 1, Pipe 1</t>
  </si>
  <si>
    <t>Square Reduction</t>
  </si>
  <si>
    <t>Qty</t>
  </si>
  <si>
    <t>Tapered Reduction</t>
  </si>
  <si>
    <t xml:space="preserve">θ°
</t>
  </si>
  <si>
    <t>Rounded Pipe Reduction</t>
  </si>
  <si>
    <t>Orifice</t>
  </si>
  <si>
    <t>Thin Sharp Orifice</t>
  </si>
  <si>
    <t>Thick Orifice</t>
  </si>
  <si>
    <t>L , mm</t>
  </si>
  <si>
    <t>Expander</t>
  </si>
  <si>
    <t>Square Expansion</t>
  </si>
  <si>
    <t>Tapered Expansion</t>
  </si>
  <si>
    <t>Rounded Pipe Expansion</t>
  </si>
  <si>
    <t>Pipe Entrances</t>
  </si>
  <si>
    <t>Flush / Square Edged</t>
  </si>
  <si>
    <t>Rounded</t>
  </si>
  <si>
    <t>r / D</t>
  </si>
  <si>
    <t>Inward Projecting</t>
  </si>
  <si>
    <t>Chamfered</t>
  </si>
  <si>
    <t>Pipe Exits</t>
  </si>
  <si>
    <t>Pipe Exit</t>
  </si>
  <si>
    <t>Total K Value</t>
  </si>
  <si>
    <t>r/D</t>
  </si>
  <si>
    <t>K</t>
  </si>
  <si>
    <t>Calculation</t>
  </si>
  <si>
    <t>0.15+</t>
  </si>
  <si>
    <t>Hydraulics Performed</t>
  </si>
  <si>
    <t>Pipe/ Fitting/ Elevation Details</t>
  </si>
  <si>
    <t>Total Line length</t>
  </si>
  <si>
    <t>Pipe Elevation Change</t>
  </si>
  <si>
    <t>K Value for Fittings</t>
  </si>
  <si>
    <t>Head Losses</t>
  </si>
  <si>
    <t>Due to friction</t>
  </si>
  <si>
    <t>Due to Fittings</t>
  </si>
  <si>
    <t>Due to Elevation Change</t>
  </si>
  <si>
    <t>psi</t>
  </si>
  <si>
    <t>Total Pressure Drop</t>
  </si>
  <si>
    <t>D2 , in</t>
  </si>
  <si>
    <t>Nos. of Fittings</t>
  </si>
  <si>
    <t>Total Fitting Losses</t>
  </si>
  <si>
    <t>CH4, %</t>
  </si>
  <si>
    <t>CO2, %</t>
  </si>
  <si>
    <t>N2, %</t>
  </si>
  <si>
    <t>O2, %</t>
  </si>
  <si>
    <t>H2S, %</t>
  </si>
  <si>
    <t>H2S, ppmv</t>
  </si>
  <si>
    <t>H2O, %</t>
  </si>
  <si>
    <t>Aemetis Biofuels</t>
  </si>
  <si>
    <t>4209 Jessup Rd, Ceres, CA 95307</t>
  </si>
  <si>
    <t>Engineer:</t>
  </si>
  <si>
    <t>Feed Gas Compressor System</t>
  </si>
  <si>
    <t>Quantity</t>
  </si>
  <si>
    <t>One (1) Compressor at 100% Capacity</t>
  </si>
  <si>
    <t>Option: Two Compressors @ 50% Capacity</t>
  </si>
  <si>
    <t>Motor Driven: 460VAC/3ph/60Hz</t>
  </si>
  <si>
    <t>Other:___________________</t>
  </si>
  <si>
    <t>D-002 work with Block Flow Diagram P1.00 (BFD)</t>
  </si>
  <si>
    <t>INLET CONDITIONS (Stream 4 on BFD)</t>
  </si>
  <si>
    <t>DISCHARGE CONDITIONS (Stream 5 on BFD)</t>
  </si>
  <si>
    <t>Pressure @ Comp. system discharge (Note 1)</t>
  </si>
  <si>
    <t>Temperature @ Chiller/Reheat System Outlet</t>
  </si>
  <si>
    <t>Performance Data Sheet No.</t>
  </si>
  <si>
    <t>UTILITY SUPPLY CONDITIONS</t>
  </si>
  <si>
    <t>Chilled Water (CHW) Supply Press.</t>
  </si>
  <si>
    <t>Chilled Water (CHW) Supply Temp.</t>
  </si>
  <si>
    <t>Chilled Water (CHW) Return Temp. (Note 5)</t>
  </si>
  <si>
    <t>7. The system material of construction shall be suitable for the given digester gas composition and for continuous outdoor service at the project location.</t>
  </si>
  <si>
    <t>Other Requirements</t>
  </si>
  <si>
    <t>Parameters / Scope of supply</t>
  </si>
  <si>
    <t xml:space="preserve">Air Cooled Oil Cooler(s) </t>
  </si>
  <si>
    <t>8. CHW=Chilled Water/Propylene Glycol (35%). Vendor to advise recommended system components to meet performance criteria.
9. Refrigerant cooled CHW Chiller by others, VTA required CHW flowrate (GPM) for above CHW supply &amp; Return temperatures to achieve gas cooling specified for all ambient and process conditions given.</t>
  </si>
  <si>
    <t>Compressed Gas Air Cooled Aftercooler</t>
  </si>
  <si>
    <t>Aftercooler Inlet/Outlet Temps.</t>
  </si>
  <si>
    <t>Compressed Gas CHW cooled Chiller (Note 8)</t>
  </si>
  <si>
    <t>CHW cooled Gas Chiller Inlet/Outlet Temps.</t>
  </si>
  <si>
    <t>Skid Design (state skid packages in quotation)</t>
  </si>
  <si>
    <t>Refrigerant Cooled CHW Chiller (Note 9)</t>
  </si>
  <si>
    <t xml:space="preserve">Automated Control System </t>
  </si>
  <si>
    <t>10. All equipment tags, instruments tags, and line numbers associated with the Feed Gas Compressor System shall have the unique</t>
  </si>
  <si>
    <t>11. Piping &amp; Instrumentation Diagrams to comply with ANSI/ISA-5.1-2009 standard "Instrumentation Symbols and Identification"</t>
  </si>
  <si>
    <t xml:space="preserve">12.  The Feed Gas Compressor system shall be packaged on a skid with control panel/ HMI on the skid, skid wiring, piping, tubing, valves, </t>
  </si>
  <si>
    <t xml:space="preserve">13. Vendor to perform HAZOP (PHA) on the compressor system immediately after the PID approval. As a minimum, the documents required for </t>
  </si>
  <si>
    <t>the HAZOP are, approved PID, system description, brief control strategy, and Cause and Effect Diagrams.</t>
  </si>
  <si>
    <t>Date: 2/28/2020</t>
  </si>
  <si>
    <r>
      <t xml:space="preserve">1. The inlet and outlet pressure specified is at the B/L of the compressor system (Low Pressure Separator inlet and re-heater outlet respectively). Performance based on Normal &amp; Minimum pressures. Confirm mechanical design for Maximum inlet pressure. </t>
    </r>
    <r>
      <rPr>
        <sz val="10"/>
        <color rgb="FFFF0000"/>
        <rFont val="Calibri"/>
        <family val="2"/>
        <scheme val="minor"/>
      </rPr>
      <t>Rev. B</t>
    </r>
    <r>
      <rPr>
        <sz val="10"/>
        <color theme="1"/>
        <rFont val="Calibri"/>
        <family val="2"/>
        <scheme val="minor"/>
      </rPr>
      <t xml:space="preserve">
2. The system shall be designed to handle a molecular weight variation of </t>
    </r>
    <r>
      <rPr>
        <sz val="10"/>
        <color theme="1"/>
        <rFont val="Calibri"/>
        <family val="2"/>
      </rPr>
      <t>±</t>
    </r>
    <r>
      <rPr>
        <sz val="10"/>
        <color theme="1"/>
        <rFont val="Calibri"/>
        <family val="2"/>
        <scheme val="minor"/>
      </rPr>
      <t>10%, while meeting the discharge conditions.</t>
    </r>
  </si>
  <si>
    <t>Recycle Gas Compressor System</t>
  </si>
  <si>
    <t>Other:_________________</t>
  </si>
  <si>
    <t>D-003  work with Block Flow Diagram P1.00 (BFD)</t>
  </si>
  <si>
    <t>INLET CONDITIONS (Stream 13 on BFD)</t>
  </si>
  <si>
    <t>DISCHARGE CONDITIONS (Stream 15 on BFD)</t>
  </si>
  <si>
    <t xml:space="preserve">Performance Data Sheet no. </t>
  </si>
  <si>
    <t>7. The recycle compressor system design temperature shall be the system maximum operating temperature + 50 °F.</t>
  </si>
  <si>
    <t>8. The system material of construction shall be suitable for the given digester gas composition and for continuous outdoor service at the project location.</t>
  </si>
  <si>
    <t xml:space="preserve">9. The 2nd membrane permeate is recycle gas, which is very dry (Relative humidity &lt;4%). Vendor to confirm the suction and discharge scrubber requirement. </t>
  </si>
  <si>
    <t>Suction Separator (Note 9)</t>
  </si>
  <si>
    <t>Discharge Separator (Note 9)</t>
  </si>
  <si>
    <t xml:space="preserve">Compressed Gas Air Cooled Aftercooler </t>
  </si>
  <si>
    <t>Automated Control System</t>
  </si>
  <si>
    <t>10. All equipment tags, instruments tags, and line numbers associated with the Recycle Gas Compressor System shall have the unique</t>
  </si>
  <si>
    <t>3. The recycle gas compressor discharge pressure is floating with Feed Gas Compressor discharge pressure.
4. Estimated Temperature. Vendor to advise (VTA) the discharge temperature.
5. The compressor system shall be designed to minimize the oil carryover to maximum possible extent.
6. Assuming 20 °F approach temperature.</t>
  </si>
  <si>
    <r>
      <t xml:space="preserve">3. The recycle gas compressor discharge pressure is floating with Feed Gas Compressor suction pressure.
4. Estimated Temperature. Vendor to advise (VTA) the discharge temperature.
5. The compressor system shall be designed to minimize the oil carryover to maximum possible extent.
6. Assuming 20 °F approach temperature. </t>
    </r>
    <r>
      <rPr>
        <sz val="10"/>
        <color rgb="FFFF0000"/>
        <rFont val="Calibri"/>
        <family val="2"/>
        <scheme val="minor"/>
      </rPr>
      <t>Rev. B</t>
    </r>
  </si>
  <si>
    <t>Motor Driven, 460VAC/3ph/60Hz</t>
  </si>
  <si>
    <t>Other:________________</t>
  </si>
  <si>
    <t>D-004 work with Block Flow Diagram P1.00 (BFD)</t>
  </si>
  <si>
    <t>INLET CONDITIONS (Stream 17 on BFD)</t>
  </si>
  <si>
    <t>DISCHARGE CONDITIONS (Stream 20 on BFD, unless noted otherwise)</t>
  </si>
  <si>
    <t>2.Discharge pressure required at the customer B/L.
3. The compressed product gas shall be cooled to specified temperature before leaving the system skid.</t>
  </si>
  <si>
    <t>Compressor Discharge Temp. (Stream18)</t>
  </si>
  <si>
    <t>Temperature @ System Discharge</t>
  </si>
  <si>
    <t>Performance Data Sheet no.</t>
  </si>
  <si>
    <t>Note 7</t>
  </si>
  <si>
    <t>`</t>
  </si>
  <si>
    <t>Refrigerant Cooled CHW Chiller</t>
  </si>
  <si>
    <t xml:space="preserve">Suction Separator </t>
  </si>
  <si>
    <t xml:space="preserve">Suction Pulsation Damper </t>
  </si>
  <si>
    <t xml:space="preserve">Discharge Pulsation Damper </t>
  </si>
  <si>
    <r>
      <rPr>
        <b/>
        <sz val="9.5"/>
        <rFont val="Calibri"/>
        <family val="2"/>
      </rPr>
      <t>PROJECT INFORMATION</t>
    </r>
  </si>
  <si>
    <r>
      <rPr>
        <sz val="9.5"/>
        <rFont val="Calibri"/>
        <family val="2"/>
      </rPr>
      <t>Owner:</t>
    </r>
  </si>
  <si>
    <r>
      <rPr>
        <sz val="9.5"/>
        <rFont val="Calibri"/>
        <family val="2"/>
      </rPr>
      <t>Aemetis Inc.</t>
    </r>
  </si>
  <si>
    <t>Date: 3/4/2020</t>
  </si>
  <si>
    <r>
      <rPr>
        <sz val="9.5"/>
        <rFont val="Calibri"/>
        <family val="2"/>
      </rPr>
      <t>Project:</t>
    </r>
  </si>
  <si>
    <r>
      <rPr>
        <sz val="9.5"/>
        <rFont val="Calibri"/>
        <family val="2"/>
      </rPr>
      <t>Aemetis DG Upgrading Facility</t>
    </r>
  </si>
  <si>
    <r>
      <rPr>
        <sz val="9.5"/>
        <rFont val="Calibri"/>
        <family val="2"/>
      </rPr>
      <t>Location:</t>
    </r>
  </si>
  <si>
    <r>
      <rPr>
        <sz val="9.5"/>
        <rFont val="Calibri"/>
        <family val="2"/>
      </rPr>
      <t>Ceres, California</t>
    </r>
  </si>
  <si>
    <r>
      <rPr>
        <sz val="9.5"/>
        <rFont val="Calibri"/>
        <family val="2"/>
      </rPr>
      <t>Prep. by</t>
    </r>
  </si>
  <si>
    <r>
      <rPr>
        <sz val="9.5"/>
        <rFont val="Calibri"/>
        <family val="2"/>
      </rPr>
      <t>Chk by</t>
    </r>
  </si>
  <si>
    <r>
      <rPr>
        <sz val="9.5"/>
        <rFont val="Calibri"/>
        <family val="2"/>
      </rPr>
      <t>App by</t>
    </r>
  </si>
  <si>
    <r>
      <rPr>
        <sz val="9.5"/>
        <rFont val="Calibri"/>
        <family val="2"/>
      </rPr>
      <t>Rev.</t>
    </r>
  </si>
  <si>
    <r>
      <rPr>
        <sz val="9.5"/>
        <rFont val="Calibri"/>
        <family val="2"/>
      </rPr>
      <t>Contractor:</t>
    </r>
  </si>
  <si>
    <r>
      <rPr>
        <sz val="9.5"/>
        <rFont val="Calibri"/>
        <family val="2"/>
      </rPr>
      <t>BIOGAS ENGINEERING INC.</t>
    </r>
  </si>
  <si>
    <r>
      <rPr>
        <sz val="9.5"/>
        <rFont val="Calibri"/>
        <family val="2"/>
      </rPr>
      <t>TW</t>
    </r>
  </si>
  <si>
    <t>E</t>
  </si>
  <si>
    <r>
      <rPr>
        <b/>
        <sz val="9.5"/>
        <rFont val="Calibri"/>
        <family val="2"/>
      </rPr>
      <t>SYSTEM DESCRIPTION</t>
    </r>
  </si>
  <si>
    <r>
      <rPr>
        <sz val="9.5"/>
        <rFont val="Calibri"/>
        <family val="2"/>
      </rPr>
      <t>Specification Name:</t>
    </r>
  </si>
  <si>
    <r>
      <rPr>
        <sz val="9.5"/>
        <rFont val="Calibri"/>
        <family val="2"/>
      </rPr>
      <t>Digester Gas CO2 Removal System (Membrane Technology)</t>
    </r>
  </si>
  <si>
    <r>
      <rPr>
        <sz val="9.5"/>
        <rFont val="Calibri"/>
        <family val="2"/>
      </rPr>
      <t>PFD Equipment Tags:</t>
    </r>
  </si>
  <si>
    <r>
      <rPr>
        <sz val="9.5"/>
        <rFont val="Calibri"/>
        <family val="2"/>
      </rPr>
      <t>1st Stage Membranes (MF‐2001)/ 2nd Stage Membranes (MF‐2002)</t>
    </r>
  </si>
  <si>
    <r>
      <rPr>
        <sz val="9.5"/>
        <rFont val="Calibri"/>
        <family val="2"/>
      </rPr>
      <t>Equipment Service</t>
    </r>
  </si>
  <si>
    <r>
      <rPr>
        <sz val="9.5"/>
        <rFont val="Calibri"/>
        <family val="2"/>
      </rPr>
      <t>Digester Gas</t>
    </r>
  </si>
  <si>
    <r>
      <rPr>
        <sz val="9.5"/>
        <rFont val="Calibri"/>
        <family val="2"/>
      </rPr>
      <t>Datasheet No:</t>
    </r>
  </si>
  <si>
    <r>
      <rPr>
        <sz val="9.5"/>
        <rFont val="Calibri"/>
        <family val="2"/>
      </rPr>
      <t>D‐001  work with Block Flow Diagram (BFD) P1.00</t>
    </r>
  </si>
  <si>
    <r>
      <rPr>
        <b/>
        <sz val="9.5"/>
        <rFont val="Calibri"/>
        <family val="2"/>
      </rPr>
      <t>Parameters</t>
    </r>
  </si>
  <si>
    <r>
      <rPr>
        <b/>
        <sz val="9.5"/>
        <rFont val="Calibri"/>
        <family val="2"/>
      </rPr>
      <t>Units</t>
    </r>
  </si>
  <si>
    <r>
      <rPr>
        <b/>
        <sz val="9.5"/>
        <rFont val="Calibri"/>
        <family val="2"/>
      </rPr>
      <t>Maximum</t>
    </r>
  </si>
  <si>
    <r>
      <rPr>
        <b/>
        <sz val="9.5"/>
        <rFont val="Calibri"/>
        <family val="2"/>
      </rPr>
      <t>Normal</t>
    </r>
  </si>
  <si>
    <r>
      <rPr>
        <b/>
        <sz val="9.5"/>
        <rFont val="Calibri"/>
        <family val="2"/>
      </rPr>
      <t>Minimum</t>
    </r>
  </si>
  <si>
    <r>
      <rPr>
        <b/>
        <sz val="9.5"/>
        <rFont val="Calibri"/>
        <family val="2"/>
      </rPr>
      <t>NOTES</t>
    </r>
  </si>
  <si>
    <r>
      <rPr>
        <sz val="9.5"/>
        <rFont val="Calibri"/>
        <family val="2"/>
      </rPr>
      <t>Volumetric Flowrate</t>
    </r>
  </si>
  <si>
    <r>
      <rPr>
        <sz val="9.5"/>
        <rFont val="Calibri"/>
        <family val="2"/>
      </rPr>
      <t>SCFM</t>
    </r>
  </si>
  <si>
    <r>
      <rPr>
        <sz val="9.5"/>
        <rFont val="Calibri"/>
        <family val="2"/>
      </rPr>
      <t xml:space="preserve">1. The parameters specified is for the digester gas entering to the upgrading facility from the Pipeline.
</t>
    </r>
    <r>
      <rPr>
        <b/>
        <sz val="9.5"/>
        <rFont val="Calibri"/>
        <family val="2"/>
      </rPr>
      <t>Prior to entering the Pipeline the gas is cooled to 50°F at 125psig.</t>
    </r>
  </si>
  <si>
    <r>
      <rPr>
        <sz val="9.5"/>
        <rFont val="Calibri"/>
        <family val="2"/>
      </rPr>
      <t>Pressure (Note 1)</t>
    </r>
  </si>
  <si>
    <r>
      <rPr>
        <sz val="9.5"/>
        <rFont val="Calibri"/>
        <family val="2"/>
      </rPr>
      <t>PSIG</t>
    </r>
  </si>
  <si>
    <r>
      <rPr>
        <sz val="9.5"/>
        <rFont val="Calibri"/>
        <family val="2"/>
      </rPr>
      <t>Temperature (Note 1)</t>
    </r>
  </si>
  <si>
    <r>
      <rPr>
        <sz val="9.5"/>
        <rFont val="Calibri"/>
        <family val="2"/>
      </rPr>
      <t>°F</t>
    </r>
  </si>
  <si>
    <r>
      <rPr>
        <b/>
        <sz val="9.5"/>
        <rFont val="Calibri"/>
        <family val="2"/>
      </rPr>
      <t>Composition</t>
    </r>
  </si>
  <si>
    <r>
      <rPr>
        <sz val="9.5"/>
        <rFont val="Calibri"/>
        <family val="2"/>
      </rPr>
      <t>Methane (CH</t>
    </r>
    <r>
      <rPr>
        <vertAlign val="subscript"/>
        <sz val="9.5"/>
        <rFont val="Calibri"/>
        <family val="2"/>
      </rPr>
      <t>4</t>
    </r>
    <r>
      <rPr>
        <sz val="9.5"/>
        <rFont val="Calibri"/>
        <family val="2"/>
      </rPr>
      <t>)</t>
    </r>
  </si>
  <si>
    <r>
      <rPr>
        <sz val="9.5"/>
        <rFont val="Calibri"/>
        <family val="2"/>
      </rPr>
      <t>Vol%</t>
    </r>
  </si>
  <si>
    <r>
      <rPr>
        <sz val="9.5"/>
        <rFont val="Calibri"/>
        <family val="2"/>
      </rPr>
      <t>Carbon Dioxide (CO</t>
    </r>
    <r>
      <rPr>
        <vertAlign val="subscript"/>
        <sz val="9.5"/>
        <rFont val="Calibri"/>
        <family val="2"/>
      </rPr>
      <t>2</t>
    </r>
    <r>
      <rPr>
        <sz val="9.5"/>
        <rFont val="Calibri"/>
        <family val="2"/>
      </rPr>
      <t>)</t>
    </r>
  </si>
  <si>
    <r>
      <rPr>
        <sz val="9.5"/>
        <rFont val="Calibri"/>
        <family val="2"/>
      </rPr>
      <t>Nitrogen (N</t>
    </r>
    <r>
      <rPr>
        <vertAlign val="subscript"/>
        <sz val="9.5"/>
        <rFont val="Calibri"/>
        <family val="2"/>
      </rPr>
      <t>2</t>
    </r>
    <r>
      <rPr>
        <sz val="9.5"/>
        <rFont val="Calibri"/>
        <family val="2"/>
      </rPr>
      <t>)</t>
    </r>
  </si>
  <si>
    <r>
      <rPr>
        <sz val="9.5"/>
        <rFont val="Calibri"/>
        <family val="2"/>
      </rPr>
      <t>Oxygen (O</t>
    </r>
    <r>
      <rPr>
        <vertAlign val="subscript"/>
        <sz val="9.5"/>
        <rFont val="Calibri"/>
        <family val="2"/>
      </rPr>
      <t>2</t>
    </r>
    <r>
      <rPr>
        <sz val="9.5"/>
        <rFont val="Calibri"/>
        <family val="2"/>
      </rPr>
      <t>)</t>
    </r>
  </si>
  <si>
    <r>
      <rPr>
        <sz val="9.5"/>
        <rFont val="Calibri"/>
        <family val="2"/>
      </rPr>
      <t>Hydrogen Sulfide (H</t>
    </r>
    <r>
      <rPr>
        <vertAlign val="subscript"/>
        <sz val="9.5"/>
        <rFont val="Calibri"/>
        <family val="2"/>
      </rPr>
      <t>2</t>
    </r>
    <r>
      <rPr>
        <sz val="9.5"/>
        <rFont val="Calibri"/>
        <family val="2"/>
      </rPr>
      <t>S)</t>
    </r>
  </si>
  <si>
    <r>
      <rPr>
        <sz val="9.5"/>
        <rFont val="Calibri"/>
        <family val="2"/>
      </rPr>
      <t>Water (H</t>
    </r>
    <r>
      <rPr>
        <vertAlign val="subscript"/>
        <sz val="9.5"/>
        <rFont val="Calibri"/>
        <family val="2"/>
      </rPr>
      <t>2</t>
    </r>
    <r>
      <rPr>
        <sz val="9.5"/>
        <rFont val="Calibri"/>
        <family val="2"/>
      </rPr>
      <t>O)</t>
    </r>
  </si>
  <si>
    <r>
      <rPr>
        <sz val="9.5"/>
        <rFont val="Calibri"/>
        <family val="2"/>
      </rPr>
      <t>VOC &amp; Siloxanes</t>
    </r>
  </si>
  <si>
    <r>
      <rPr>
        <sz val="9.5"/>
        <rFont val="Calibri"/>
        <family val="2"/>
      </rPr>
      <t>Non‐Detect</t>
    </r>
  </si>
  <si>
    <r>
      <rPr>
        <sz val="9.5"/>
        <rFont val="Calibri"/>
        <family val="2"/>
      </rPr>
      <t>Volumetric Flowrate (Note 2)</t>
    </r>
  </si>
  <si>
    <r>
      <rPr>
        <sz val="9.5"/>
        <rFont val="Calibri"/>
        <family val="2"/>
      </rPr>
      <t xml:space="preserve">2. Vendor to advise / confirm recycle flow and composition.
</t>
    </r>
    <r>
      <rPr>
        <sz val="9.5"/>
        <rFont val="Calibri"/>
        <family val="2"/>
      </rPr>
      <t xml:space="preserve">3. Vendor to advise required inlet Feed Pressure. A Recycle compressor and aftercooler will be provided by others, to the mix point with the raw feed DG.
</t>
    </r>
    <r>
      <rPr>
        <sz val="9.5"/>
        <rFont val="Calibri"/>
        <family val="2"/>
      </rPr>
      <t>4. The system shall be designed to handle a variation of ±10% in CH4 and CO2 concentration, while meeting the required Product Specification.</t>
    </r>
  </si>
  <si>
    <r>
      <rPr>
        <sz val="9.5"/>
        <rFont val="Calibri"/>
        <family val="2"/>
      </rPr>
      <t>Pressure (Note 3)</t>
    </r>
  </si>
  <si>
    <r>
      <rPr>
        <sz val="9.5"/>
        <rFont val="Calibri"/>
        <family val="2"/>
      </rPr>
      <t>Temperature (Note 2)</t>
    </r>
  </si>
  <si>
    <r>
      <rPr>
        <sz val="9.5"/>
        <rFont val="Calibri"/>
        <family val="2"/>
      </rPr>
      <t>VTA</t>
    </r>
  </si>
  <si>
    <r>
      <rPr>
        <b/>
        <sz val="9.5"/>
        <rFont val="Calibri"/>
        <family val="2"/>
      </rPr>
      <t>Composition (Note 3,4)</t>
    </r>
  </si>
  <si>
    <r>
      <rPr>
        <sz val="9.5"/>
        <rFont val="Calibri"/>
        <family val="2"/>
      </rPr>
      <t>ppmv</t>
    </r>
  </si>
  <si>
    <r>
      <rPr>
        <sz val="9.5"/>
        <rFont val="Calibri"/>
        <family val="2"/>
      </rPr>
      <t xml:space="preserve">5. The product gas (Stream No. 16 on BFD) shall meet the Pacific Gas and Electric (PG&amp;E), Rule 21 pipeline quality specifications.
</t>
    </r>
    <r>
      <rPr>
        <sz val="9.5"/>
        <rFont val="Calibri"/>
        <family val="2"/>
      </rPr>
      <t xml:space="preserve">6.  A Product Gas Compressor with gas cooling system will be provided to compress/ cool the product gas from 2nd Stage membrane to desired pressure/ temperature conditions.
</t>
    </r>
    <r>
      <rPr>
        <sz val="9.5"/>
        <rFont val="Calibri"/>
        <family val="2"/>
      </rPr>
      <t xml:space="preserve">7. Vendor to provide the actual energy
</t>
    </r>
    <r>
      <rPr>
        <sz val="9.5"/>
        <rFont val="Calibri"/>
        <family val="2"/>
      </rPr>
      <t>content in product gas.</t>
    </r>
  </si>
  <si>
    <r>
      <rPr>
        <sz val="9.5"/>
        <rFont val="Calibri"/>
        <family val="2"/>
      </rPr>
      <t>Pressure (Note 6)</t>
    </r>
  </si>
  <si>
    <r>
      <rPr>
        <sz val="9.5"/>
        <rFont val="Calibri"/>
        <family val="2"/>
      </rPr>
      <t>Temperature (Note 6)</t>
    </r>
  </si>
  <si>
    <r>
      <rPr>
        <sz val="9.5"/>
        <rFont val="Calibri"/>
        <family val="2"/>
      </rPr>
      <t>Energy Content (Note 5, 7)</t>
    </r>
  </si>
  <si>
    <r>
      <rPr>
        <sz val="9.5"/>
        <rFont val="Calibri"/>
        <family val="2"/>
      </rPr>
      <t>BTU/SCF</t>
    </r>
  </si>
  <si>
    <t>≥980</t>
  </si>
  <si>
    <r>
      <rPr>
        <sz val="9.5"/>
        <rFont val="Calibri"/>
        <family val="2"/>
      </rPr>
      <t>Methane Recovery</t>
    </r>
  </si>
  <si>
    <r>
      <rPr>
        <sz val="9.5"/>
        <rFont val="Calibri"/>
        <family val="2"/>
      </rPr>
      <t>%</t>
    </r>
  </si>
  <si>
    <r>
      <rPr>
        <sz val="9.5"/>
        <rFont val="Calibri"/>
        <family val="2"/>
      </rPr>
      <t>≥98</t>
    </r>
  </si>
  <si>
    <r>
      <rPr>
        <b/>
        <sz val="9.5"/>
        <rFont val="Calibri"/>
        <family val="2"/>
      </rPr>
      <t>Composition (Note 5)</t>
    </r>
  </si>
  <si>
    <r>
      <rPr>
        <sz val="9.5"/>
        <rFont val="Calibri"/>
        <family val="2"/>
      </rPr>
      <t>&lt;1</t>
    </r>
  </si>
  <si>
    <r>
      <rPr>
        <sz val="9.5"/>
        <rFont val="Calibri"/>
        <family val="2"/>
      </rPr>
      <t>&lt;0.1</t>
    </r>
  </si>
  <si>
    <r>
      <rPr>
        <sz val="9.5"/>
        <rFont val="Calibri"/>
        <family val="2"/>
      </rPr>
      <t>&lt;4</t>
    </r>
  </si>
  <si>
    <r>
      <rPr>
        <sz val="9.5"/>
        <rFont val="Calibri"/>
        <family val="2"/>
      </rPr>
      <t>lb/MMSCF</t>
    </r>
  </si>
  <si>
    <r>
      <rPr>
        <sz val="9.5"/>
        <rFont val="Calibri"/>
        <family val="2"/>
      </rPr>
      <t>&lt;7</t>
    </r>
  </si>
  <si>
    <r>
      <rPr>
        <sz val="9.5"/>
        <rFont val="Calibri"/>
        <family val="2"/>
      </rPr>
      <t>Siloxanes</t>
    </r>
  </si>
  <si>
    <r>
      <rPr>
        <sz val="9.5"/>
        <rFont val="Calibri"/>
        <family val="2"/>
      </rPr>
      <t>Non‐Detectable</t>
    </r>
  </si>
  <si>
    <t xml:space="preserve">NOTES </t>
  </si>
  <si>
    <r>
      <rPr>
        <sz val="9.5"/>
        <rFont val="Calibri"/>
        <family val="2"/>
      </rPr>
      <t>9. The waste gas (stream no. 12) will be routed to thermal oxidizer. The pressures listed are the anticipated back pressure on the waste stream. Vendor to advise optimum and maximum back pressures.</t>
    </r>
  </si>
  <si>
    <r>
      <rPr>
        <sz val="9.5"/>
        <rFont val="Calibri"/>
        <family val="2"/>
      </rPr>
      <t>Pressure (Note 9)</t>
    </r>
  </si>
  <si>
    <r>
      <rPr>
        <sz val="9.5"/>
        <rFont val="Calibri"/>
        <family val="2"/>
      </rPr>
      <t>Temperature</t>
    </r>
  </si>
  <si>
    <r>
      <rPr>
        <sz val="9.5"/>
        <rFont val="Calibri"/>
        <family val="2"/>
      </rPr>
      <t>Recycle Ratio</t>
    </r>
  </si>
  <si>
    <r>
      <rPr>
        <sz val="9.5"/>
        <rFont val="Calibri"/>
        <family val="2"/>
      </rPr>
      <t>Pressure (Note 10)</t>
    </r>
  </si>
  <si>
    <r>
      <rPr>
        <b/>
        <sz val="9.5"/>
        <rFont val="Calibri"/>
        <family val="2"/>
      </rPr>
      <t>PROCESS_UTILITY SYPPLY CONDITIONS</t>
    </r>
  </si>
  <si>
    <r>
      <rPr>
        <sz val="9.5"/>
        <rFont val="Calibri"/>
        <family val="2"/>
      </rPr>
      <t>Instrument Air Supply Press.</t>
    </r>
  </si>
  <si>
    <r>
      <rPr>
        <sz val="9.5"/>
        <rFont val="Calibri"/>
        <family val="2"/>
      </rPr>
      <t>psig</t>
    </r>
  </si>
  <si>
    <r>
      <rPr>
        <sz val="9.5"/>
        <rFont val="Calibri"/>
        <family val="2"/>
      </rPr>
      <t>Instrument Air Supply Temp</t>
    </r>
  </si>
  <si>
    <r>
      <rPr>
        <b/>
        <sz val="9.5"/>
        <rFont val="Calibri"/>
        <family val="2"/>
      </rPr>
      <t>MECHANICAL_EQUIPMENT DESIGN CONSIDERATION</t>
    </r>
  </si>
  <si>
    <r>
      <rPr>
        <b/>
        <sz val="9.5"/>
        <rFont val="Calibri"/>
        <family val="2"/>
      </rPr>
      <t>Value</t>
    </r>
  </si>
  <si>
    <r>
      <rPr>
        <sz val="9.5"/>
        <rFont val="Calibri"/>
        <family val="2"/>
      </rPr>
      <t>Design Pressure</t>
    </r>
  </si>
  <si>
    <r>
      <rPr>
        <sz val="9.5"/>
        <rFont val="Calibri"/>
        <family val="2"/>
      </rPr>
      <t>Design Temperature</t>
    </r>
  </si>
  <si>
    <r>
      <rPr>
        <sz val="9.5"/>
        <rFont val="Calibri"/>
        <family val="2"/>
      </rPr>
      <t>Vacuum Condition</t>
    </r>
  </si>
  <si>
    <r>
      <rPr>
        <sz val="9.5"/>
        <rFont val="Calibri"/>
        <family val="2"/>
      </rPr>
      <t>FV @ 112 °F</t>
    </r>
  </si>
  <si>
    <r>
      <rPr>
        <sz val="9.5"/>
        <rFont val="Calibri"/>
        <family val="2"/>
      </rPr>
      <t>Material of Construction</t>
    </r>
  </si>
  <si>
    <r>
      <rPr>
        <sz val="9.5"/>
        <rFont val="Calibri"/>
        <family val="2"/>
      </rPr>
      <t>Note 11</t>
    </r>
  </si>
  <si>
    <r>
      <rPr>
        <sz val="9.5"/>
        <rFont val="Calibri"/>
        <family val="2"/>
      </rPr>
      <t>Electrical Classification Area:</t>
    </r>
  </si>
  <si>
    <r>
      <rPr>
        <b/>
        <sz val="9.5"/>
        <rFont val="Calibri"/>
        <family val="2"/>
      </rPr>
      <t>SITE CONDITIONS</t>
    </r>
  </si>
  <si>
    <r>
      <rPr>
        <sz val="9.5"/>
        <rFont val="Calibri"/>
        <family val="2"/>
      </rPr>
      <t>Site Elevation</t>
    </r>
  </si>
  <si>
    <r>
      <rPr>
        <sz val="9.5"/>
        <rFont val="Calibri"/>
        <family val="2"/>
      </rPr>
      <t>ft</t>
    </r>
  </si>
  <si>
    <r>
      <rPr>
        <sz val="9.5"/>
        <rFont val="Calibri"/>
        <family val="2"/>
      </rPr>
      <t>Low Ambient Temperature</t>
    </r>
  </si>
  <si>
    <r>
      <rPr>
        <sz val="9.5"/>
        <rFont val="Calibri"/>
        <family val="2"/>
      </rPr>
      <t>High Ambient Temperature</t>
    </r>
  </si>
  <si>
    <r>
      <rPr>
        <sz val="9.5"/>
        <rFont val="Calibri"/>
        <family val="2"/>
      </rPr>
      <t>Equipment Location</t>
    </r>
  </si>
  <si>
    <r>
      <rPr>
        <sz val="9.5"/>
        <rFont val="Calibri"/>
        <family val="2"/>
      </rPr>
      <t>Outdoor</t>
    </r>
  </si>
  <si>
    <r>
      <rPr>
        <sz val="9.5"/>
        <rFont val="Calibri"/>
        <family val="2"/>
      </rPr>
      <t>Operation</t>
    </r>
  </si>
  <si>
    <r>
      <rPr>
        <sz val="9.5"/>
        <rFont val="Calibri"/>
        <family val="2"/>
      </rPr>
      <t>Continuous</t>
    </r>
  </si>
  <si>
    <r>
      <rPr>
        <b/>
        <sz val="9.5"/>
        <rFont val="Calibri"/>
        <family val="2"/>
      </rPr>
      <t>Other Requirement</t>
    </r>
  </si>
  <si>
    <r>
      <rPr>
        <b/>
        <sz val="9.5"/>
        <rFont val="Calibri"/>
        <family val="2"/>
      </rPr>
      <t>Yes</t>
    </r>
  </si>
  <si>
    <r>
      <rPr>
        <b/>
        <sz val="9.5"/>
        <rFont val="Calibri"/>
        <family val="2"/>
      </rPr>
      <t>No</t>
    </r>
  </si>
  <si>
    <r>
      <rPr>
        <sz val="9.5"/>
        <rFont val="Calibri"/>
        <family val="2"/>
      </rPr>
      <t>Yes/No</t>
    </r>
  </si>
  <si>
    <r>
      <rPr>
        <sz val="9.5"/>
        <rFont val="Calibri"/>
        <family val="2"/>
      </rPr>
      <t>Coalescer Filter</t>
    </r>
  </si>
  <si>
    <r>
      <rPr>
        <sz val="9.5"/>
        <rFont val="Calibri"/>
        <family val="2"/>
      </rPr>
      <t>Hot Gas Inlet Temp, 2nd Stage</t>
    </r>
  </si>
  <si>
    <r>
      <rPr>
        <sz val="9.5"/>
        <rFont val="Calibri"/>
        <family val="2"/>
      </rPr>
      <t>Skid Design</t>
    </r>
  </si>
  <si>
    <r>
      <rPr>
        <sz val="9.5"/>
        <rFont val="Calibri"/>
        <family val="2"/>
      </rPr>
      <t>Flexibility to add Membranes</t>
    </r>
  </si>
  <si>
    <r>
      <rPr>
        <sz val="9.5"/>
        <rFont val="Calibri"/>
        <family val="2"/>
      </rPr>
      <t>Advanced Control System</t>
    </r>
  </si>
  <si>
    <r>
      <rPr>
        <b/>
        <sz val="9.5"/>
        <rFont val="Calibri"/>
        <family val="2"/>
      </rPr>
      <t>Additional Notes</t>
    </r>
  </si>
  <si>
    <r>
      <rPr>
        <sz val="9.5"/>
        <rFont val="Calibri"/>
        <family val="2"/>
      </rPr>
      <t>number. Hence, A number series between 2,001 to 2,999 is reserved for Air Liquide use only, where "2" means Air Liquide system.</t>
    </r>
  </si>
  <si>
    <r>
      <rPr>
        <sz val="9.5"/>
        <rFont val="Calibri"/>
        <family val="2"/>
      </rPr>
      <t>actuators, instrumentation and other components for a complete and functioning system.</t>
    </r>
  </si>
  <si>
    <r>
      <rPr>
        <sz val="9.5"/>
        <rFont val="Calibri"/>
        <family val="2"/>
      </rPr>
      <t>approved PID, system description, brief control strategy, and Cause and Effect Diagrams.</t>
    </r>
  </si>
  <si>
    <r>
      <rPr>
        <sz val="9.5"/>
        <rFont val="Calibri"/>
        <family val="2"/>
      </rPr>
      <t>BIOGAS ENGINEERING                                         Signal Hill, CA                                        biogaseng.com                                   (562) 786‐5656</t>
    </r>
    <r>
      <rPr>
        <sz val="9.5"/>
        <rFont val="Microsoft Sans Serif"/>
        <family val="2"/>
      </rPr>
      <t xml:space="preserve"> </t>
    </r>
  </si>
  <si>
    <t>recycle ratio</t>
  </si>
  <si>
    <t xml:space="preserve">Aemetis </t>
  </si>
  <si>
    <t>High Recovery Membranes</t>
  </si>
  <si>
    <t>Feed Comp.
LP Pretreat</t>
  </si>
  <si>
    <t>Compressor Discharge to Aftercooler</t>
  </si>
  <si>
    <t>PROCESS_DIGESTER GAS SPECIFICATION (Stream 2 on BFD, RAW FEED from pipeline, after H2S removal beds)</t>
  </si>
  <si>
    <t>MEMBRANE INLET DIGESTER GAS SPECIFICATION (Stream 9 on BFD)</t>
  </si>
  <si>
    <t>PROCESS_PRODUCT GAS SPECIFICATION (Stream 15)</t>
  </si>
  <si>
    <t>PROCESS_WASTE GAS SPECIFICATION (Stream 11 on BFD)</t>
  </si>
  <si>
    <t>PROCESS_RECYCLE GAS SPECIFICATION (Stream 12 on BFD)</t>
  </si>
  <si>
    <t>ACF Bed at Skid Inlet (Note 12)</t>
  </si>
  <si>
    <t xml:space="preserve">12. Quantity of 2, lead‐lag. To be supplied by vendor.
</t>
  </si>
  <si>
    <t>Heater</t>
  </si>
  <si>
    <t>14.  The Air Liquide system shall be packaged on skid with control panel/ HMI on the skid, skid wiring, piping, tubing, valves,</t>
  </si>
  <si>
    <t>15. The system to be HAZOP'ed immediately after the PID approval. As a minimum, the documents require for the HAZOP are,</t>
  </si>
  <si>
    <r>
      <t xml:space="preserve">10. The recycle gas (Stream No. 13 and 14 on BFD) will be routed to Feed Gas Compressor's suction.
A recycle gas compressor will be provided to maintain a lower pressure in the 2nd Stage permeate gas line, as the feed digester gas is pressurized (65 psig).
</t>
    </r>
    <r>
      <rPr>
        <b/>
        <sz val="9.5"/>
        <rFont val="Calibri"/>
        <family val="2"/>
      </rPr>
      <t xml:space="preserve">The Recycle Compressor Aftercooler will cool the gas to 111F (at stream 14) prior to mixing point with the Raw Gas.
</t>
    </r>
  </si>
  <si>
    <t>11. The system material of construction shall be suitable for the given digester gas composition.</t>
  </si>
  <si>
    <t>Waste Gas to Thermal Oxidizer (Existing)</t>
  </si>
  <si>
    <t>H2S GUARD BEDS</t>
  </si>
  <si>
    <t xml:space="preserve">D-006 </t>
  </si>
  <si>
    <t>INLET CONDITIONS (Stream 1 on BFD)</t>
  </si>
  <si>
    <t>Gas Flow (14.7 PSIA &amp; 60 °F)</t>
  </si>
  <si>
    <r>
      <t xml:space="preserve">1. Performance based on Normal &amp; Minimum pressures condition. Mechanical design for Maximum inlet pressure. 
2. The system shall be designed to handle a molecular weight variation of </t>
    </r>
    <r>
      <rPr>
        <sz val="10"/>
        <color theme="1"/>
        <rFont val="Calibri"/>
        <family val="2"/>
      </rPr>
      <t>±</t>
    </r>
    <r>
      <rPr>
        <sz val="10"/>
        <color theme="1"/>
        <rFont val="Calibri"/>
        <family val="2"/>
        <scheme val="minor"/>
      </rPr>
      <t xml:space="preserve">10%, while meeting the outlet conditions.
3. The expected normal H2S concentration in the dairy digester gas is about 20 ppmv. But, the equipment design shall be for 50 ppmv H2S concentration. 
</t>
    </r>
  </si>
  <si>
    <r>
      <t>Hydrogen Sulfide (H</t>
    </r>
    <r>
      <rPr>
        <vertAlign val="subscript"/>
        <sz val="10"/>
        <color theme="1"/>
        <rFont val="Calibri"/>
        <family val="2"/>
        <scheme val="minor"/>
      </rPr>
      <t>2</t>
    </r>
    <r>
      <rPr>
        <sz val="10"/>
        <color theme="1"/>
        <rFont val="Calibri"/>
        <family val="2"/>
        <scheme val="minor"/>
      </rPr>
      <t>S) (Note 3)</t>
    </r>
  </si>
  <si>
    <t>OUTLET CONDITIONS (Stream 2 on BFD)</t>
  </si>
  <si>
    <t>Outlet Pressure (Note 4)</t>
  </si>
  <si>
    <t xml:space="preserve">Molecular Weight </t>
  </si>
  <si>
    <t xml:space="preserve">Composition </t>
  </si>
  <si>
    <r>
      <t>Hydrogen Sulfide (H</t>
    </r>
    <r>
      <rPr>
        <vertAlign val="subscript"/>
        <sz val="10"/>
        <color theme="1"/>
        <rFont val="Calibri"/>
        <family val="2"/>
        <scheme val="minor"/>
      </rPr>
      <t>2</t>
    </r>
    <r>
      <rPr>
        <sz val="10"/>
        <color theme="1"/>
        <rFont val="Calibri"/>
        <family val="2"/>
        <scheme val="minor"/>
      </rPr>
      <t>S) (Note 5)</t>
    </r>
  </si>
  <si>
    <t>&lt;4</t>
  </si>
  <si>
    <r>
      <t>Water (H</t>
    </r>
    <r>
      <rPr>
        <vertAlign val="subscript"/>
        <sz val="10"/>
        <color theme="1"/>
        <rFont val="Calibri"/>
        <family val="2"/>
        <scheme val="minor"/>
      </rPr>
      <t>2</t>
    </r>
    <r>
      <rPr>
        <sz val="10"/>
        <color theme="1"/>
        <rFont val="Calibri"/>
        <family val="2"/>
        <scheme val="minor"/>
      </rPr>
      <t>O) (Note 6)</t>
    </r>
  </si>
  <si>
    <t>MEDIA INORMATION AND VESSEL CONFIGURATION</t>
  </si>
  <si>
    <t xml:space="preserve">Media Changeover Frequency </t>
  </si>
  <si>
    <t>Months</t>
  </si>
  <si>
    <t>Preferred Configuration</t>
  </si>
  <si>
    <t>Lead-Leg</t>
  </si>
  <si>
    <t>Vessel Height (T/T)</t>
  </si>
  <si>
    <t>Media Height</t>
  </si>
  <si>
    <t>Design Temperature</t>
  </si>
  <si>
    <t>Nozzle Size</t>
  </si>
  <si>
    <t>Inlet Nozzle (A)</t>
  </si>
  <si>
    <t>6"</t>
  </si>
  <si>
    <t>Outlet Nozzle (B)</t>
  </si>
  <si>
    <t>Drain Nozzle (D)</t>
  </si>
  <si>
    <t>2"</t>
  </si>
  <si>
    <t xml:space="preserve">Vent Nozzle (V) </t>
  </si>
  <si>
    <t>3"</t>
  </si>
  <si>
    <t>ON SITE DG PIPING</t>
  </si>
  <si>
    <t>From</t>
  </si>
  <si>
    <t>pipeline knock out "sludge" tank</t>
  </si>
  <si>
    <t xml:space="preserve">TO </t>
  </si>
  <si>
    <t>Small boiler</t>
  </si>
  <si>
    <t>65 to 125</t>
  </si>
  <si>
    <t>System Sketch</t>
  </si>
  <si>
    <t>4"</t>
  </si>
  <si>
    <t>V-1031A/B (Note 8)</t>
  </si>
  <si>
    <t>Product Gas to Polishing Vessels</t>
  </si>
  <si>
    <t>Product Gas to Product Gas Compressor and Boilers</t>
  </si>
  <si>
    <t>Compressed Product Gas to B/L (PG&amp;E SKID)</t>
  </si>
  <si>
    <t>RAW GAS TO H2S GUARD BEDS</t>
  </si>
  <si>
    <t xml:space="preserve">RAW FEED TO LOW PRESSURE SEPARATOR </t>
  </si>
  <si>
    <t>SEPERATOR TO FEED GAS COMPRESSOR</t>
  </si>
  <si>
    <t>FEED+RECYCLE TO COMPRESSOR</t>
  </si>
  <si>
    <t>COMPRESSOR DISCHARGE TO AFTERCOOLER</t>
  </si>
  <si>
    <t>COMPRESSED GAS FROM AIR COOLER TO RE-HEATER</t>
  </si>
  <si>
    <t>COMPRESSED GAS TO CHILLER</t>
  </si>
  <si>
    <t>COOLED COMPRESSED GAS TO RE-HEATER</t>
  </si>
  <si>
    <t>RE-HEATED COMPRESSED GAS TO ACTIVATED CARBON FILTER</t>
  </si>
  <si>
    <t>TO AL SKID</t>
  </si>
  <si>
    <t>RECYCLE GAS TO RECYCLE GAS COMPRESSOR</t>
  </si>
  <si>
    <t>COMPRESSED RECYCLE GAS TO RECYCLE GAS AIR COOLED  AFTER COOLER</t>
  </si>
  <si>
    <t>COMPRESSED COOLED RECYCLE GAS TO FEED COMPRESSOR</t>
  </si>
  <si>
    <t>PRODUCT GAS TO PRODUCT GAS COMPRESSOR AND BOILERS</t>
  </si>
  <si>
    <t>COMPRESSED PRODUCT GAS TO AIR COOLED AFTERCOOLER</t>
  </si>
  <si>
    <t>PRODUCT GAS TO CHILLED WATER COOLER</t>
  </si>
  <si>
    <t>PRODUCT GAS TO POLISHING VESSELS</t>
  </si>
  <si>
    <t>COMPRESSED PRODUCT GAS TO B/L (PG&amp;E SKID)</t>
  </si>
  <si>
    <t>NOTES:</t>
  </si>
  <si>
    <t>2. SITE ELEVATION: 95 FT.</t>
  </si>
  <si>
    <t>3. H2S PROCESSING AT EACH DAIRY INCLUDING H2S TREATMENT, DEHYDRATION AND COMPRESSION IS BY OTHERS AND IS SUITABLE TO PRODUCE THE CONDITION SHOWN IN STREAM #1.</t>
  </si>
  <si>
    <t>4. THE FACILITY SHALL BE DESIGNED AND CONSTRUCTED TO ALLOW FOR A MINIMUM FLOW OF 250 SCFM IN STREAM #1.</t>
  </si>
  <si>
    <t>5. THE INLET DIGESTER GAS DOES NOT CONTAIN  DETECTABLE LEVEL OF SILICA COUMPOUNDS AND VOLATILE ORGANIC COMPOUND.</t>
  </si>
  <si>
    <t>THE PERMEATE FROM 2nd STAGE IS RECYCLED TO FEED GAS COMPRESSOR SUCTION TO IMPROVE THE  RECOVERY.</t>
  </si>
  <si>
    <t>HIGH RECOVERY MEMBRANES ARE USED FOR HIGH METHANE YIELD</t>
  </si>
  <si>
    <r>
      <t xml:space="preserve">1. STANDARD CONDITIONS: 60 </t>
    </r>
    <r>
      <rPr>
        <vertAlign val="superscript"/>
        <sz val="11"/>
        <color theme="1"/>
        <rFont val="Calibri"/>
        <family val="2"/>
        <scheme val="minor"/>
      </rPr>
      <t>o</t>
    </r>
    <r>
      <rPr>
        <sz val="11"/>
        <color theme="1"/>
        <rFont val="Calibri"/>
        <family val="2"/>
        <scheme val="minor"/>
      </rPr>
      <t>F, 14.696 PSIA, 0% RH</t>
    </r>
  </si>
  <si>
    <t>Ceramic Ball</t>
  </si>
  <si>
    <t>Material of Construction (Note 10)</t>
  </si>
  <si>
    <t>Media Type and Name</t>
  </si>
  <si>
    <t>Media Loading</t>
  </si>
  <si>
    <t>lb/lb-Media</t>
  </si>
  <si>
    <t>Media Density</t>
  </si>
  <si>
    <t>Recommended Flow Velocity</t>
  </si>
  <si>
    <t>Empty Bed Contact Time</t>
  </si>
  <si>
    <t>Seconds</t>
  </si>
  <si>
    <t>Pressure drop per feet height of media</t>
  </si>
  <si>
    <t>inWC/ft</t>
  </si>
  <si>
    <t>Numbers of Guard Beds (Note 8)</t>
  </si>
  <si>
    <t>Design Code</t>
  </si>
  <si>
    <t>ASME SEC VIII DIV. 1</t>
  </si>
  <si>
    <t>Corrosion Allowance</t>
  </si>
  <si>
    <t>inch</t>
  </si>
  <si>
    <t>Tests Type</t>
  </si>
  <si>
    <t>DPT, UT, Hydrotest</t>
  </si>
  <si>
    <t>STAINLESS STEEL</t>
  </si>
  <si>
    <t>Thickness</t>
  </si>
  <si>
    <t>Material</t>
  </si>
  <si>
    <t>Insulation</t>
  </si>
  <si>
    <t>Insulation Support Rings</t>
  </si>
  <si>
    <t>TBD By Vendor</t>
  </si>
  <si>
    <t>None</t>
  </si>
  <si>
    <t>Core 316 SS, Graphite Face</t>
  </si>
  <si>
    <t>--</t>
  </si>
  <si>
    <t>A193 Gr B7/ A193 Gr 16</t>
  </si>
  <si>
    <t>Galvanized</t>
  </si>
  <si>
    <t>Wind Load</t>
  </si>
  <si>
    <t>Per Location</t>
  </si>
  <si>
    <t>Seismic Factor</t>
  </si>
  <si>
    <t>24"</t>
  </si>
  <si>
    <t>H2S GUARD BEDS MEDIA</t>
  </si>
  <si>
    <t>Media for Digester Gas H2S Removal</t>
  </si>
  <si>
    <t xml:space="preserve">M-006  </t>
  </si>
  <si>
    <t>Total Pressure Drop Across the media</t>
  </si>
  <si>
    <t>inWC</t>
  </si>
  <si>
    <t>Required Media Volume</t>
  </si>
  <si>
    <t>ft3</t>
  </si>
  <si>
    <r>
      <t>ft</t>
    </r>
    <r>
      <rPr>
        <vertAlign val="superscript"/>
        <sz val="10"/>
        <color theme="1"/>
        <rFont val="Calibri"/>
        <family val="2"/>
        <scheme val="minor"/>
      </rPr>
      <t>3</t>
    </r>
  </si>
  <si>
    <r>
      <t>lb/ft</t>
    </r>
    <r>
      <rPr>
        <vertAlign val="superscript"/>
        <sz val="10"/>
        <color theme="1"/>
        <rFont val="Calibri"/>
        <family val="2"/>
        <scheme val="minor"/>
      </rPr>
      <t>3</t>
    </r>
  </si>
  <si>
    <t>Recommended Vessel ID</t>
  </si>
  <si>
    <t>Recommended Vessel Height (T/T)</t>
  </si>
  <si>
    <t>4. Vendor to advise the maximum allowable pressure drop across per feet length of media for effective H2S removal from the dairy digester gas. 
5. The guaranteed H2S concentration at the outlet of the guard bed shall be less than 4 ppmv.
6. The relative humidity of dairy digester gas is 11%.</t>
  </si>
  <si>
    <t>H2S removed per day</t>
  </si>
  <si>
    <t>lbs/day</t>
  </si>
  <si>
    <t>Media use per day</t>
  </si>
  <si>
    <t>Required Media Bed Depth</t>
  </si>
  <si>
    <t>Date: 5/15/2020</t>
  </si>
  <si>
    <t>ft/minute</t>
  </si>
  <si>
    <t xml:space="preserve">7. Vendor to advise the expected increase in media changeover time for 20 ppmv H2S concentration in the feed line.
8. Vendor to advise the numbers of guard bed require for the effective H2S removal to desired level from the dairy digester gas. 
</t>
  </si>
  <si>
    <t>VESSEL DESIGN PARAMETER (BY OTHER)</t>
  </si>
  <si>
    <t xml:space="preserve">9. The system material of construction shall be suitable for the given digester gas composition and for continuous outdoor service at the project location. </t>
  </si>
  <si>
    <t>11. Vendor shall advise the specific requirements for vessel design to support media changeover (i.e. media loading/ unloading nozzle size, platform</t>
  </si>
  <si>
    <t xml:space="preserve">12. The below is preliminary vessel sketch for reference. </t>
  </si>
  <si>
    <t xml:space="preserve">requirement etc.). </t>
  </si>
  <si>
    <t>V-1031A/B</t>
  </si>
  <si>
    <t>FLUID CONDITIONS (Stream 1 on BFD)</t>
  </si>
  <si>
    <r>
      <t>Hydrogen Sulfide (H</t>
    </r>
    <r>
      <rPr>
        <vertAlign val="subscript"/>
        <sz val="10"/>
        <color theme="1"/>
        <rFont val="Calibri"/>
        <family val="2"/>
        <scheme val="minor"/>
      </rPr>
      <t>2</t>
    </r>
    <r>
      <rPr>
        <sz val="10"/>
        <color theme="1"/>
        <rFont val="Calibri"/>
        <family val="2"/>
        <scheme val="minor"/>
      </rPr>
      <t>S) (Note 2)</t>
    </r>
  </si>
  <si>
    <t>Molecular Weight</t>
  </si>
  <si>
    <t>1. Performance based on Normal &amp; Minimum pressures condition. Mechanical design for Maximum inlet pressure. 
2. The gas leaving the vessel would have 4 ppmv H2S concentration.
3. The relative humidity of dairy digester gas is 11%.</t>
  </si>
  <si>
    <t>Media volume</t>
  </si>
  <si>
    <t>lbs</t>
  </si>
  <si>
    <t>Ferrosorp</t>
  </si>
  <si>
    <t>Total pressure drop across media</t>
  </si>
  <si>
    <t>Operation Configuration</t>
  </si>
  <si>
    <t>MEDIA INORMATION AND VESSEL CONFIGURATION (NOTE 4)</t>
  </si>
  <si>
    <t>Media Support Device (Note 6)</t>
  </si>
  <si>
    <t>EQUIPMENT DESIGN DETAILS</t>
  </si>
  <si>
    <t>Shell (Note 7)</t>
  </si>
  <si>
    <t>Heads (Note 8)</t>
  </si>
  <si>
    <t>Cladding/ Liner (Note 7)</t>
  </si>
  <si>
    <t>Support (Note 9)</t>
  </si>
  <si>
    <t>Tray Support Rings (Note 6)</t>
  </si>
  <si>
    <t>Gasket (Note 10)</t>
  </si>
  <si>
    <t>Nut &amp; Bolts (Note 11)</t>
  </si>
  <si>
    <t>NOZZLE REQUIREMENTS (Note 14)</t>
  </si>
  <si>
    <t>PSV Nozzle (W) (Note 15)</t>
  </si>
  <si>
    <t>18. Fasteners to be PTFE coated for the manways.</t>
  </si>
  <si>
    <t>19. Vessel shall have top operating platform with ladder access (to be provided by vendor)</t>
  </si>
  <si>
    <t>Stress Relieve</t>
  </si>
  <si>
    <t>Epoxy Primer/ Polyurethane a topcoat on CS only</t>
  </si>
  <si>
    <t>V-1111</t>
  </si>
  <si>
    <t>Media for Product Gas H2S and VOC Removal</t>
  </si>
  <si>
    <r>
      <t xml:space="preserve">1. Performance based on Normal &amp; Minimum pressures condition. Mechanical design for Maximum inlet pressure. 
2. The system shall be designed to handle a molecular weight variation of </t>
    </r>
    <r>
      <rPr>
        <sz val="10"/>
        <color theme="1"/>
        <rFont val="Calibri"/>
        <family val="2"/>
      </rPr>
      <t>±</t>
    </r>
    <r>
      <rPr>
        <sz val="10"/>
        <color theme="1"/>
        <rFont val="Calibri"/>
        <family val="2"/>
        <scheme val="minor"/>
      </rPr>
      <t xml:space="preserve">10%, while meeting the outlet conditions.
3. The expected normal H2S concentration in the dairy digester gas is about 4 ppmv. But, the equipment design shall be for 8 ppmv H2S concentration. 
</t>
    </r>
  </si>
  <si>
    <t>VOCs</t>
  </si>
  <si>
    <t>OUTLET CONDITIONS</t>
  </si>
  <si>
    <t xml:space="preserve">INLET CONDITIONS </t>
  </si>
  <si>
    <t>VOC</t>
  </si>
  <si>
    <t>H2S and VOCs removed per day</t>
  </si>
  <si>
    <t>Numbers of Vessels</t>
  </si>
  <si>
    <t>CARBON STEEL</t>
  </si>
  <si>
    <t xml:space="preserve">7. The system material of construction shall be suitable for the given digester gas composition and for continuous outdoor service at the project location. </t>
  </si>
  <si>
    <t>8. Vendor shall advise the specific requirements for vessel design to support media changeover (i.e. media loading/ unloading nozzle size, platform</t>
  </si>
  <si>
    <t xml:space="preserve">9. The below is preliminary vessel sketch for reference. </t>
  </si>
  <si>
    <t>V-1112</t>
  </si>
  <si>
    <t>M-008A</t>
  </si>
  <si>
    <t>POLISHING VESSEL SILICA BED</t>
  </si>
  <si>
    <t>POLISHING VESSEL CARBON BED</t>
  </si>
  <si>
    <t>M-008B</t>
  </si>
  <si>
    <t>Silica Media for Product Gas Moisture removal</t>
  </si>
  <si>
    <r>
      <t xml:space="preserve">1. Performance based on Normal &amp; Minimum pressures condition. Mechanical design for Maximum inlet pressure. 
2. The system shall be designed to handle a molecular weight variation of </t>
    </r>
    <r>
      <rPr>
        <sz val="10"/>
        <color theme="1"/>
        <rFont val="Calibri"/>
        <family val="2"/>
      </rPr>
      <t>±</t>
    </r>
    <r>
      <rPr>
        <sz val="10"/>
        <color theme="1"/>
        <rFont val="Calibri"/>
        <family val="2"/>
        <scheme val="minor"/>
      </rPr>
      <t xml:space="preserve">10%, while meeting the outlet conditions.
</t>
    </r>
  </si>
  <si>
    <r>
      <t>Hydrogen Sulfide (H</t>
    </r>
    <r>
      <rPr>
        <vertAlign val="subscript"/>
        <sz val="10"/>
        <color theme="1"/>
        <rFont val="Calibri"/>
        <family val="2"/>
        <scheme val="minor"/>
      </rPr>
      <t>2</t>
    </r>
    <r>
      <rPr>
        <sz val="10"/>
        <color theme="1"/>
        <rFont val="Calibri"/>
        <family val="2"/>
        <scheme val="minor"/>
      </rPr>
      <t xml:space="preserve">S) </t>
    </r>
  </si>
  <si>
    <t>4. Vendor to advise the maximum allowable pressure drop across per feet length of media for effective H2S and VOC removal from the Product gas. 
5. The guaranteed H2S concentration at the outlet of the guard bed shall be less than 4 ppmv.
6. The relative humidity of the product gas is 5%.</t>
  </si>
  <si>
    <t>Outlet Pressure (Note 3)</t>
  </si>
  <si>
    <r>
      <t>Water (H</t>
    </r>
    <r>
      <rPr>
        <vertAlign val="subscript"/>
        <sz val="10"/>
        <color theme="1"/>
        <rFont val="Calibri"/>
        <family val="2"/>
        <scheme val="minor"/>
      </rPr>
      <t>2</t>
    </r>
    <r>
      <rPr>
        <sz val="10"/>
        <color theme="1"/>
        <rFont val="Calibri"/>
        <family val="2"/>
        <scheme val="minor"/>
      </rPr>
      <t>O) (Note 4, 5)</t>
    </r>
  </si>
  <si>
    <t>3. Vendor to advise the maximum allowable pressure drop across per feet length of media for effective moisture removal from the Product gas. 
4. The mositure content at the outlet shall be &lt;7lb/MMSCF.
5. The relative humidity of the product gas is 5%.</t>
  </si>
  <si>
    <t>Required Media Volume (Note 6)</t>
  </si>
  <si>
    <t>6. It is advised to keep the vessel size for both carbon and silica polishing vessels (V-1111 and V-1112) same. Hence, determine the media volume for govering case, and same volume of media will be used for other vessel.</t>
  </si>
  <si>
    <t>7. It is advised to keep the vessel size for both carbon and silica polishing vessels (V-1111 and V-1112) same. Hence, determine the media volume for govering case, and same volume of media will be used for other vessel.</t>
  </si>
  <si>
    <t>Required Media Volume (Note 7)</t>
  </si>
  <si>
    <t xml:space="preserve">8. The system material of construction shall be suitable for the given digester gas composition and for continuous outdoor service at the project location. </t>
  </si>
  <si>
    <t>Material of Construction (Note 8)</t>
  </si>
  <si>
    <t>9. Vendor shall advise the specific requirements for vessel design to support media changeover (i.e. media loading/ unloading nozzle size, platform</t>
  </si>
  <si>
    <t xml:space="preserve">10. The below is preliminary vessel sketch for reference. </t>
  </si>
  <si>
    <t>Moisture removed per day</t>
  </si>
  <si>
    <t>POLISHING VESSELS</t>
  </si>
  <si>
    <t>V-1111 (CARBON BED) and V-1112 (SILICA BED)</t>
  </si>
  <si>
    <t>D-008</t>
  </si>
  <si>
    <t>Carbon Bed (V-1111) and Silica Bed (V-1112)</t>
  </si>
  <si>
    <t xml:space="preserve">Numbers of Guard Beds </t>
  </si>
  <si>
    <t>Media Load (Note 5, 6)</t>
  </si>
  <si>
    <t>Lead-Lag</t>
  </si>
  <si>
    <t>Vessel OD</t>
  </si>
  <si>
    <t>Paint/ Coating (Note 14)</t>
  </si>
  <si>
    <t>NOZZLE REQUIREMENTS (Note 15)</t>
  </si>
  <si>
    <t>PSV Nozzle (W) (Note 16)</t>
  </si>
  <si>
    <t>19. Fasteners to be PTFE coated for the manways.</t>
  </si>
  <si>
    <t>20. Vessel shall have top operating platform with ladder access (to be provided by vendor)</t>
  </si>
  <si>
    <t>18. A screen at the bottom shall be provided to avoid the blockage of drain nozzle.</t>
  </si>
  <si>
    <t>21. Refer vessel sketch (Page 3) for preliminary nozzle location requirement.</t>
  </si>
  <si>
    <t>Min. flow</t>
  </si>
  <si>
    <t>8. Provide 2:1 Semi elliptical head
9. Provide Skirt Support
10. Follow code ASME B16.20 for gaskets. Install and seal manway gaskets, but do not torque bolt.
11. Follow code ASME B18.2.1 for Nuts and Bolts. All flange fastners to be PTFE coated.
12. Follow code ASME B 36.10/19 for CS, Alloy and Stainless Steel Piping.
13. Follow code ASME B16.5 for flanges.
14. CS Platform, ladders, handrails to be hot dip galvanized.</t>
  </si>
  <si>
    <t xml:space="preserve">15. Provided nozzle sizes are preliminary. Vendor to confirm. Minimum nozzle size shall be 2"
16. The PSV nozzle size to be confirmed later.
</t>
  </si>
  <si>
    <t>FLUID CONDITIONS (Stream 18 on BFD)</t>
  </si>
  <si>
    <t xml:space="preserve">1. Performance based on Normal &amp; Minimum pressures condition. Mechanical design for Maximum inlet pressure. 
</t>
  </si>
  <si>
    <t>MEDIA INORMATION AND VESSEL CONFIGURATION (NOTE 2)</t>
  </si>
  <si>
    <t>Media Density (Note 3)</t>
  </si>
  <si>
    <t xml:space="preserve">4. The specified information is for each vessel.
5. Media load (by others) shall be considered for design calculation.
6. The bottom dish of the vessel will be filled with Ceramic ball. A 2" foam will be used to separate the media and ceramic balls. The ceramic balls load is included in "Media Load".
</t>
  </si>
  <si>
    <t>Numbers of Polishing Vessels (Note 4)</t>
  </si>
  <si>
    <t>Operation Configuration (Note 4)</t>
  </si>
  <si>
    <t>Media Load (Note 3)</t>
  </si>
  <si>
    <t xml:space="preserve">2. The specified information is for each vessel.
3. Silica: 44 lb/ft3 and Carbon: 32.5 lb/ft3. Both the vessels shall be designed for governing load (for Silica Media).
4. The lead-lag configuration is carbon vessel (V-1111) followed by silica vessel (V-1112) 
</t>
  </si>
  <si>
    <t>Media Support Device (Note 5)</t>
  </si>
  <si>
    <t xml:space="preserve">5. The bottom dish of the vessel will be filled with Ceramic ball. A 2" foam will be used to separate the media and ceramic balls. The ceramic balls load is included in "Media Load".
</t>
  </si>
  <si>
    <t>Carbon Steel</t>
  </si>
  <si>
    <t>Material of Construction</t>
  </si>
  <si>
    <t>Shell</t>
  </si>
  <si>
    <t>Heads (Note 6)</t>
  </si>
  <si>
    <t>Cladding/ Liner</t>
  </si>
  <si>
    <t>Support (Note 7)</t>
  </si>
  <si>
    <t>Tray Support Rings (Note 5)</t>
  </si>
  <si>
    <t>Gasket (Note 8)</t>
  </si>
  <si>
    <t>Nut &amp; Bolts (Note 9)</t>
  </si>
  <si>
    <t>Ladder (Cage) (Note 12)</t>
  </si>
  <si>
    <t>Platform (Note 12)</t>
  </si>
  <si>
    <t>Ladder (Cage) (Note 14)</t>
  </si>
  <si>
    <t>Platform (Note 14)</t>
  </si>
  <si>
    <t>Paint (Note 13)</t>
  </si>
  <si>
    <t xml:space="preserve">6. Provide 2:1 Semi elliptical head
7. Provide Skirt Support
8. Follow code ASME B16.20 for gaskets. Install and seal manway gaskets, but do not torque bolt.
9. Follow code ASME B18.2.1 for Nuts and Bolts. All flange fastners to be PTFE coated.
10. Follow code ASME B 36.10/19 for CS, Alloy and Stainless Steel Piping.
11. Follow code ASME B16.5 for flanges.
12. CS Platform, ladders, handrails to be hot dip galvanized.
</t>
  </si>
  <si>
    <t xml:space="preserve">13. Primer: 4-6 MDFT Carboguard 890, Finish: 2-3 MDFT Carbothane 134 HG, Finish Color: Carboline S800 White </t>
  </si>
  <si>
    <t xml:space="preserve">14. Provided nozzle sizes are preliminary. Vendor to confirm. Minimum nozzle size shall be 2"
15. The PSV nozzle size to be confirmed later.
</t>
  </si>
  <si>
    <t>Screen (Note 17)</t>
  </si>
  <si>
    <t>17. A screen at the bottom shall be provided to avoid the blockage of drain nozzle.</t>
  </si>
  <si>
    <t>20. Refer vessel sketch (Page 3) for preliminary nozzle location requirement.</t>
  </si>
  <si>
    <t>Date: 6/4/2020</t>
  </si>
  <si>
    <t>Inlet Screen (Note 18)</t>
  </si>
  <si>
    <t>16. The number of Manways, and sizes shall be as shown on the drawing. Manways shall be provided with blinds and davit.</t>
  </si>
  <si>
    <t>STAINLESS STEEL (SS304L)</t>
  </si>
  <si>
    <t>Stainless Steel (SS304L)</t>
  </si>
  <si>
    <t>17. The number of Manways, and sizes shall be as shown on the drawing. Manways shall be provided with blinds and davit.</t>
  </si>
  <si>
    <t xml:space="preserve">Manways (M1/M2)(Note 17) </t>
  </si>
  <si>
    <t xml:space="preserve">Manways (M1/M2) (Note 16) </t>
  </si>
  <si>
    <t>Date: 6/22/2020</t>
  </si>
  <si>
    <t>Rev. G</t>
  </si>
  <si>
    <t>G</t>
  </si>
  <si>
    <t>DOCUMENT NAME: HEAT AND MASS BALANCE (MINIMUM OPERATING CASE)</t>
  </si>
  <si>
    <t>DOCUMENT NAME: HEAT AND MASS BALANCE (DESIGN CASE)</t>
  </si>
  <si>
    <t>Condensnate Line Hydraulics</t>
  </si>
  <si>
    <t>WASTE GAS TO ATMOSPHERE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</si>
</sst>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0.000"/>
    <numFmt numFmtId="166" formatCode="0.0%"/>
    <numFmt numFmtId="167" formatCode="#,##0.00000"/>
    <numFmt numFmtId="168" formatCode="0.00000"/>
    <numFmt numFmtId="169" formatCode="0.00.E+00"/>
    <numFmt numFmtId="170" formatCode="0.0000"/>
    <numFmt numFmtId="171" formatCode="_(* #,##0.000_);_(* \(#,##0.000\);_(* &quot;-&quot;??_);_(@_)"/>
    <numFmt numFmtId="172" formatCode="_(* #,##0_);_(* \(#,##0\);_(* &quot;-&quot;??_);_(@_)"/>
    <numFmt numFmtId="173" formatCode="#,##0.0000"/>
    <numFmt numFmtId="174" formatCode="#,##0.0"/>
  </numFmts>
  <fonts count="36" x14ac:knownFonts="1">
    <font>
      <sz val="11"/>
      <color theme="1"/>
      <name val="Calibri"/>
      <family val="2"/>
      <scheme val="minor"/>
    </font>
    <font>
      <b/>
      <sz val="11"/>
      <color theme="1"/>
      <name val="Calibri"/>
      <family val="2"/>
      <scheme val="minor"/>
    </font>
    <font>
      <sz val="10"/>
      <color rgb="FF000000"/>
      <name val="Arial"/>
      <family val="2"/>
    </font>
    <font>
      <b/>
      <sz val="10"/>
      <color theme="7" tint="-0.249977111117893"/>
      <name val="Arial"/>
      <family val="2"/>
    </font>
    <font>
      <b/>
      <sz val="10"/>
      <color rgb="FF000000"/>
      <name val="Arial"/>
      <family val="2"/>
    </font>
    <font>
      <sz val="10"/>
      <color theme="1"/>
      <name val="Arial"/>
      <family val="2"/>
    </font>
    <font>
      <sz val="11"/>
      <color rgb="FF000000"/>
      <name val="Calibri"/>
      <family val="2"/>
      <scheme val="minor"/>
    </font>
    <font>
      <b/>
      <i/>
      <sz val="10"/>
      <color theme="7" tint="-0.499984740745262"/>
      <name val="Arial"/>
      <family val="2"/>
    </font>
    <font>
      <sz val="8"/>
      <name val="Calibri"/>
      <family val="2"/>
      <scheme val="minor"/>
    </font>
    <font>
      <sz val="11"/>
      <color theme="0"/>
      <name val="Calibri"/>
      <family val="2"/>
      <scheme val="minor"/>
    </font>
    <font>
      <sz val="10"/>
      <color theme="1"/>
      <name val="Calibri"/>
      <family val="2"/>
      <scheme val="minor"/>
    </font>
    <font>
      <vertAlign val="subscript"/>
      <sz val="10"/>
      <color theme="1"/>
      <name val="Calibri"/>
      <family val="2"/>
      <scheme val="minor"/>
    </font>
    <font>
      <b/>
      <sz val="10"/>
      <color theme="1"/>
      <name val="Calibri"/>
      <family val="2"/>
      <scheme val="minor"/>
    </font>
    <font>
      <sz val="10"/>
      <color theme="1"/>
      <name val="Calibri"/>
      <family val="2"/>
    </font>
    <font>
      <sz val="8"/>
      <color theme="1"/>
      <name val="Calibri"/>
      <family val="2"/>
      <scheme val="minor"/>
    </font>
    <font>
      <sz val="10"/>
      <color rgb="FFFF0000"/>
      <name val="Calibri"/>
      <family val="2"/>
      <scheme val="minor"/>
    </font>
    <font>
      <sz val="10"/>
      <name val="Calibri"/>
      <family val="2"/>
      <scheme val="minor"/>
    </font>
    <font>
      <b/>
      <sz val="10"/>
      <color rgb="FFFFFFFF"/>
      <name val="Arial"/>
      <family val="2"/>
    </font>
    <font>
      <sz val="10"/>
      <name val="Arial"/>
      <family val="2"/>
    </font>
    <font>
      <b/>
      <sz val="10"/>
      <name val="Arial"/>
      <family val="2"/>
    </font>
    <font>
      <i/>
      <sz val="9"/>
      <color rgb="FF1155CC"/>
      <name val="Arial"/>
      <family val="2"/>
    </font>
    <font>
      <sz val="10"/>
      <color rgb="FF1155CC"/>
      <name val="Arial"/>
      <family val="2"/>
    </font>
    <font>
      <sz val="11"/>
      <color theme="1"/>
      <name val="Calibri"/>
      <family val="2"/>
      <scheme val="minor"/>
    </font>
    <font>
      <b/>
      <sz val="9.5"/>
      <name val="Calibri"/>
      <family val="2"/>
    </font>
    <font>
      <b/>
      <sz val="9.5"/>
      <name val="Calibri"/>
      <family val="2"/>
    </font>
    <font>
      <sz val="9.5"/>
      <name val="Calibri"/>
      <family val="2"/>
    </font>
    <font>
      <sz val="9.5"/>
      <name val="Calibri"/>
      <family val="2"/>
    </font>
    <font>
      <sz val="7.5"/>
      <color rgb="FF000000"/>
      <name val="Calibri"/>
      <family val="2"/>
    </font>
    <font>
      <sz val="9.5"/>
      <color rgb="FF000000"/>
      <name val="Calibri"/>
      <family val="2"/>
    </font>
    <font>
      <vertAlign val="subscript"/>
      <sz val="9.5"/>
      <name val="Calibri"/>
      <family val="2"/>
    </font>
    <font>
      <sz val="9.5"/>
      <name val="Microsoft Sans Serif"/>
      <family val="2"/>
    </font>
    <font>
      <sz val="14"/>
      <color theme="1"/>
      <name val="Calibri"/>
      <family val="2"/>
      <scheme val="minor"/>
    </font>
    <font>
      <u/>
      <sz val="11"/>
      <color theme="1"/>
      <name val="Calibri"/>
      <family val="2"/>
      <scheme val="minor"/>
    </font>
    <font>
      <vertAlign val="superscript"/>
      <sz val="11"/>
      <color theme="1"/>
      <name val="Calibri"/>
      <family val="2"/>
      <scheme val="minor"/>
    </font>
    <font>
      <vertAlign val="superscript"/>
      <sz val="10"/>
      <color theme="1"/>
      <name val="Calibri"/>
      <family val="2"/>
      <scheme val="minor"/>
    </font>
    <font>
      <sz val="9"/>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F4CCCC"/>
        <bgColor indexed="64"/>
      </patternFill>
    </fill>
    <fill>
      <patternFill patternType="solid">
        <fgColor rgb="FFFFF2CC"/>
        <bgColor indexed="64"/>
      </patternFill>
    </fill>
    <fill>
      <patternFill patternType="solid">
        <fgColor rgb="FFCC8D00"/>
        <bgColor indexed="64"/>
      </patternFill>
    </fill>
    <fill>
      <patternFill patternType="solid">
        <fgColor theme="5" tint="0.59999389629810485"/>
        <bgColor indexed="64"/>
      </patternFill>
    </fill>
    <fill>
      <patternFill patternType="solid">
        <fgColor rgb="FF00B050"/>
        <bgColor indexed="64"/>
      </patternFill>
    </fill>
    <fill>
      <patternFill patternType="solid">
        <fgColor theme="7" tint="0.59999389629810485"/>
        <bgColor indexed="64"/>
      </patternFill>
    </fill>
    <fill>
      <patternFill patternType="solid">
        <fgColor rgb="FF674EA7"/>
        <bgColor rgb="FF674EA7"/>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CC8D00"/>
      </patternFill>
    </fill>
    <fill>
      <patternFill patternType="solid">
        <fgColor rgb="FFFFFF00"/>
        <bgColor rgb="FFCFE2F3"/>
      </patternFill>
    </fill>
  </fills>
  <borders count="78">
    <border>
      <left/>
      <right/>
      <top/>
      <bottom/>
      <diagonal/>
    </border>
    <border>
      <left style="thin">
        <color auto="1"/>
      </left>
      <right style="thin">
        <color auto="1"/>
      </right>
      <top style="thin">
        <color auto="1"/>
      </top>
      <bottom style="thin">
        <color auto="1"/>
      </bottom>
      <diagonal/>
    </border>
    <border>
      <left style="thin">
        <color rgb="FF351C75"/>
      </left>
      <right/>
      <top/>
      <bottom/>
      <diagonal/>
    </border>
    <border>
      <left/>
      <right style="thin">
        <color rgb="FF351C75"/>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medium">
        <color indexed="64"/>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auto="1"/>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auto="1"/>
      </top>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auto="1"/>
      </left>
      <right/>
      <top style="thin">
        <color auto="1"/>
      </top>
      <bottom style="medium">
        <color indexed="64"/>
      </bottom>
      <diagonal/>
    </border>
    <border>
      <left style="thin">
        <color rgb="FF0B5394"/>
      </left>
      <right style="thin">
        <color rgb="FF0B5394"/>
      </right>
      <top/>
      <bottom style="thin">
        <color rgb="FF0B539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medium">
        <color indexed="64"/>
      </top>
      <bottom/>
      <diagonal/>
    </border>
    <border>
      <left/>
      <right style="medium">
        <color indexed="64"/>
      </right>
      <top style="medium">
        <color indexed="64"/>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bottom style="thin">
        <color indexed="64"/>
      </bottom>
      <diagonal/>
    </border>
    <border>
      <left style="medium">
        <color indexed="64"/>
      </left>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thin">
        <color indexed="64"/>
      </bottom>
      <diagonal/>
    </border>
    <border>
      <left/>
      <right/>
      <top style="thin">
        <color rgb="FF000000"/>
      </top>
      <bottom/>
      <diagonal/>
    </border>
    <border>
      <left/>
      <right/>
      <top/>
      <bottom style="thin">
        <color rgb="FF000000"/>
      </bottom>
      <diagonal/>
    </border>
    <border>
      <left/>
      <right style="thin">
        <color indexed="64"/>
      </right>
      <top style="medium">
        <color indexed="64"/>
      </top>
      <bottom style="thin">
        <color indexed="64"/>
      </bottom>
      <diagonal/>
    </border>
  </borders>
  <cellStyleXfs count="3">
    <xf numFmtId="0" fontId="0" fillId="0" borderId="0"/>
    <xf numFmtId="0" fontId="2" fillId="0" borderId="0"/>
    <xf numFmtId="43" fontId="22" fillId="0" borderId="0" applyFont="0" applyFill="0" applyBorder="0" applyAlignment="0" applyProtection="0"/>
  </cellStyleXfs>
  <cellXfs count="830">
    <xf numFmtId="0" fontId="0" fillId="0" borderId="0" xfId="0"/>
    <xf numFmtId="0" fontId="0" fillId="0" borderId="0" xfId="0" applyAlignment="1">
      <alignment horizontal="center"/>
    </xf>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center" wrapText="1"/>
    </xf>
    <xf numFmtId="0" fontId="0" fillId="0" borderId="0" xfId="0" applyAlignment="1">
      <alignment wrapText="1"/>
    </xf>
    <xf numFmtId="0" fontId="0" fillId="2" borderId="0" xfId="0" applyFill="1" applyAlignment="1">
      <alignment horizontal="center"/>
    </xf>
    <xf numFmtId="0" fontId="0" fillId="0" borderId="0" xfId="0" applyAlignment="1">
      <alignment horizontal="center" vertical="center"/>
    </xf>
    <xf numFmtId="166"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vertical="center" wrapText="1"/>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vertical="center" wrapText="1"/>
    </xf>
    <xf numFmtId="0" fontId="0" fillId="0" borderId="1" xfId="0" applyBorder="1" applyAlignment="1">
      <alignment horizontal="center" wrapText="1"/>
    </xf>
    <xf numFmtId="0" fontId="0" fillId="0" borderId="1" xfId="0" applyBorder="1" applyAlignment="1">
      <alignment horizontal="center" textRotation="90" wrapText="1"/>
    </xf>
    <xf numFmtId="0" fontId="0" fillId="0" borderId="1" xfId="0" applyBorder="1" applyAlignment="1">
      <alignment vertical="center"/>
    </xf>
    <xf numFmtId="10" fontId="0" fillId="0" borderId="0" xfId="0" applyNumberFormat="1" applyAlignment="1">
      <alignment horizontal="center"/>
    </xf>
    <xf numFmtId="0" fontId="1" fillId="0" borderId="0" xfId="0" applyFont="1" applyAlignment="1">
      <alignment horizontal="center" vertical="center"/>
    </xf>
    <xf numFmtId="166" fontId="0" fillId="2" borderId="0" xfId="0" applyNumberFormat="1" applyFill="1" applyAlignment="1">
      <alignment horizontal="center"/>
    </xf>
    <xf numFmtId="10" fontId="0" fillId="0" borderId="0" xfId="0" applyNumberFormat="1" applyFill="1" applyAlignment="1">
      <alignment horizontal="center"/>
    </xf>
    <xf numFmtId="166" fontId="0" fillId="0" borderId="0" xfId="0" applyNumberFormat="1" applyFill="1" applyAlignment="1">
      <alignment horizontal="center"/>
    </xf>
    <xf numFmtId="0" fontId="0" fillId="0" borderId="0" xfId="0" applyAlignment="1">
      <alignment horizontal="right"/>
    </xf>
    <xf numFmtId="0" fontId="0" fillId="0" borderId="0" xfId="0" applyFill="1"/>
    <xf numFmtId="164" fontId="0" fillId="0" borderId="1" xfId="0" applyNumberFormat="1" applyBorder="1" applyAlignment="1">
      <alignment horizontal="center"/>
    </xf>
    <xf numFmtId="2" fontId="0" fillId="0" borderId="0" xfId="0" applyNumberFormat="1" applyFill="1"/>
    <xf numFmtId="165" fontId="0" fillId="0" borderId="0" xfId="0" applyNumberFormat="1" applyFill="1"/>
    <xf numFmtId="2" fontId="0" fillId="0" borderId="1" xfId="0" applyNumberFormat="1" applyBorder="1"/>
    <xf numFmtId="0" fontId="2" fillId="0" borderId="3" xfId="1" applyBorder="1" applyAlignment="1">
      <alignment wrapText="1"/>
    </xf>
    <xf numFmtId="0" fontId="2" fillId="0" borderId="0" xfId="1" applyAlignment="1">
      <alignment horizontal="right" wrapText="1"/>
    </xf>
    <xf numFmtId="0" fontId="4" fillId="0" borderId="0" xfId="1" applyFont="1" applyAlignment="1">
      <alignment wrapText="1"/>
    </xf>
    <xf numFmtId="0" fontId="5" fillId="0" borderId="0" xfId="0" applyFont="1" applyAlignment="1">
      <alignment horizontal="center" wrapText="1"/>
    </xf>
    <xf numFmtId="0" fontId="0" fillId="0" borderId="0" xfId="0" applyAlignment="1">
      <alignment vertical="center"/>
    </xf>
    <xf numFmtId="0" fontId="5" fillId="0" borderId="0" xfId="0" applyFont="1" applyAlignment="1">
      <alignment horizontal="center" vertical="center"/>
    </xf>
    <xf numFmtId="0" fontId="6" fillId="0" borderId="0" xfId="0" applyFont="1" applyAlignment="1">
      <alignment horizontal="right" wrapText="1"/>
    </xf>
    <xf numFmtId="0" fontId="4" fillId="0" borderId="0" xfId="1" applyFont="1" applyAlignment="1"/>
    <xf numFmtId="0" fontId="2" fillId="0" borderId="0" xfId="1" applyBorder="1" applyAlignment="1">
      <alignment wrapText="1"/>
    </xf>
    <xf numFmtId="0" fontId="7" fillId="0" borderId="0" xfId="1" applyFont="1" applyAlignment="1">
      <alignment wrapText="1"/>
    </xf>
    <xf numFmtId="3" fontId="2" fillId="0" borderId="0" xfId="1" applyNumberFormat="1" applyFill="1" applyBorder="1" applyAlignment="1">
      <alignment horizontal="center" wrapText="1"/>
    </xf>
    <xf numFmtId="0" fontId="2" fillId="0" borderId="0" xfId="1" applyAlignment="1">
      <alignment horizontal="center" vertical="center" wrapText="1"/>
    </xf>
    <xf numFmtId="0" fontId="2" fillId="0" borderId="0" xfId="1" applyAlignment="1">
      <alignment horizontal="center" wrapText="1"/>
    </xf>
    <xf numFmtId="0" fontId="2" fillId="0" borderId="2" xfId="1" applyBorder="1" applyAlignment="1">
      <alignment horizontal="center" vertical="center" wrapText="1"/>
    </xf>
    <xf numFmtId="0" fontId="5" fillId="0" borderId="0" xfId="0" applyFont="1" applyAlignment="1">
      <alignment horizontal="center" vertical="center" wrapText="1"/>
    </xf>
    <xf numFmtId="0" fontId="0" fillId="0" borderId="0" xfId="0" applyFont="1" applyFill="1" applyBorder="1"/>
    <xf numFmtId="0" fontId="5"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xf numFmtId="0" fontId="1" fillId="0" borderId="0" xfId="0" applyFont="1" applyAlignment="1">
      <alignment horizontal="center"/>
    </xf>
    <xf numFmtId="2" fontId="0" fillId="0" borderId="0" xfId="0" applyNumberFormat="1" applyAlignment="1">
      <alignment horizontal="center"/>
    </xf>
    <xf numFmtId="0" fontId="0" fillId="0" borderId="0" xfId="0" applyFill="1" applyAlignment="1">
      <alignment horizontal="center"/>
    </xf>
    <xf numFmtId="0" fontId="0" fillId="2" borderId="0" xfId="0" applyFill="1" applyAlignment="1">
      <alignment horizontal="center"/>
    </xf>
    <xf numFmtId="1" fontId="0" fillId="0" borderId="0" xfId="0" applyNumberFormat="1" applyFill="1" applyAlignment="1">
      <alignment horizontal="center"/>
    </xf>
    <xf numFmtId="0" fontId="0" fillId="0" borderId="0" xfId="0" applyAlignment="1">
      <alignment horizontal="center"/>
    </xf>
    <xf numFmtId="2" fontId="0" fillId="2" borderId="0" xfId="0" applyNumberFormat="1" applyFill="1" applyAlignment="1">
      <alignment horizontal="center"/>
    </xf>
    <xf numFmtId="2" fontId="0" fillId="2" borderId="0" xfId="0" applyNumberFormat="1" applyFill="1" applyAlignment="1">
      <alignment horizontal="center" vertical="center"/>
    </xf>
    <xf numFmtId="1" fontId="0" fillId="2" borderId="0" xfId="0" applyNumberFormat="1" applyFill="1" applyAlignment="1">
      <alignment horizontal="center"/>
    </xf>
    <xf numFmtId="2" fontId="0" fillId="0" borderId="0" xfId="0" applyNumberFormat="1" applyFill="1" applyAlignment="1">
      <alignment horizontal="center"/>
    </xf>
    <xf numFmtId="0" fontId="0" fillId="0" borderId="0" xfId="0" applyAlignment="1">
      <alignment horizontal="right" indent="1"/>
    </xf>
    <xf numFmtId="0" fontId="0" fillId="0" borderId="0" xfId="0" applyAlignment="1">
      <alignment horizontal="right" vertical="center"/>
    </xf>
    <xf numFmtId="0" fontId="1" fillId="0" borderId="0" xfId="0" applyFont="1" applyAlignment="1">
      <alignment horizontal="center" vertical="center" wrapText="1"/>
    </xf>
    <xf numFmtId="1" fontId="0" fillId="0" borderId="0" xfId="0" applyNumberFormat="1" applyAlignment="1">
      <alignment horizontal="center" vertical="center"/>
    </xf>
    <xf numFmtId="0" fontId="0" fillId="0" borderId="0" xfId="0" applyAlignment="1">
      <alignment horizontal="center"/>
    </xf>
    <xf numFmtId="164" fontId="0" fillId="0" borderId="0" xfId="0" applyNumberFormat="1" applyAlignment="1">
      <alignment horizontal="center"/>
    </xf>
    <xf numFmtId="2" fontId="0" fillId="0" borderId="0" xfId="0" applyNumberFormat="1" applyFill="1" applyAlignment="1">
      <alignment horizontal="center"/>
    </xf>
    <xf numFmtId="1" fontId="0" fillId="0" borderId="0" xfId="0" applyNumberForma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Alignment="1">
      <alignment horizontal="center"/>
    </xf>
    <xf numFmtId="2" fontId="0" fillId="0" borderId="0" xfId="0" applyNumberFormat="1" applyFill="1" applyAlignment="1">
      <alignment horizontal="center"/>
    </xf>
    <xf numFmtId="0" fontId="0" fillId="2" borderId="0" xfId="0" applyFill="1" applyAlignment="1">
      <alignment horizontal="center" wrapText="1"/>
    </xf>
    <xf numFmtId="164" fontId="0" fillId="0" borderId="1" xfId="0" applyNumberFormat="1" applyBorder="1" applyAlignment="1">
      <alignment horizontal="center"/>
    </xf>
    <xf numFmtId="0" fontId="0" fillId="0" borderId="1" xfId="0" applyBorder="1" applyAlignment="1">
      <alignment horizontal="left" vertical="center"/>
    </xf>
    <xf numFmtId="0" fontId="0" fillId="0" borderId="0" xfId="0" applyFill="1" applyAlignment="1">
      <alignment horizontal="left"/>
    </xf>
    <xf numFmtId="2" fontId="0" fillId="0" borderId="1" xfId="0" applyNumberFormat="1" applyBorder="1" applyAlignment="1">
      <alignment horizontal="center"/>
    </xf>
    <xf numFmtId="0" fontId="9" fillId="0" borderId="0" xfId="0" applyFont="1" applyFill="1" applyAlignment="1">
      <alignment horizontal="center"/>
    </xf>
    <xf numFmtId="0" fontId="0" fillId="0" borderId="0" xfId="0" applyAlignment="1">
      <alignment horizontal="center"/>
    </xf>
    <xf numFmtId="1" fontId="0" fillId="0" borderId="0" xfId="0" applyNumberFormat="1" applyAlignment="1">
      <alignment horizontal="center"/>
    </xf>
    <xf numFmtId="168" fontId="2" fillId="0" borderId="0" xfId="1" applyNumberFormat="1" applyAlignment="1">
      <alignment horizontal="center" wrapText="1"/>
    </xf>
    <xf numFmtId="0" fontId="2" fillId="0" borderId="0" xfId="1" applyFill="1" applyAlignment="1" applyProtection="1">
      <alignment horizontal="center" wrapText="1"/>
      <protection locked="0"/>
    </xf>
    <xf numFmtId="165" fontId="2" fillId="0" borderId="0" xfId="1" applyNumberFormat="1" applyFill="1" applyAlignment="1" applyProtection="1">
      <alignment horizontal="center" wrapText="1"/>
      <protection locked="0"/>
    </xf>
    <xf numFmtId="164" fontId="0" fillId="0" borderId="0" xfId="0" applyNumberFormat="1" applyAlignment="1">
      <alignment horizontal="center"/>
    </xf>
    <xf numFmtId="2" fontId="0" fillId="0" borderId="0" xfId="0" applyNumberFormat="1" applyAlignment="1">
      <alignment horizontal="center"/>
    </xf>
    <xf numFmtId="0" fontId="0" fillId="0" borderId="0" xfId="0" applyFill="1" applyAlignment="1">
      <alignment horizontal="center"/>
    </xf>
    <xf numFmtId="0" fontId="0" fillId="2" borderId="0" xfId="0" applyFill="1" applyAlignment="1">
      <alignment horizontal="center"/>
    </xf>
    <xf numFmtId="0" fontId="2" fillId="0" borderId="0" xfId="1" applyAlignment="1">
      <alignment wrapText="1"/>
    </xf>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6" fontId="0" fillId="0" borderId="1" xfId="0" applyNumberFormat="1" applyBorder="1" applyAlignment="1">
      <alignment horizontal="center"/>
    </xf>
    <xf numFmtId="0" fontId="0" fillId="0" borderId="0" xfId="0" applyAlignment="1">
      <alignment horizontal="center"/>
    </xf>
    <xf numFmtId="1" fontId="0" fillId="0" borderId="0" xfId="0" applyNumberFormat="1"/>
    <xf numFmtId="0" fontId="0" fillId="0" borderId="0" xfId="0" applyAlignment="1"/>
    <xf numFmtId="165" fontId="0" fillId="0" borderId="0" xfId="0" applyNumberFormat="1"/>
    <xf numFmtId="165" fontId="0" fillId="0" borderId="0" xfId="0" applyNumberFormat="1" applyFill="1" applyAlignment="1">
      <alignment horizontal="center"/>
    </xf>
    <xf numFmtId="170" fontId="0" fillId="0" borderId="1" xfId="0" applyNumberFormat="1" applyBorder="1" applyAlignment="1">
      <alignment horizontal="center"/>
    </xf>
    <xf numFmtId="0" fontId="0" fillId="0" borderId="4" xfId="0" applyBorder="1" applyAlignment="1">
      <alignment horizontal="left"/>
    </xf>
    <xf numFmtId="0" fontId="10" fillId="0" borderId="1" xfId="0" applyFont="1" applyBorder="1"/>
    <xf numFmtId="0" fontId="10" fillId="0" borderId="1" xfId="0" applyFont="1" applyBorder="1" applyAlignment="1">
      <alignment horizontal="center" vertical="center"/>
    </xf>
    <xf numFmtId="0" fontId="10" fillId="0" borderId="15" xfId="0" applyFont="1" applyBorder="1"/>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0" xfId="0" applyFont="1"/>
    <xf numFmtId="0" fontId="10" fillId="0" borderId="1" xfId="0" applyFont="1" applyBorder="1" applyAlignment="1">
      <alignment horizontal="center" vertical="center" wrapText="1"/>
    </xf>
    <xf numFmtId="0" fontId="12" fillId="0" borderId="17" xfId="0" applyFont="1" applyBorder="1" applyAlignment="1">
      <alignment horizontal="left" vertical="center"/>
    </xf>
    <xf numFmtId="0" fontId="10" fillId="0" borderId="33" xfId="0" applyFont="1" applyBorder="1" applyAlignment="1">
      <alignment vertical="center"/>
    </xf>
    <xf numFmtId="0" fontId="12" fillId="0" borderId="33" xfId="0" applyFont="1" applyBorder="1" applyAlignment="1">
      <alignment horizontal="center" vertical="center" wrapText="1"/>
    </xf>
    <xf numFmtId="0" fontId="12" fillId="5" borderId="33" xfId="0" applyFont="1" applyFill="1" applyBorder="1" applyAlignment="1">
      <alignment horizontal="left" vertical="center"/>
    </xf>
    <xf numFmtId="0" fontId="10" fillId="5" borderId="34" xfId="0" applyFont="1" applyFill="1" applyBorder="1" applyAlignment="1">
      <alignment horizontal="center" vertical="center"/>
    </xf>
    <xf numFmtId="0" fontId="10" fillId="0" borderId="13" xfId="0" applyFont="1" applyBorder="1" applyAlignment="1">
      <alignment horizontal="center" vertical="center" wrapText="1"/>
    </xf>
    <xf numFmtId="3" fontId="10" fillId="0" borderId="15" xfId="0" applyNumberFormat="1" applyFont="1" applyBorder="1" applyAlignment="1">
      <alignment horizontal="center" vertical="center"/>
    </xf>
    <xf numFmtId="3" fontId="10" fillId="0" borderId="1" xfId="0" applyNumberFormat="1" applyFont="1" applyBorder="1" applyAlignment="1">
      <alignment vertical="center"/>
    </xf>
    <xf numFmtId="3" fontId="10" fillId="0" borderId="15" xfId="0" applyNumberFormat="1" applyFont="1" applyBorder="1" applyAlignment="1">
      <alignment vertical="center"/>
    </xf>
    <xf numFmtId="0" fontId="10" fillId="0" borderId="36" xfId="0" applyFont="1" applyBorder="1" applyAlignment="1">
      <alignment vertical="center"/>
    </xf>
    <xf numFmtId="0" fontId="12" fillId="0" borderId="17" xfId="0" applyFont="1" applyBorder="1" applyAlignment="1">
      <alignment horizontal="center" vertical="center"/>
    </xf>
    <xf numFmtId="3" fontId="10" fillId="0" borderId="1" xfId="0" applyNumberFormat="1" applyFont="1" applyBorder="1" applyAlignment="1">
      <alignment horizontal="center" vertical="center"/>
    </xf>
    <xf numFmtId="0" fontId="10" fillId="0" borderId="1" xfId="0" applyFont="1" applyBorder="1" applyAlignment="1">
      <alignment horizontal="center"/>
    </xf>
    <xf numFmtId="0" fontId="10" fillId="0" borderId="1" xfId="0" applyFont="1" applyBorder="1" applyAlignment="1">
      <alignment horizontal="left" vertical="center"/>
    </xf>
    <xf numFmtId="0" fontId="10" fillId="0" borderId="15" xfId="0" applyFont="1" applyBorder="1" applyAlignment="1">
      <alignment horizontal="center" vertical="center"/>
    </xf>
    <xf numFmtId="0" fontId="10" fillId="0" borderId="15" xfId="0" applyFont="1" applyBorder="1" applyAlignment="1">
      <alignment horizontal="left" vertical="center"/>
    </xf>
    <xf numFmtId="0" fontId="10" fillId="0" borderId="17" xfId="0" applyFont="1" applyBorder="1" applyAlignment="1">
      <alignment horizontal="left" vertical="center"/>
    </xf>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center"/>
    </xf>
    <xf numFmtId="0" fontId="12" fillId="0" borderId="17" xfId="0" applyFont="1" applyBorder="1" applyAlignment="1">
      <alignment horizontal="center" vertical="center"/>
    </xf>
    <xf numFmtId="3" fontId="10" fillId="0" borderId="1" xfId="0" applyNumberFormat="1" applyFont="1" applyBorder="1" applyAlignment="1">
      <alignment horizontal="center" vertical="center"/>
    </xf>
    <xf numFmtId="0" fontId="10" fillId="0" borderId="1" xfId="0" applyFont="1" applyBorder="1" applyAlignment="1">
      <alignment horizontal="center"/>
    </xf>
    <xf numFmtId="0" fontId="10" fillId="0" borderId="1" xfId="0" applyFont="1" applyBorder="1" applyAlignment="1">
      <alignment horizontal="left" vertical="center"/>
    </xf>
    <xf numFmtId="0" fontId="10" fillId="0" borderId="15" xfId="0" applyFont="1" applyBorder="1" applyAlignment="1">
      <alignment horizontal="center" vertical="center"/>
    </xf>
    <xf numFmtId="0" fontId="10" fillId="0" borderId="15" xfId="0" applyFont="1" applyBorder="1" applyAlignment="1">
      <alignment horizontal="left" vertical="center"/>
    </xf>
    <xf numFmtId="0" fontId="10" fillId="0" borderId="17" xfId="0" applyFont="1" applyBorder="1" applyAlignment="1">
      <alignment horizontal="left" vertical="center"/>
    </xf>
    <xf numFmtId="0" fontId="1" fillId="0" borderId="0" xfId="0" applyFont="1" applyAlignment="1">
      <alignment horizontal="center" wrapText="1"/>
    </xf>
    <xf numFmtId="0" fontId="0" fillId="6" borderId="0" xfId="0" applyFill="1" applyAlignment="1">
      <alignment horizontal="center"/>
    </xf>
    <xf numFmtId="2" fontId="0" fillId="6" borderId="0" xfId="0" applyNumberFormat="1" applyFill="1" applyAlignment="1">
      <alignment horizontal="center"/>
    </xf>
    <xf numFmtId="0" fontId="10" fillId="0" borderId="40" xfId="0" applyFont="1" applyBorder="1" applyAlignment="1">
      <alignment horizontal="left" vertical="center"/>
    </xf>
    <xf numFmtId="0" fontId="10" fillId="7" borderId="0" xfId="0" applyFont="1" applyFill="1"/>
    <xf numFmtId="164" fontId="10" fillId="0" borderId="1" xfId="0" applyNumberFormat="1" applyFont="1" applyBorder="1" applyAlignment="1">
      <alignment horizontal="center"/>
    </xf>
    <xf numFmtId="0" fontId="0" fillId="0" borderId="4" xfId="0" applyBorder="1" applyAlignment="1">
      <alignment vertical="center"/>
    </xf>
    <xf numFmtId="164" fontId="0" fillId="0" borderId="0" xfId="0" applyNumberFormat="1" applyBorder="1" applyAlignment="1">
      <alignment horizontal="center"/>
    </xf>
    <xf numFmtId="0" fontId="10" fillId="0" borderId="40" xfId="0" applyFont="1" applyBorder="1"/>
    <xf numFmtId="0" fontId="10" fillId="0" borderId="40" xfId="0" applyFont="1" applyBorder="1" applyAlignment="1">
      <alignment horizontal="center" vertical="center"/>
    </xf>
    <xf numFmtId="0" fontId="12" fillId="0" borderId="43" xfId="0" applyFont="1" applyBorder="1" applyAlignment="1">
      <alignment horizontal="center" vertical="center"/>
    </xf>
    <xf numFmtId="0" fontId="10" fillId="0" borderId="43" xfId="0" applyFont="1" applyBorder="1" applyAlignment="1">
      <alignment horizontal="center" vertical="center"/>
    </xf>
    <xf numFmtId="0" fontId="10" fillId="0" borderId="4" xfId="0" applyFont="1" applyBorder="1" applyAlignment="1">
      <alignment vertical="center"/>
    </xf>
    <xf numFmtId="0" fontId="12" fillId="0" borderId="4" xfId="0" applyFont="1" applyBorder="1" applyAlignment="1">
      <alignment horizontal="center" vertical="center"/>
    </xf>
    <xf numFmtId="0" fontId="14" fillId="0" borderId="9" xfId="0" applyFont="1" applyBorder="1" applyAlignment="1">
      <alignment horizontal="center" vertical="center"/>
    </xf>
    <xf numFmtId="0" fontId="14" fillId="0" borderId="12" xfId="0" applyFont="1" applyBorder="1" applyAlignment="1">
      <alignment horizontal="center" vertical="center"/>
    </xf>
    <xf numFmtId="0" fontId="14" fillId="0" borderId="39" xfId="0" applyFont="1" applyBorder="1" applyAlignment="1">
      <alignment horizontal="center" vertical="center"/>
    </xf>
    <xf numFmtId="0" fontId="14" fillId="0" borderId="14" xfId="0" applyFont="1" applyBorder="1" applyAlignment="1">
      <alignment horizontal="center" vertical="center"/>
    </xf>
    <xf numFmtId="0" fontId="14" fillId="0" borderId="42"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horizontal="center"/>
    </xf>
    <xf numFmtId="0" fontId="12" fillId="0" borderId="17" xfId="0" applyFont="1" applyBorder="1" applyAlignment="1">
      <alignment horizontal="center" vertical="center"/>
    </xf>
    <xf numFmtId="3" fontId="10" fillId="0" borderId="1" xfId="0" applyNumberFormat="1" applyFont="1" applyBorder="1" applyAlignment="1">
      <alignment horizontal="center" vertical="center"/>
    </xf>
    <xf numFmtId="0" fontId="10" fillId="0" borderId="1" xfId="0" applyFont="1" applyBorder="1" applyAlignment="1">
      <alignment horizontal="center"/>
    </xf>
    <xf numFmtId="0" fontId="10" fillId="0" borderId="1" xfId="0" applyFont="1" applyBorder="1" applyAlignment="1">
      <alignment horizontal="left" vertical="center"/>
    </xf>
    <xf numFmtId="0" fontId="10" fillId="0" borderId="15" xfId="0" applyFont="1" applyBorder="1" applyAlignment="1">
      <alignment horizontal="center" vertical="center"/>
    </xf>
    <xf numFmtId="0" fontId="10" fillId="0" borderId="15" xfId="0" applyFont="1" applyBorder="1" applyAlignment="1">
      <alignment horizontal="left" vertical="center"/>
    </xf>
    <xf numFmtId="0" fontId="10" fillId="0" borderId="17" xfId="0" applyFont="1" applyBorder="1" applyAlignment="1">
      <alignment horizontal="left" vertical="center"/>
    </xf>
    <xf numFmtId="0" fontId="10" fillId="0" borderId="20" xfId="0" applyFont="1" applyBorder="1" applyAlignment="1">
      <alignment horizontal="left" vertical="center"/>
    </xf>
    <xf numFmtId="0" fontId="10" fillId="0" borderId="25" xfId="0" applyFont="1" applyBorder="1" applyAlignment="1">
      <alignment horizontal="left" vertical="center"/>
    </xf>
    <xf numFmtId="0" fontId="14" fillId="0" borderId="47" xfId="0" applyFont="1" applyBorder="1" applyAlignment="1">
      <alignment horizontal="center" vertical="center"/>
    </xf>
    <xf numFmtId="0" fontId="10" fillId="0" borderId="20" xfId="0" applyFont="1" applyBorder="1" applyAlignment="1">
      <alignment horizontal="left" vertical="center" indent="2"/>
    </xf>
    <xf numFmtId="0" fontId="10" fillId="0" borderId="20" xfId="0" applyFont="1" applyBorder="1" applyAlignment="1">
      <alignment horizontal="left" vertical="center" indent="3"/>
    </xf>
    <xf numFmtId="0" fontId="10" fillId="0" borderId="48" xfId="0" applyFont="1" applyBorder="1" applyAlignment="1">
      <alignment horizontal="left" vertical="center" indent="3"/>
    </xf>
    <xf numFmtId="0" fontId="10" fillId="0" borderId="26" xfId="0" applyFont="1" applyBorder="1" applyAlignment="1">
      <alignment horizontal="left" vertical="center"/>
    </xf>
    <xf numFmtId="0" fontId="10" fillId="0" borderId="26" xfId="0" applyFont="1" applyBorder="1" applyAlignment="1">
      <alignment horizontal="left" vertical="center" indent="2"/>
    </xf>
    <xf numFmtId="0" fontId="10" fillId="0" borderId="26" xfId="0" applyFont="1" applyBorder="1" applyAlignment="1">
      <alignment horizontal="left" vertical="center" indent="3"/>
    </xf>
    <xf numFmtId="0" fontId="10" fillId="0" borderId="36" xfId="0" applyFont="1" applyBorder="1" applyAlignment="1">
      <alignment horizontal="left" vertical="center"/>
    </xf>
    <xf numFmtId="164" fontId="10" fillId="0" borderId="1" xfId="0" applyNumberFormat="1" applyFont="1" applyBorder="1" applyAlignment="1">
      <alignment horizontal="center" vertical="center"/>
    </xf>
    <xf numFmtId="0" fontId="10" fillId="0" borderId="22" xfId="0" applyFont="1" applyBorder="1" applyAlignment="1">
      <alignment horizontal="left" vertical="center" indent="3"/>
    </xf>
    <xf numFmtId="0" fontId="10" fillId="0" borderId="22" xfId="0" applyFont="1" applyBorder="1" applyAlignment="1">
      <alignment horizontal="left" vertical="center" indent="2"/>
    </xf>
    <xf numFmtId="0" fontId="0" fillId="0" borderId="0" xfId="0" applyAlignment="1">
      <alignment horizontal="center"/>
    </xf>
    <xf numFmtId="0" fontId="18" fillId="0" borderId="49" xfId="0" applyFont="1" applyBorder="1" applyAlignment="1">
      <alignment horizontal="center"/>
    </xf>
    <xf numFmtId="0" fontId="21" fillId="0" borderId="0" xfId="0" applyFont="1"/>
    <xf numFmtId="0" fontId="20" fillId="13" borderId="0" xfId="0" applyFont="1" applyFill="1"/>
    <xf numFmtId="0" fontId="0" fillId="0" borderId="1" xfId="0" applyBorder="1" applyAlignment="1">
      <alignment horizontal="left"/>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center" wrapText="1"/>
    </xf>
    <xf numFmtId="0" fontId="0" fillId="0" borderId="1" xfId="0" applyBorder="1" applyAlignment="1">
      <alignment wrapText="1"/>
    </xf>
    <xf numFmtId="0" fontId="0" fillId="2" borderId="1" xfId="0" applyFill="1" applyBorder="1" applyAlignment="1">
      <alignment horizontal="center"/>
    </xf>
    <xf numFmtId="164" fontId="0" fillId="8" borderId="1" xfId="0" applyNumberFormat="1" applyFill="1" applyBorder="1" applyAlignment="1">
      <alignment horizontal="center"/>
    </xf>
    <xf numFmtId="1" fontId="0" fillId="0" borderId="1" xfId="0" applyNumberFormat="1" applyBorder="1" applyAlignment="1">
      <alignment horizontal="center"/>
    </xf>
    <xf numFmtId="10" fontId="0" fillId="0" borderId="1" xfId="0" applyNumberFormat="1" applyBorder="1" applyAlignment="1">
      <alignment horizontal="center"/>
    </xf>
    <xf numFmtId="0" fontId="4" fillId="0" borderId="1" xfId="1" applyFont="1" applyBorder="1" applyAlignment="1">
      <alignment wrapText="1"/>
    </xf>
    <xf numFmtId="0" fontId="0" fillId="0" borderId="1" xfId="0" applyBorder="1" applyAlignment="1">
      <alignment horizontal="center" vertical="center"/>
    </xf>
    <xf numFmtId="0" fontId="2" fillId="0" borderId="1" xfId="1" applyBorder="1" applyAlignment="1">
      <alignment wrapText="1"/>
    </xf>
    <xf numFmtId="0" fontId="2" fillId="0" borderId="1" xfId="1" applyBorder="1" applyAlignment="1">
      <alignment horizontal="center" vertical="center" wrapText="1"/>
    </xf>
    <xf numFmtId="0" fontId="4" fillId="0" borderId="1" xfId="1" applyFont="1" applyBorder="1" applyAlignment="1"/>
    <xf numFmtId="165" fontId="2" fillId="0" borderId="1" xfId="1" applyNumberFormat="1" applyFill="1" applyBorder="1" applyAlignment="1" applyProtection="1">
      <alignment horizontal="center" wrapText="1"/>
      <protection locked="0"/>
    </xf>
    <xf numFmtId="0" fontId="2" fillId="0" borderId="1" xfId="1" applyFill="1" applyBorder="1" applyAlignment="1" applyProtection="1">
      <alignment horizontal="center" wrapText="1"/>
      <protection locked="0"/>
    </xf>
    <xf numFmtId="0" fontId="2" fillId="0" borderId="1" xfId="1" applyBorder="1" applyAlignment="1">
      <alignment horizontal="center" wrapText="1"/>
    </xf>
    <xf numFmtId="3" fontId="2" fillId="0" borderId="1" xfId="1" applyNumberFormat="1" applyFill="1" applyBorder="1" applyAlignment="1">
      <alignment horizontal="center" wrapText="1"/>
    </xf>
    <xf numFmtId="0" fontId="2" fillId="0" borderId="1" xfId="1" applyBorder="1" applyAlignment="1">
      <alignment horizontal="right" wrapText="1"/>
    </xf>
    <xf numFmtId="0" fontId="7" fillId="0" borderId="1" xfId="1" applyFont="1" applyBorder="1" applyAlignment="1">
      <alignment wrapText="1"/>
    </xf>
    <xf numFmtId="168" fontId="2" fillId="0" borderId="1" xfId="1" applyNumberFormat="1" applyBorder="1" applyAlignment="1">
      <alignment horizontal="center" wrapText="1"/>
    </xf>
    <xf numFmtId="0" fontId="1" fillId="0" borderId="1" xfId="0" applyFont="1" applyBorder="1" applyAlignment="1">
      <alignment horizontal="center"/>
    </xf>
    <xf numFmtId="0" fontId="17" fillId="9" borderId="1" xfId="0" applyFont="1" applyFill="1" applyBorder="1"/>
    <xf numFmtId="0" fontId="18" fillId="0" borderId="1" xfId="0" applyFont="1" applyBorder="1"/>
    <xf numFmtId="0" fontId="18" fillId="0" borderId="1" xfId="0" applyFont="1" applyBorder="1" applyAlignment="1">
      <alignment horizontal="center"/>
    </xf>
    <xf numFmtId="0" fontId="18" fillId="10" borderId="1" xfId="0" applyFont="1" applyFill="1" applyBorder="1"/>
    <xf numFmtId="0" fontId="18" fillId="10" borderId="1" xfId="0" applyFont="1" applyFill="1" applyBorder="1" applyAlignment="1">
      <alignment horizontal="center"/>
    </xf>
    <xf numFmtId="170" fontId="18" fillId="0" borderId="1" xfId="0" applyNumberFormat="1" applyFont="1" applyBorder="1" applyAlignment="1">
      <alignment horizontal="center"/>
    </xf>
    <xf numFmtId="165" fontId="18" fillId="11" borderId="1" xfId="0" applyNumberFormat="1" applyFont="1" applyFill="1" applyBorder="1" applyAlignment="1">
      <alignment horizontal="center"/>
    </xf>
    <xf numFmtId="0" fontId="18" fillId="12" borderId="1" xfId="0" applyFont="1" applyFill="1" applyBorder="1" applyAlignment="1">
      <alignment horizontal="center"/>
    </xf>
    <xf numFmtId="0" fontId="19" fillId="0" borderId="1" xfId="0" applyFont="1" applyBorder="1"/>
    <xf numFmtId="164" fontId="18" fillId="0" borderId="1" xfId="0" applyNumberFormat="1" applyFont="1" applyBorder="1" applyAlignment="1">
      <alignment horizontal="center"/>
    </xf>
    <xf numFmtId="0" fontId="18" fillId="0" borderId="1" xfId="0" applyFont="1" applyBorder="1" applyAlignment="1">
      <alignment horizontal="center" vertical="center"/>
    </xf>
    <xf numFmtId="0" fontId="18" fillId="11" borderId="1" xfId="0" applyFont="1" applyFill="1" applyBorder="1" applyAlignment="1">
      <alignment horizontal="center" vertical="top"/>
    </xf>
    <xf numFmtId="170" fontId="18" fillId="0" borderId="1" xfId="0" applyNumberFormat="1" applyFont="1" applyBorder="1" applyAlignment="1">
      <alignment horizontal="center" vertical="center"/>
    </xf>
    <xf numFmtId="0" fontId="18" fillId="11" borderId="1" xfId="0" applyFont="1" applyFill="1" applyBorder="1" applyAlignment="1">
      <alignment horizontal="center"/>
    </xf>
    <xf numFmtId="2" fontId="18" fillId="10" borderId="1" xfId="0" applyNumberFormat="1" applyFont="1" applyFill="1" applyBorder="1" applyAlignment="1">
      <alignment horizontal="center"/>
    </xf>
    <xf numFmtId="164" fontId="0" fillId="0" borderId="1" xfId="0" applyNumberFormat="1" applyBorder="1" applyAlignment="1">
      <alignment horizontal="center"/>
    </xf>
    <xf numFmtId="164" fontId="0" fillId="0" borderId="0" xfId="0" applyNumberFormat="1" applyAlignment="1">
      <alignment horizontal="center"/>
    </xf>
    <xf numFmtId="0" fontId="0" fillId="0" borderId="0" xfId="0" applyAlignment="1">
      <alignment horizontal="center"/>
    </xf>
    <xf numFmtId="0" fontId="10" fillId="0" borderId="1" xfId="0" applyFont="1" applyBorder="1" applyAlignment="1">
      <alignment horizontal="left" vertical="center"/>
    </xf>
    <xf numFmtId="0" fontId="10" fillId="0" borderId="36" xfId="0" applyFont="1" applyBorder="1" applyAlignment="1">
      <alignment horizontal="center" vertical="center"/>
    </xf>
    <xf numFmtId="0" fontId="12" fillId="0" borderId="17" xfId="0" applyFont="1" applyBorder="1" applyAlignment="1">
      <alignment horizontal="center" vertical="center"/>
    </xf>
    <xf numFmtId="0" fontId="10" fillId="0" borderId="33" xfId="0" applyFont="1" applyBorder="1" applyAlignment="1">
      <alignment horizontal="center" vertical="center"/>
    </xf>
    <xf numFmtId="3" fontId="10" fillId="0" borderId="1" xfId="0" applyNumberFormat="1" applyFont="1" applyBorder="1" applyAlignment="1">
      <alignment horizontal="center" vertical="center"/>
    </xf>
    <xf numFmtId="0" fontId="10" fillId="0" borderId="1" xfId="0" applyFont="1" applyBorder="1" applyAlignment="1">
      <alignment horizontal="center"/>
    </xf>
    <xf numFmtId="0" fontId="10" fillId="0" borderId="15" xfId="0" applyFont="1" applyBorder="1" applyAlignment="1">
      <alignment horizontal="center" vertical="center"/>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40" xfId="0" applyFont="1" applyBorder="1" applyAlignment="1">
      <alignment horizontal="left" vertical="center"/>
    </xf>
    <xf numFmtId="0" fontId="10" fillId="5" borderId="32" xfId="0" applyFont="1" applyFill="1" applyBorder="1" applyAlignment="1">
      <alignment horizontal="center" vertical="center"/>
    </xf>
    <xf numFmtId="0" fontId="10" fillId="0" borderId="43" xfId="0" applyFont="1" applyBorder="1" applyAlignment="1">
      <alignment horizontal="left" vertical="center"/>
    </xf>
    <xf numFmtId="0" fontId="12" fillId="0" borderId="34" xfId="0" applyFont="1" applyBorder="1" applyAlignment="1">
      <alignment horizontal="center" vertical="center" wrapText="1"/>
    </xf>
    <xf numFmtId="0" fontId="14" fillId="0" borderId="51" xfId="0" applyFont="1" applyBorder="1" applyAlignment="1">
      <alignment horizontal="center" vertical="center"/>
    </xf>
    <xf numFmtId="0" fontId="10" fillId="0" borderId="0" xfId="0" applyFont="1" applyAlignment="1">
      <alignment horizontal="left" vertical="center"/>
    </xf>
    <xf numFmtId="0" fontId="10" fillId="0" borderId="18" xfId="0" applyFont="1" applyBorder="1" applyAlignment="1">
      <alignment horizontal="left" vertical="center" indent="3"/>
    </xf>
    <xf numFmtId="0" fontId="10" fillId="0" borderId="19" xfId="0" applyFont="1" applyBorder="1" applyAlignment="1">
      <alignment horizontal="left" vertical="center"/>
    </xf>
    <xf numFmtId="0" fontId="10" fillId="0" borderId="19" xfId="0" applyFont="1" applyBorder="1" applyAlignment="1">
      <alignment horizontal="left" vertical="center" indent="2"/>
    </xf>
    <xf numFmtId="0" fontId="10" fillId="0" borderId="19" xfId="0" applyFont="1" applyBorder="1" applyAlignment="1">
      <alignment horizontal="left" vertical="center" indent="3"/>
    </xf>
    <xf numFmtId="0" fontId="10" fillId="0" borderId="35" xfId="0" applyFont="1" applyBorder="1" applyAlignment="1">
      <alignment horizontal="left" vertical="center"/>
    </xf>
    <xf numFmtId="0" fontId="12" fillId="5" borderId="32" xfId="0" applyFont="1" applyFill="1" applyBorder="1" applyAlignment="1">
      <alignment horizontal="center" vertical="center"/>
    </xf>
    <xf numFmtId="0" fontId="12" fillId="0" borderId="43" xfId="0" applyFont="1" applyBorder="1" applyAlignment="1">
      <alignment horizontal="left" vertical="center"/>
    </xf>
    <xf numFmtId="0" fontId="10" fillId="0" borderId="34" xfId="0" applyFont="1" applyBorder="1" applyAlignment="1">
      <alignment horizontal="center" vertical="center"/>
    </xf>
    <xf numFmtId="0" fontId="10" fillId="0" borderId="35" xfId="0" applyFont="1" applyBorder="1" applyAlignment="1">
      <alignment horizontal="center" vertical="center"/>
    </xf>
    <xf numFmtId="0" fontId="10" fillId="0" borderId="40" xfId="0" applyFont="1" applyBorder="1" applyAlignment="1">
      <alignment horizontal="center"/>
    </xf>
    <xf numFmtId="3" fontId="10" fillId="0" borderId="40" xfId="0" applyNumberFormat="1" applyFont="1" applyBorder="1" applyAlignment="1">
      <alignment horizontal="center" vertical="center"/>
    </xf>
    <xf numFmtId="3" fontId="10" fillId="0" borderId="40" xfId="0" applyNumberFormat="1" applyFont="1" applyBorder="1" applyAlignment="1">
      <alignment vertical="center"/>
    </xf>
    <xf numFmtId="0" fontId="10" fillId="0" borderId="0" xfId="0" applyFont="1" applyAlignment="1">
      <alignment horizontal="center"/>
    </xf>
    <xf numFmtId="1" fontId="10" fillId="0" borderId="1" xfId="0" applyNumberFormat="1" applyFont="1" applyBorder="1" applyAlignment="1">
      <alignment horizontal="center"/>
    </xf>
    <xf numFmtId="0" fontId="10" fillId="0" borderId="33" xfId="0" applyFont="1" applyBorder="1" applyAlignment="1">
      <alignment horizontal="center" vertical="center" wrapText="1"/>
    </xf>
    <xf numFmtId="0" fontId="10" fillId="0" borderId="35" xfId="0" applyFont="1" applyBorder="1" applyAlignment="1">
      <alignment horizontal="center" vertical="center" wrapText="1"/>
    </xf>
    <xf numFmtId="0" fontId="0" fillId="0" borderId="0" xfId="0" applyAlignment="1">
      <alignment horizontal="right" wrapText="1"/>
    </xf>
    <xf numFmtId="0" fontId="1" fillId="0" borderId="0" xfId="0" applyFont="1" applyAlignment="1">
      <alignment vertical="center" wrapText="1"/>
    </xf>
    <xf numFmtId="0" fontId="12" fillId="0" borderId="43" xfId="0" applyFont="1" applyBorder="1" applyAlignment="1">
      <alignment horizontal="left" vertical="center" wrapText="1"/>
    </xf>
    <xf numFmtId="0" fontId="10" fillId="0" borderId="1" xfId="0" applyFont="1" applyBorder="1" applyAlignment="1">
      <alignment horizontal="left" vertical="center" wrapText="1"/>
    </xf>
    <xf numFmtId="0" fontId="10" fillId="0" borderId="1" xfId="0" applyFont="1" applyBorder="1" applyAlignment="1">
      <alignment wrapText="1"/>
    </xf>
    <xf numFmtId="0" fontId="12" fillId="0" borderId="58" xfId="0" applyFont="1" applyBorder="1" applyAlignment="1">
      <alignment vertical="center" wrapText="1"/>
    </xf>
    <xf numFmtId="0" fontId="10" fillId="0" borderId="28" xfId="0" applyFont="1" applyBorder="1" applyAlignment="1">
      <alignment vertical="center" wrapText="1"/>
    </xf>
    <xf numFmtId="0" fontId="10" fillId="0" borderId="59" xfId="0" applyFont="1" applyBorder="1" applyAlignment="1">
      <alignment vertical="center" wrapText="1"/>
    </xf>
    <xf numFmtId="0" fontId="12" fillId="0" borderId="0" xfId="0" applyFont="1" applyBorder="1" applyAlignment="1">
      <alignment horizontal="center" vertical="center"/>
    </xf>
    <xf numFmtId="0" fontId="0" fillId="0" borderId="0" xfId="0" applyBorder="1"/>
    <xf numFmtId="0" fontId="10" fillId="0" borderId="0" xfId="0" applyFont="1" applyBorder="1" applyAlignment="1">
      <alignment horizontal="center" vertical="center"/>
    </xf>
    <xf numFmtId="3" fontId="10" fillId="0" borderId="0" xfId="0" applyNumberFormat="1" applyFont="1" applyBorder="1" applyAlignment="1">
      <alignment horizontal="center" vertical="center"/>
    </xf>
    <xf numFmtId="165" fontId="0" fillId="2" borderId="0" xfId="0" applyNumberFormat="1" applyFill="1" applyAlignment="1">
      <alignment horizontal="center"/>
    </xf>
    <xf numFmtId="170" fontId="0" fillId="2" borderId="0" xfId="0" applyNumberFormat="1" applyFill="1" applyAlignment="1">
      <alignment horizontal="center"/>
    </xf>
    <xf numFmtId="171" fontId="0" fillId="0" borderId="0" xfId="2" applyNumberFormat="1" applyFont="1" applyFill="1" applyAlignment="1">
      <alignment horizontal="center"/>
    </xf>
    <xf numFmtId="0" fontId="0" fillId="0" borderId="0" xfId="0" applyFill="1" applyAlignment="1">
      <alignment horizontal="center"/>
    </xf>
    <xf numFmtId="164" fontId="0" fillId="0" borderId="0" xfId="0" applyNumberFormat="1" applyAlignment="1">
      <alignment horizontal="center"/>
    </xf>
    <xf numFmtId="0" fontId="12" fillId="0" borderId="43" xfId="0" applyFont="1" applyBorder="1" applyAlignment="1">
      <alignment horizontal="center" vertical="center"/>
    </xf>
    <xf numFmtId="3" fontId="10" fillId="0" borderId="1" xfId="0" applyNumberFormat="1" applyFont="1" applyBorder="1" applyAlignment="1">
      <alignment horizontal="center" vertic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0" xfId="0"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0" fontId="10" fillId="0" borderId="1" xfId="0" applyFont="1" applyBorder="1" applyAlignment="1">
      <alignment horizontal="center"/>
    </xf>
    <xf numFmtId="0" fontId="10" fillId="0" borderId="1" xfId="0" applyFont="1" applyBorder="1" applyAlignment="1">
      <alignment horizontal="left" vertical="center"/>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36" xfId="0" applyFont="1" applyBorder="1" applyAlignment="1">
      <alignment horizontal="center" vertical="center"/>
    </xf>
    <xf numFmtId="0" fontId="10" fillId="0" borderId="33" xfId="0" applyFont="1" applyBorder="1" applyAlignment="1">
      <alignment horizontal="center" vertical="center"/>
    </xf>
    <xf numFmtId="0" fontId="10" fillId="0" borderId="43" xfId="0" applyFont="1" applyBorder="1" applyAlignment="1">
      <alignment horizontal="left" vertical="center"/>
    </xf>
    <xf numFmtId="0" fontId="10" fillId="0" borderId="40" xfId="0" applyFont="1" applyBorder="1" applyAlignment="1">
      <alignment horizontal="center" vertical="center"/>
    </xf>
    <xf numFmtId="1" fontId="10" fillId="0" borderId="1" xfId="0" applyNumberFormat="1" applyFont="1" applyBorder="1" applyAlignment="1">
      <alignment horizontal="center"/>
    </xf>
    <xf numFmtId="0" fontId="10" fillId="0" borderId="40" xfId="0" applyFont="1" applyBorder="1" applyAlignment="1">
      <alignment horizontal="left" vertical="center"/>
    </xf>
    <xf numFmtId="0" fontId="25" fillId="0" borderId="65" xfId="0" applyFont="1" applyBorder="1" applyAlignment="1">
      <alignment horizontal="left" vertical="top" wrapText="1"/>
    </xf>
    <xf numFmtId="0" fontId="25" fillId="0" borderId="65" xfId="0" applyFont="1" applyBorder="1" applyAlignment="1">
      <alignment horizontal="center" vertical="top" wrapText="1"/>
    </xf>
    <xf numFmtId="0" fontId="25" fillId="0" borderId="65" xfId="0" applyFont="1" applyBorder="1" applyAlignment="1">
      <alignment horizontal="center" vertical="center" wrapText="1"/>
    </xf>
    <xf numFmtId="0" fontId="26" fillId="0" borderId="65" xfId="0" applyFont="1" applyBorder="1" applyAlignment="1">
      <alignment horizontal="center" vertical="center" wrapText="1"/>
    </xf>
    <xf numFmtId="0" fontId="25" fillId="14" borderId="65" xfId="0" applyFont="1" applyFill="1" applyBorder="1" applyAlignment="1">
      <alignment horizontal="center" vertical="center" wrapText="1"/>
    </xf>
    <xf numFmtId="1" fontId="27" fillId="0" borderId="65" xfId="0" applyNumberFormat="1" applyFont="1" applyBorder="1" applyAlignment="1">
      <alignment horizontal="center" vertical="center" shrinkToFit="1"/>
    </xf>
    <xf numFmtId="0" fontId="0" fillId="0" borderId="65" xfId="0" applyBorder="1" applyAlignment="1">
      <alignment horizontal="center" vertical="center" wrapText="1"/>
    </xf>
    <xf numFmtId="0" fontId="10" fillId="0" borderId="70" xfId="0" applyFont="1" applyBorder="1" applyAlignment="1">
      <alignment horizontal="left" vertical="center"/>
    </xf>
    <xf numFmtId="0" fontId="10" fillId="0" borderId="71" xfId="0" applyFont="1" applyBorder="1" applyAlignment="1">
      <alignment horizontal="left" vertical="center" indent="3"/>
    </xf>
    <xf numFmtId="0" fontId="10" fillId="0" borderId="72" xfId="0" applyFont="1" applyBorder="1" applyAlignment="1">
      <alignment horizontal="left" vertical="center"/>
    </xf>
    <xf numFmtId="0" fontId="10" fillId="0" borderId="72" xfId="0" applyFont="1" applyBorder="1" applyAlignment="1">
      <alignment horizontal="left" vertical="center" indent="2"/>
    </xf>
    <xf numFmtId="0" fontId="10" fillId="0" borderId="72" xfId="0" applyFont="1" applyBorder="1" applyAlignment="1">
      <alignment horizontal="left" vertical="center" indent="3"/>
    </xf>
    <xf numFmtId="0" fontId="10" fillId="0" borderId="73" xfId="0" applyFont="1" applyBorder="1" applyAlignment="1">
      <alignment horizontal="left" vertical="center"/>
    </xf>
    <xf numFmtId="0" fontId="16" fillId="0" borderId="74" xfId="0" applyFont="1" applyBorder="1" applyAlignment="1">
      <alignment horizontal="center" vertical="center"/>
    </xf>
    <xf numFmtId="0" fontId="23" fillId="0" borderId="65" xfId="0" applyFont="1" applyBorder="1" applyAlignment="1">
      <alignment horizontal="left" vertical="top" wrapText="1"/>
    </xf>
    <xf numFmtId="0" fontId="23" fillId="0" borderId="65" xfId="0" applyFont="1" applyBorder="1" applyAlignment="1">
      <alignment horizontal="left" vertical="top" wrapText="1" indent="2"/>
    </xf>
    <xf numFmtId="0" fontId="23" fillId="0" borderId="65" xfId="0" applyFont="1" applyBorder="1" applyAlignment="1">
      <alignment horizontal="center" vertical="top" wrapText="1"/>
    </xf>
    <xf numFmtId="0" fontId="25" fillId="0" borderId="65" xfId="0" applyFont="1" applyBorder="1" applyAlignment="1">
      <alignment horizontal="left" vertical="top" wrapText="1" indent="2"/>
    </xf>
    <xf numFmtId="3" fontId="28" fillId="0" borderId="65" xfId="0" applyNumberFormat="1" applyFont="1" applyBorder="1" applyAlignment="1">
      <alignment horizontal="center" vertical="top" shrinkToFit="1"/>
    </xf>
    <xf numFmtId="1" fontId="28" fillId="0" borderId="65" xfId="0" applyNumberFormat="1" applyFont="1" applyBorder="1" applyAlignment="1">
      <alignment horizontal="center" vertical="top" shrinkToFit="1"/>
    </xf>
    <xf numFmtId="164" fontId="28" fillId="0" borderId="65" xfId="0" applyNumberFormat="1" applyFont="1" applyBorder="1" applyAlignment="1">
      <alignment horizontal="center" vertical="top" shrinkToFit="1"/>
    </xf>
    <xf numFmtId="0" fontId="25" fillId="0" borderId="65" xfId="0" applyFont="1" applyBorder="1" applyAlignment="1">
      <alignment horizontal="right" vertical="top" wrapText="1" indent="1"/>
    </xf>
    <xf numFmtId="0" fontId="25" fillId="0" borderId="65" xfId="0" applyFont="1" applyBorder="1" applyAlignment="1">
      <alignment horizontal="right" vertical="top" wrapText="1"/>
    </xf>
    <xf numFmtId="0" fontId="0" fillId="0" borderId="65" xfId="0" applyBorder="1" applyAlignment="1">
      <alignment horizontal="left" vertical="center" wrapText="1"/>
    </xf>
    <xf numFmtId="0" fontId="25" fillId="0" borderId="65" xfId="0" applyFont="1" applyBorder="1" applyAlignment="1">
      <alignment horizontal="left" vertical="top" wrapText="1" indent="1"/>
    </xf>
    <xf numFmtId="0" fontId="0" fillId="0" borderId="0" xfId="0" applyAlignment="1">
      <alignment horizontal="left" vertical="top"/>
    </xf>
    <xf numFmtId="2" fontId="10" fillId="0" borderId="0" xfId="0" applyNumberFormat="1" applyFont="1"/>
    <xf numFmtId="0" fontId="1" fillId="0" borderId="0" xfId="0" applyFont="1" applyAlignment="1">
      <alignment wrapText="1"/>
    </xf>
    <xf numFmtId="0" fontId="1" fillId="0" borderId="0" xfId="0" applyFont="1"/>
    <xf numFmtId="172" fontId="0" fillId="0" borderId="0" xfId="2" applyNumberFormat="1" applyFont="1" applyFill="1" applyAlignment="1">
      <alignment horizontal="center"/>
    </xf>
    <xf numFmtId="2" fontId="0" fillId="0" borderId="0" xfId="0" applyNumberFormat="1"/>
    <xf numFmtId="0" fontId="25" fillId="0" borderId="65" xfId="0" applyFont="1" applyBorder="1" applyAlignment="1">
      <alignment horizontal="left" vertical="center" wrapText="1"/>
    </xf>
    <xf numFmtId="0" fontId="26" fillId="0" borderId="65" xfId="0" applyFont="1" applyBorder="1" applyAlignment="1">
      <alignment horizontal="left" vertical="top" wrapText="1"/>
    </xf>
    <xf numFmtId="0" fontId="25" fillId="0" borderId="65" xfId="0" applyFont="1" applyBorder="1" applyAlignment="1">
      <alignment horizontal="left" vertical="center" wrapText="1" indent="1"/>
    </xf>
    <xf numFmtId="0" fontId="0" fillId="0" borderId="43" xfId="0" applyBorder="1"/>
    <xf numFmtId="0" fontId="0" fillId="0" borderId="43" xfId="0" applyBorder="1" applyAlignment="1">
      <alignment horizontal="center"/>
    </xf>
    <xf numFmtId="0" fontId="0" fillId="0" borderId="43" xfId="0" applyFill="1" applyBorder="1" applyAlignment="1">
      <alignment horizontal="center"/>
    </xf>
    <xf numFmtId="0" fontId="12" fillId="0" borderId="1" xfId="0" applyFont="1" applyBorder="1" applyAlignment="1">
      <alignment vertical="center"/>
    </xf>
    <xf numFmtId="0" fontId="10" fillId="0" borderId="1" xfId="0" applyFont="1" applyBorder="1" applyAlignment="1">
      <alignment horizontal="center" vertical="top" wrapText="1"/>
    </xf>
    <xf numFmtId="0" fontId="0" fillId="2" borderId="1" xfId="0" applyFill="1" applyBorder="1" applyAlignment="1">
      <alignment horizontal="center"/>
    </xf>
    <xf numFmtId="0" fontId="18" fillId="2" borderId="1" xfId="0" applyFont="1" applyFill="1" applyBorder="1"/>
    <xf numFmtId="0" fontId="18" fillId="2" borderId="1" xfId="0" applyFont="1" applyFill="1" applyBorder="1" applyAlignment="1">
      <alignment horizontal="center"/>
    </xf>
    <xf numFmtId="164" fontId="18" fillId="2" borderId="1" xfId="0" applyNumberFormat="1" applyFont="1" applyFill="1" applyBorder="1" applyAlignment="1">
      <alignment horizontal="center"/>
    </xf>
    <xf numFmtId="0" fontId="18" fillId="15" borderId="1" xfId="0" applyFont="1" applyFill="1" applyBorder="1" applyAlignment="1">
      <alignment horizontal="center" wrapText="1"/>
    </xf>
    <xf numFmtId="0" fontId="10" fillId="0" borderId="8" xfId="0" applyFont="1" applyBorder="1" applyAlignment="1">
      <alignment horizontal="left" vertical="center"/>
    </xf>
    <xf numFmtId="0" fontId="10" fillId="0" borderId="0" xfId="0" applyFont="1" applyBorder="1" applyAlignment="1">
      <alignment horizontal="left" vertical="center"/>
    </xf>
    <xf numFmtId="0" fontId="10" fillId="0" borderId="45" xfId="0" applyFont="1" applyBorder="1" applyAlignment="1">
      <alignment horizontal="left" vertical="center"/>
    </xf>
    <xf numFmtId="0" fontId="1" fillId="0" borderId="1" xfId="0" applyFont="1" applyBorder="1" applyAlignment="1">
      <alignment horizontal="center"/>
    </xf>
    <xf numFmtId="168" fontId="2" fillId="0" borderId="1" xfId="1" applyNumberFormat="1" applyBorder="1" applyAlignment="1">
      <alignment horizontal="center" wrapText="1"/>
    </xf>
    <xf numFmtId="0" fontId="2" fillId="0" borderId="1" xfId="1" applyBorder="1" applyAlignment="1">
      <alignment horizontal="center" wrapText="1"/>
    </xf>
    <xf numFmtId="0" fontId="0" fillId="0" borderId="1" xfId="0" applyBorder="1" applyAlignment="1">
      <alignment horizontal="center"/>
    </xf>
    <xf numFmtId="2" fontId="2" fillId="0" borderId="1" xfId="1" applyNumberFormat="1" applyBorder="1" applyAlignment="1">
      <alignment horizontal="center" wrapText="1"/>
    </xf>
    <xf numFmtId="0" fontId="2" fillId="0" borderId="1" xfId="1" applyFill="1" applyBorder="1" applyAlignment="1" applyProtection="1">
      <alignment horizontal="center" wrapText="1"/>
      <protection locked="0"/>
    </xf>
    <xf numFmtId="165" fontId="2" fillId="0" borderId="1" xfId="1" applyNumberFormat="1" applyFill="1" applyBorder="1" applyAlignment="1" applyProtection="1">
      <alignment horizontal="center" wrapText="1"/>
      <protection locked="0"/>
    </xf>
    <xf numFmtId="164" fontId="0" fillId="0" borderId="1" xfId="0" applyNumberFormat="1"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0" borderId="40" xfId="0" applyBorder="1"/>
    <xf numFmtId="9" fontId="0" fillId="0" borderId="40" xfId="0" applyNumberFormat="1" applyBorder="1" applyAlignment="1">
      <alignment horizontal="center"/>
    </xf>
    <xf numFmtId="0" fontId="12" fillId="0" borderId="43" xfId="0" applyFont="1" applyBorder="1" applyAlignment="1">
      <alignment horizontal="center" vertical="center"/>
    </xf>
    <xf numFmtId="0" fontId="10" fillId="0" borderId="33" xfId="0" applyFont="1" applyBorder="1" applyAlignment="1">
      <alignment horizontal="center" vertical="center"/>
    </xf>
    <xf numFmtId="0" fontId="10" fillId="0" borderId="43" xfId="0" applyFont="1" applyBorder="1" applyAlignment="1">
      <alignment horizontal="left" vertical="center"/>
    </xf>
    <xf numFmtId="0" fontId="12" fillId="0" borderId="43" xfId="0" applyFont="1" applyBorder="1" applyAlignment="1">
      <alignment horizontal="center" vertical="center"/>
    </xf>
    <xf numFmtId="3" fontId="10" fillId="0" borderId="1" xfId="0" applyNumberFormat="1" applyFont="1" applyBorder="1" applyAlignment="1">
      <alignment horizontal="center" vertical="center"/>
    </xf>
    <xf numFmtId="164" fontId="0" fillId="0" borderId="1" xfId="0" applyNumberFormat="1" applyBorder="1" applyAlignment="1">
      <alignment horizontal="center"/>
    </xf>
    <xf numFmtId="165" fontId="0" fillId="0" borderId="1" xfId="0" applyNumberFormat="1" applyBorder="1" applyAlignment="1">
      <alignment horizontal="center"/>
    </xf>
    <xf numFmtId="0" fontId="0" fillId="0" borderId="0" xfId="0" applyAlignment="1">
      <alignment horizontal="center"/>
    </xf>
    <xf numFmtId="164" fontId="0" fillId="0" borderId="0" xfId="0" applyNumberFormat="1" applyAlignment="1">
      <alignment horizontal="center"/>
    </xf>
    <xf numFmtId="0" fontId="10" fillId="0" borderId="1" xfId="0" applyFont="1" applyBorder="1" applyAlignment="1">
      <alignment horizontal="center"/>
    </xf>
    <xf numFmtId="0" fontId="10" fillId="0" borderId="1" xfId="0" applyFont="1" applyBorder="1" applyAlignment="1">
      <alignment horizontal="left" vertical="center"/>
    </xf>
    <xf numFmtId="0" fontId="0" fillId="0" borderId="4" xfId="0" applyBorder="1" applyAlignment="1">
      <alignment horizontal="left"/>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36" xfId="0" applyFont="1" applyBorder="1" applyAlignment="1">
      <alignment horizontal="center" vertical="center"/>
    </xf>
    <xf numFmtId="0" fontId="10" fillId="0" borderId="33" xfId="0" applyFont="1" applyBorder="1" applyAlignment="1">
      <alignment horizontal="center" vertical="center"/>
    </xf>
    <xf numFmtId="0" fontId="10" fillId="0" borderId="43" xfId="0" applyFont="1" applyBorder="1" applyAlignment="1">
      <alignment horizontal="left" vertical="center"/>
    </xf>
    <xf numFmtId="0" fontId="10" fillId="0" borderId="40" xfId="0" applyFont="1" applyBorder="1" applyAlignment="1">
      <alignment horizontal="center" vertical="center"/>
    </xf>
    <xf numFmtId="1" fontId="10" fillId="0" borderId="1" xfId="0" applyNumberFormat="1" applyFont="1" applyBorder="1" applyAlignment="1">
      <alignment horizontal="center"/>
    </xf>
    <xf numFmtId="0" fontId="10" fillId="0" borderId="40" xfId="0" applyFont="1" applyBorder="1" applyAlignment="1">
      <alignment horizontal="left" vertical="center"/>
    </xf>
    <xf numFmtId="0" fontId="10" fillId="0" borderId="8" xfId="0" applyFont="1" applyBorder="1" applyAlignment="1">
      <alignment horizontal="left" vertical="center"/>
    </xf>
    <xf numFmtId="0" fontId="10" fillId="0" borderId="0" xfId="0" applyFont="1" applyBorder="1" applyAlignment="1">
      <alignment horizontal="left" vertical="center"/>
    </xf>
    <xf numFmtId="0" fontId="10" fillId="0" borderId="45" xfId="0" applyFont="1" applyBorder="1" applyAlignment="1">
      <alignment horizontal="left" vertical="center"/>
    </xf>
    <xf numFmtId="0" fontId="10" fillId="0" borderId="45" xfId="0" applyFont="1" applyBorder="1" applyAlignment="1">
      <alignment horizontal="center" vertical="center"/>
    </xf>
    <xf numFmtId="164" fontId="10" fillId="0" borderId="1" xfId="0" applyNumberFormat="1" applyFont="1" applyBorder="1" applyAlignment="1">
      <alignment horizontal="center"/>
    </xf>
    <xf numFmtId="173" fontId="10" fillId="0" borderId="6" xfId="0" applyNumberFormat="1" applyFont="1" applyBorder="1" applyAlignment="1">
      <alignment horizontal="center" vertical="center"/>
    </xf>
    <xf numFmtId="0" fontId="12" fillId="0" borderId="43" xfId="0" applyFont="1" applyBorder="1" applyAlignment="1">
      <alignment horizontal="center" vertical="center"/>
    </xf>
    <xf numFmtId="3" fontId="10" fillId="0" borderId="1" xfId="0" applyNumberFormat="1" applyFont="1" applyBorder="1" applyAlignment="1">
      <alignment horizontal="center" vertical="center"/>
    </xf>
    <xf numFmtId="164" fontId="0" fillId="0" borderId="1" xfId="0" applyNumberFormat="1" applyBorder="1" applyAlignment="1">
      <alignment horizontal="center"/>
    </xf>
    <xf numFmtId="165" fontId="0" fillId="0" borderId="1" xfId="0" applyNumberFormat="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4" xfId="0" applyBorder="1" applyAlignment="1">
      <alignment horizontal="left"/>
    </xf>
    <xf numFmtId="0" fontId="10" fillId="0" borderId="1" xfId="0" applyFont="1" applyBorder="1" applyAlignment="1">
      <alignment horizontal="center"/>
    </xf>
    <xf numFmtId="0" fontId="10" fillId="0" borderId="1" xfId="0" applyFont="1" applyBorder="1" applyAlignment="1">
      <alignment horizontal="left" vertical="center"/>
    </xf>
    <xf numFmtId="0" fontId="10" fillId="0" borderId="36" xfId="0" applyFont="1" applyBorder="1" applyAlignment="1">
      <alignment horizontal="center" vertical="center"/>
    </xf>
    <xf numFmtId="0" fontId="10" fillId="0" borderId="33" xfId="0" applyFont="1" applyBorder="1" applyAlignment="1">
      <alignment horizontal="center" vertical="center"/>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40" xfId="0" applyFont="1" applyBorder="1" applyAlignment="1">
      <alignment horizontal="center" vertical="center"/>
    </xf>
    <xf numFmtId="0" fontId="10" fillId="0" borderId="43" xfId="0" applyFont="1" applyBorder="1" applyAlignment="1">
      <alignment horizontal="left" vertical="center"/>
    </xf>
    <xf numFmtId="1" fontId="10" fillId="0" borderId="1" xfId="0" applyNumberFormat="1" applyFont="1" applyBorder="1" applyAlignment="1">
      <alignment horizontal="center"/>
    </xf>
    <xf numFmtId="0" fontId="10" fillId="0" borderId="40" xfId="0" applyFont="1" applyBorder="1" applyAlignment="1">
      <alignment horizontal="left" vertical="center"/>
    </xf>
    <xf numFmtId="0" fontId="10" fillId="0" borderId="8" xfId="0" applyFont="1" applyBorder="1" applyAlignment="1">
      <alignment horizontal="left" vertical="center"/>
    </xf>
    <xf numFmtId="0" fontId="10" fillId="0" borderId="0" xfId="0" applyFont="1" applyBorder="1" applyAlignment="1">
      <alignment horizontal="left" vertical="center"/>
    </xf>
    <xf numFmtId="0" fontId="10" fillId="0" borderId="45" xfId="0" applyFont="1" applyBorder="1" applyAlignment="1">
      <alignment horizontal="left" vertical="center"/>
    </xf>
    <xf numFmtId="173" fontId="10" fillId="0" borderId="6" xfId="0" applyNumberFormat="1" applyFont="1" applyBorder="1" applyAlignment="1">
      <alignment horizontal="center" vertical="center"/>
    </xf>
    <xf numFmtId="164" fontId="10" fillId="0" borderId="1" xfId="0" applyNumberFormat="1" applyFont="1" applyBorder="1" applyAlignment="1">
      <alignment horizontal="center"/>
    </xf>
    <xf numFmtId="0" fontId="10" fillId="0" borderId="45" xfId="0" applyFont="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xf>
    <xf numFmtId="168" fontId="2" fillId="0" borderId="1" xfId="1" applyNumberFormat="1" applyBorder="1" applyAlignment="1">
      <alignment horizontal="center" wrapText="1"/>
    </xf>
    <xf numFmtId="0" fontId="2" fillId="0" borderId="1" xfId="1" applyBorder="1" applyAlignment="1">
      <alignment horizontal="center" wrapText="1"/>
    </xf>
    <xf numFmtId="0" fontId="0" fillId="0" borderId="1" xfId="0" applyBorder="1" applyAlignment="1">
      <alignment horizontal="center"/>
    </xf>
    <xf numFmtId="2" fontId="2" fillId="0" borderId="1" xfId="1" applyNumberFormat="1" applyBorder="1" applyAlignment="1">
      <alignment horizontal="center" wrapText="1"/>
    </xf>
    <xf numFmtId="0" fontId="2" fillId="0" borderId="1" xfId="1" applyFill="1" applyBorder="1" applyAlignment="1" applyProtection="1">
      <alignment horizontal="center" wrapText="1"/>
      <protection locked="0"/>
    </xf>
    <xf numFmtId="165" fontId="2" fillId="0" borderId="1" xfId="1" applyNumberFormat="1" applyFill="1" applyBorder="1" applyAlignment="1" applyProtection="1">
      <alignment horizontal="center" wrapText="1"/>
      <protection locked="0"/>
    </xf>
    <xf numFmtId="0" fontId="0" fillId="0" borderId="1" xfId="0" applyFill="1" applyBorder="1" applyAlignment="1">
      <alignment horizontal="center"/>
    </xf>
    <xf numFmtId="0" fontId="0" fillId="2" borderId="1" xfId="0" applyFill="1" applyBorder="1" applyAlignment="1">
      <alignment horizontal="center"/>
    </xf>
    <xf numFmtId="164" fontId="0" fillId="0" borderId="1" xfId="0" applyNumberFormat="1"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2" fillId="0" borderId="1" xfId="1" applyBorder="1" applyAlignment="1">
      <alignment wrapText="1"/>
    </xf>
    <xf numFmtId="0" fontId="0" fillId="0" borderId="0" xfId="0" applyAlignment="1">
      <alignment horizontal="center"/>
    </xf>
    <xf numFmtId="0" fontId="10" fillId="0" borderId="8" xfId="0" applyFont="1" applyBorder="1" applyAlignment="1">
      <alignment horizontal="left" vertical="center"/>
    </xf>
    <xf numFmtId="0" fontId="10" fillId="0" borderId="0" xfId="0" applyFont="1" applyBorder="1" applyAlignment="1">
      <alignment horizontal="left" vertical="center"/>
    </xf>
    <xf numFmtId="0" fontId="10" fillId="0" borderId="45" xfId="0" applyFont="1" applyBorder="1" applyAlignment="1">
      <alignment horizontal="left" vertical="center"/>
    </xf>
    <xf numFmtId="164" fontId="0" fillId="0" borderId="1" xfId="0" applyNumberFormat="1" applyBorder="1" applyAlignment="1">
      <alignment horizontal="center"/>
    </xf>
    <xf numFmtId="2" fontId="0" fillId="0" borderId="1" xfId="0" applyNumberFormat="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4" xfId="0" applyBorder="1" applyAlignment="1">
      <alignment horizontal="left"/>
    </xf>
    <xf numFmtId="0" fontId="10" fillId="0" borderId="1" xfId="0" applyFont="1" applyBorder="1" applyAlignment="1">
      <alignment horizontal="left" vertical="center"/>
    </xf>
    <xf numFmtId="170" fontId="0" fillId="0" borderId="0" xfId="0" applyNumberFormat="1" applyFill="1" applyAlignment="1">
      <alignment horizontal="center"/>
    </xf>
    <xf numFmtId="0" fontId="0" fillId="2" borderId="0" xfId="0" applyFill="1"/>
    <xf numFmtId="0" fontId="2" fillId="0" borderId="1" xfId="1" applyBorder="1" applyAlignment="1">
      <alignment horizontal="center" wrapText="1"/>
    </xf>
    <xf numFmtId="0" fontId="0" fillId="0" borderId="1" xfId="0" applyBorder="1" applyAlignment="1">
      <alignment horizontal="center"/>
    </xf>
    <xf numFmtId="0" fontId="1" fillId="0" borderId="1" xfId="0" applyFont="1" applyBorder="1" applyAlignment="1">
      <alignment horizontal="center"/>
    </xf>
    <xf numFmtId="168" fontId="2" fillId="0" borderId="1" xfId="1" applyNumberFormat="1" applyBorder="1" applyAlignment="1">
      <alignment horizontal="center" wrapText="1"/>
    </xf>
    <xf numFmtId="0" fontId="2" fillId="0" borderId="1" xfId="1" applyFill="1" applyBorder="1" applyAlignment="1" applyProtection="1">
      <alignment horizontal="center" wrapText="1"/>
      <protection locked="0"/>
    </xf>
    <xf numFmtId="165" fontId="2" fillId="0" borderId="1" xfId="1" applyNumberFormat="1" applyFill="1" applyBorder="1" applyAlignment="1" applyProtection="1">
      <alignment horizontal="center" wrapText="1"/>
      <protection locked="0"/>
    </xf>
    <xf numFmtId="164" fontId="0" fillId="0" borderId="1" xfId="0" applyNumberFormat="1"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2" borderId="1" xfId="0" applyFill="1" applyBorder="1" applyAlignment="1">
      <alignment horizontal="center"/>
    </xf>
    <xf numFmtId="0" fontId="12" fillId="0" borderId="43" xfId="0" applyFont="1" applyBorder="1" applyAlignment="1">
      <alignment horizontal="center" vertical="center"/>
    </xf>
    <xf numFmtId="3" fontId="10" fillId="0" borderId="1" xfId="0" applyNumberFormat="1" applyFont="1" applyBorder="1" applyAlignment="1">
      <alignment horizontal="center" vertical="center"/>
    </xf>
    <xf numFmtId="0" fontId="12" fillId="0" borderId="0" xfId="0" applyFont="1" applyBorder="1" applyAlignment="1">
      <alignment horizontal="center" vertical="center"/>
    </xf>
    <xf numFmtId="0" fontId="10" fillId="0" borderId="0" xfId="0" applyFont="1" applyBorder="1" applyAlignment="1">
      <alignment horizontal="center" vertical="center"/>
    </xf>
    <xf numFmtId="0" fontId="1" fillId="0" borderId="1" xfId="0" applyFont="1" applyBorder="1" applyAlignment="1">
      <alignment horizontal="center"/>
    </xf>
    <xf numFmtId="0" fontId="17" fillId="9" borderId="1" xfId="0" applyFont="1" applyFill="1" applyBorder="1" applyAlignment="1">
      <alignment horizontal="center"/>
    </xf>
    <xf numFmtId="2" fontId="2" fillId="0" borderId="1" xfId="1" applyNumberFormat="1" applyBorder="1" applyAlignment="1">
      <alignment horizontal="center" wrapText="1"/>
    </xf>
    <xf numFmtId="0" fontId="2" fillId="0" borderId="1" xfId="1" applyBorder="1" applyAlignment="1">
      <alignment horizontal="center" wrapText="1"/>
    </xf>
    <xf numFmtId="164" fontId="2" fillId="0" borderId="1" xfId="1" applyNumberFormat="1" applyBorder="1" applyAlignment="1">
      <alignment horizontal="center" wrapText="1"/>
    </xf>
    <xf numFmtId="167" fontId="2" fillId="3" borderId="1" xfId="1" applyNumberFormat="1" applyFill="1" applyBorder="1" applyAlignment="1">
      <alignment horizontal="center" wrapText="1"/>
    </xf>
    <xf numFmtId="0" fontId="0" fillId="0" borderId="1" xfId="0" applyBorder="1" applyAlignment="1">
      <alignment horizontal="center"/>
    </xf>
    <xf numFmtId="0" fontId="3" fillId="0" borderId="1" xfId="1" applyFont="1" applyBorder="1" applyAlignment="1">
      <alignment horizontal="center"/>
    </xf>
    <xf numFmtId="167" fontId="2" fillId="0" borderId="1" xfId="1" applyNumberFormat="1" applyBorder="1" applyAlignment="1">
      <alignment horizontal="center" wrapText="1"/>
    </xf>
    <xf numFmtId="169" fontId="2" fillId="0" borderId="1" xfId="1" applyNumberFormat="1" applyBorder="1" applyAlignment="1">
      <alignment horizontal="center" wrapText="1"/>
    </xf>
    <xf numFmtId="11" fontId="2" fillId="0" borderId="1" xfId="1" applyNumberFormat="1" applyBorder="1" applyAlignment="1">
      <alignment horizontal="center" wrapText="1"/>
    </xf>
    <xf numFmtId="168" fontId="2" fillId="0" borderId="1" xfId="1" applyNumberFormat="1" applyBorder="1" applyAlignment="1">
      <alignment horizontal="center" wrapText="1"/>
    </xf>
    <xf numFmtId="0" fontId="2" fillId="4" borderId="1" xfId="1" applyFill="1" applyBorder="1" applyAlignment="1" applyProtection="1">
      <alignment horizontal="center" wrapText="1"/>
      <protection locked="0"/>
    </xf>
    <xf numFmtId="0" fontId="2" fillId="0" borderId="1" xfId="1" applyFill="1" applyBorder="1" applyAlignment="1" applyProtection="1">
      <alignment horizontal="center" wrapText="1"/>
    </xf>
    <xf numFmtId="164" fontId="2" fillId="0" borderId="1" xfId="1" applyNumberFormat="1" applyFill="1" applyBorder="1" applyAlignment="1" applyProtection="1">
      <alignment horizontal="center" wrapText="1"/>
      <protection locked="0"/>
    </xf>
    <xf numFmtId="0" fontId="2" fillId="0" borderId="1" xfId="1" applyFill="1" applyBorder="1" applyAlignment="1" applyProtection="1">
      <alignment horizontal="center" wrapText="1"/>
      <protection locked="0"/>
    </xf>
    <xf numFmtId="165" fontId="2" fillId="0" borderId="1" xfId="1" applyNumberFormat="1" applyFill="1" applyBorder="1" applyAlignment="1" applyProtection="1">
      <alignment horizontal="center" wrapText="1"/>
      <protection locked="0"/>
    </xf>
    <xf numFmtId="4" fontId="2" fillId="0" borderId="1" xfId="1" applyNumberFormat="1" applyBorder="1" applyAlignment="1">
      <alignment horizontal="center" wrapText="1"/>
    </xf>
    <xf numFmtId="3" fontId="2" fillId="0" borderId="1" xfId="1" applyNumberFormat="1" applyBorder="1" applyAlignment="1">
      <alignment horizontal="center" wrapText="1"/>
    </xf>
    <xf numFmtId="3" fontId="2" fillId="3" borderId="1" xfId="1" applyNumberFormat="1" applyFill="1" applyBorder="1" applyAlignment="1">
      <alignment horizontal="center" wrapText="1"/>
    </xf>
    <xf numFmtId="164" fontId="0" fillId="0" borderId="1" xfId="0" applyNumberFormat="1" applyBorder="1" applyAlignment="1">
      <alignment horizontal="center"/>
    </xf>
    <xf numFmtId="2" fontId="0" fillId="0" borderId="1" xfId="0" applyNumberFormat="1"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1" xfId="0" applyFill="1" applyBorder="1" applyAlignment="1">
      <alignment horizontal="center"/>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2" borderId="1" xfId="0" applyFill="1" applyBorder="1" applyAlignment="1">
      <alignment horizontal="center"/>
    </xf>
    <xf numFmtId="1" fontId="0" fillId="0" borderId="1" xfId="0" applyNumberFormat="1" applyFill="1" applyBorder="1" applyAlignment="1">
      <alignment horizontal="center"/>
    </xf>
    <xf numFmtId="0" fontId="17" fillId="9" borderId="4" xfId="0" applyFont="1" applyFill="1" applyBorder="1" applyAlignment="1">
      <alignment horizontal="center"/>
    </xf>
    <xf numFmtId="0" fontId="17" fillId="9" borderId="5" xfId="0" applyFont="1" applyFill="1" applyBorder="1" applyAlignment="1">
      <alignment horizontal="center"/>
    </xf>
    <xf numFmtId="0" fontId="17" fillId="9" borderId="6" xfId="0" applyFont="1"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165" fontId="0" fillId="0" borderId="4" xfId="0" applyNumberFormat="1" applyBorder="1" applyAlignment="1">
      <alignment horizontal="center"/>
    </xf>
    <xf numFmtId="165" fontId="0" fillId="0" borderId="5" xfId="0" applyNumberFormat="1" applyBorder="1" applyAlignment="1">
      <alignment horizontal="center"/>
    </xf>
    <xf numFmtId="165" fontId="0" fillId="0" borderId="6" xfId="0" applyNumberFormat="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1" fontId="0" fillId="0" borderId="4" xfId="0" applyNumberFormat="1" applyBorder="1" applyAlignment="1">
      <alignment horizontal="center"/>
    </xf>
    <xf numFmtId="1" fontId="0" fillId="0" borderId="5" xfId="0" applyNumberFormat="1" applyBorder="1" applyAlignment="1">
      <alignment horizontal="center"/>
    </xf>
    <xf numFmtId="1" fontId="0" fillId="0" borderId="6" xfId="0" applyNumberFormat="1" applyBorder="1" applyAlignment="1">
      <alignment horizontal="center"/>
    </xf>
    <xf numFmtId="0" fontId="2" fillId="4" borderId="4" xfId="1" applyFill="1" applyBorder="1" applyAlignment="1" applyProtection="1">
      <alignment horizontal="center" wrapText="1"/>
      <protection locked="0"/>
    </xf>
    <xf numFmtId="0" fontId="2" fillId="4" borderId="5" xfId="1" applyFill="1" applyBorder="1" applyAlignment="1" applyProtection="1">
      <alignment horizontal="center" wrapText="1"/>
      <protection locked="0"/>
    </xf>
    <xf numFmtId="0" fontId="2" fillId="4" borderId="6" xfId="1" applyFill="1" applyBorder="1" applyAlignment="1" applyProtection="1">
      <alignment horizontal="center" wrapText="1"/>
      <protection locked="0"/>
    </xf>
    <xf numFmtId="0" fontId="2" fillId="0" borderId="4" xfId="1" applyFill="1" applyBorder="1" applyAlignment="1" applyProtection="1">
      <alignment horizontal="center" wrapText="1"/>
    </xf>
    <xf numFmtId="0" fontId="2" fillId="0" borderId="5" xfId="1" applyFill="1" applyBorder="1" applyAlignment="1" applyProtection="1">
      <alignment horizontal="center" wrapText="1"/>
    </xf>
    <xf numFmtId="0" fontId="2" fillId="0" borderId="6" xfId="1" applyFill="1" applyBorder="1" applyAlignment="1" applyProtection="1">
      <alignment horizontal="center" wrapText="1"/>
    </xf>
    <xf numFmtId="164" fontId="2" fillId="0" borderId="4" xfId="1" applyNumberFormat="1" applyFill="1" applyBorder="1" applyAlignment="1" applyProtection="1">
      <alignment horizontal="center" wrapText="1"/>
      <protection locked="0"/>
    </xf>
    <xf numFmtId="164" fontId="2" fillId="0" borderId="5" xfId="1" applyNumberFormat="1" applyFill="1" applyBorder="1" applyAlignment="1" applyProtection="1">
      <alignment horizontal="center" wrapText="1"/>
      <protection locked="0"/>
    </xf>
    <xf numFmtId="164" fontId="2" fillId="0" borderId="6" xfId="1" applyNumberFormat="1" applyFill="1" applyBorder="1" applyAlignment="1" applyProtection="1">
      <alignment horizontal="center" wrapText="1"/>
      <protection locked="0"/>
    </xf>
    <xf numFmtId="165" fontId="2" fillId="0" borderId="4" xfId="1" applyNumberFormat="1" applyFill="1" applyBorder="1" applyAlignment="1" applyProtection="1">
      <alignment horizontal="center" wrapText="1"/>
      <protection locked="0"/>
    </xf>
    <xf numFmtId="165" fontId="2" fillId="0" borderId="5" xfId="1" applyNumberFormat="1" applyFill="1" applyBorder="1" applyAlignment="1" applyProtection="1">
      <alignment horizontal="center" wrapText="1"/>
      <protection locked="0"/>
    </xf>
    <xf numFmtId="165" fontId="2" fillId="0" borderId="6" xfId="1" applyNumberFormat="1" applyFill="1" applyBorder="1" applyAlignment="1" applyProtection="1">
      <alignment horizontal="center" wrapText="1"/>
      <protection locked="0"/>
    </xf>
    <xf numFmtId="167" fontId="2" fillId="0" borderId="4" xfId="1" applyNumberFormat="1" applyBorder="1" applyAlignment="1">
      <alignment horizontal="center" wrapText="1"/>
    </xf>
    <xf numFmtId="167" fontId="2" fillId="0" borderId="5" xfId="1" applyNumberFormat="1" applyBorder="1" applyAlignment="1">
      <alignment horizontal="center" wrapText="1"/>
    </xf>
    <xf numFmtId="167" fontId="2" fillId="0" borderId="6" xfId="1" applyNumberFormat="1" applyBorder="1" applyAlignment="1">
      <alignment horizontal="center" wrapText="1"/>
    </xf>
    <xf numFmtId="167" fontId="2" fillId="3" borderId="4" xfId="1" applyNumberFormat="1" applyFill="1" applyBorder="1" applyAlignment="1">
      <alignment horizontal="center" wrapText="1"/>
    </xf>
    <xf numFmtId="167" fontId="2" fillId="3" borderId="5" xfId="1" applyNumberFormat="1" applyFill="1" applyBorder="1" applyAlignment="1">
      <alignment horizontal="center" wrapText="1"/>
    </xf>
    <xf numFmtId="167" fontId="2" fillId="3" borderId="6" xfId="1" applyNumberFormat="1" applyFill="1" applyBorder="1" applyAlignment="1">
      <alignment horizontal="center" wrapText="1"/>
    </xf>
    <xf numFmtId="0" fontId="2" fillId="0" borderId="4" xfId="1" applyBorder="1" applyAlignment="1">
      <alignment horizontal="center" wrapText="1"/>
    </xf>
    <xf numFmtId="0" fontId="2" fillId="0" borderId="5" xfId="1" applyBorder="1" applyAlignment="1">
      <alignment horizontal="center" wrapText="1"/>
    </xf>
    <xf numFmtId="0" fontId="2" fillId="0" borderId="6" xfId="1" applyBorder="1" applyAlignment="1">
      <alignment horizontal="center" wrapText="1"/>
    </xf>
    <xf numFmtId="4" fontId="2" fillId="0" borderId="4" xfId="1" applyNumberFormat="1" applyBorder="1" applyAlignment="1">
      <alignment horizontal="center" wrapText="1"/>
    </xf>
    <xf numFmtId="4" fontId="2" fillId="0" borderId="5" xfId="1" applyNumberFormat="1" applyBorder="1" applyAlignment="1">
      <alignment horizontal="center" wrapText="1"/>
    </xf>
    <xf numFmtId="4" fontId="2" fillId="0" borderId="6" xfId="1" applyNumberFormat="1" applyBorder="1" applyAlignment="1">
      <alignment horizontal="center" wrapText="1"/>
    </xf>
    <xf numFmtId="2" fontId="2" fillId="0" borderId="4" xfId="1" applyNumberFormat="1" applyBorder="1" applyAlignment="1">
      <alignment horizontal="center" wrapText="1"/>
    </xf>
    <xf numFmtId="2" fontId="2" fillId="0" borderId="5" xfId="1" applyNumberFormat="1" applyBorder="1" applyAlignment="1">
      <alignment horizontal="center" wrapText="1"/>
    </xf>
    <xf numFmtId="2" fontId="2" fillId="0" borderId="6" xfId="1" applyNumberFormat="1" applyBorder="1" applyAlignment="1">
      <alignment horizontal="center" wrapText="1"/>
    </xf>
    <xf numFmtId="164" fontId="2" fillId="0" borderId="4" xfId="1" applyNumberFormat="1" applyBorder="1" applyAlignment="1">
      <alignment horizontal="center" wrapText="1"/>
    </xf>
    <xf numFmtId="164" fontId="2" fillId="0" borderId="5" xfId="1" applyNumberFormat="1" applyBorder="1" applyAlignment="1">
      <alignment horizontal="center" wrapText="1"/>
    </xf>
    <xf numFmtId="164" fontId="2" fillId="0" borderId="6" xfId="1" applyNumberFormat="1" applyBorder="1" applyAlignment="1">
      <alignment horizontal="center" wrapText="1"/>
    </xf>
    <xf numFmtId="0" fontId="2" fillId="0" borderId="1" xfId="1" applyBorder="1" applyAlignment="1">
      <alignment wrapText="1"/>
    </xf>
    <xf numFmtId="3" fontId="2" fillId="3" borderId="4" xfId="1" applyNumberFormat="1" applyFill="1" applyBorder="1" applyAlignment="1">
      <alignment horizontal="center" wrapText="1"/>
    </xf>
    <xf numFmtId="3" fontId="2" fillId="3" borderId="5" xfId="1" applyNumberFormat="1" applyFill="1" applyBorder="1" applyAlignment="1">
      <alignment horizontal="center" wrapText="1"/>
    </xf>
    <xf numFmtId="3" fontId="2" fillId="3" borderId="6" xfId="1" applyNumberFormat="1" applyFill="1" applyBorder="1" applyAlignment="1">
      <alignment horizontal="center" wrapText="1"/>
    </xf>
    <xf numFmtId="0" fontId="3" fillId="0" borderId="4" xfId="1" applyFont="1" applyBorder="1" applyAlignment="1">
      <alignment horizontal="center"/>
    </xf>
    <xf numFmtId="0" fontId="3" fillId="0" borderId="5" xfId="1" applyFont="1" applyBorder="1" applyAlignment="1">
      <alignment horizontal="center"/>
    </xf>
    <xf numFmtId="0" fontId="3" fillId="0" borderId="6" xfId="1" applyFont="1" applyBorder="1" applyAlignment="1">
      <alignment horizontal="center"/>
    </xf>
    <xf numFmtId="169" fontId="2" fillId="0" borderId="4" xfId="1" applyNumberFormat="1" applyBorder="1" applyAlignment="1">
      <alignment horizontal="center" wrapText="1"/>
    </xf>
    <xf numFmtId="169" fontId="2" fillId="0" borderId="5" xfId="1" applyNumberFormat="1" applyBorder="1" applyAlignment="1">
      <alignment horizontal="center" wrapText="1"/>
    </xf>
    <xf numFmtId="169" fontId="2" fillId="0" borderId="6" xfId="1" applyNumberFormat="1" applyBorder="1" applyAlignment="1">
      <alignment horizontal="center" wrapText="1"/>
    </xf>
    <xf numFmtId="11" fontId="2" fillId="0" borderId="4" xfId="1" applyNumberFormat="1" applyBorder="1" applyAlignment="1">
      <alignment horizontal="center" wrapText="1"/>
    </xf>
    <xf numFmtId="11" fontId="2" fillId="0" borderId="5" xfId="1" applyNumberFormat="1" applyBorder="1" applyAlignment="1">
      <alignment horizontal="center" wrapText="1"/>
    </xf>
    <xf numFmtId="11" fontId="2" fillId="0" borderId="6" xfId="1" applyNumberFormat="1" applyBorder="1" applyAlignment="1">
      <alignment horizontal="center" wrapText="1"/>
    </xf>
    <xf numFmtId="168" fontId="2" fillId="0" borderId="4" xfId="1" applyNumberFormat="1" applyBorder="1" applyAlignment="1">
      <alignment horizontal="center" wrapText="1"/>
    </xf>
    <xf numFmtId="168" fontId="2" fillId="0" borderId="5" xfId="1" applyNumberFormat="1" applyBorder="1" applyAlignment="1">
      <alignment horizontal="center" wrapText="1"/>
    </xf>
    <xf numFmtId="168" fontId="2" fillId="0" borderId="6" xfId="1" applyNumberFormat="1" applyBorder="1" applyAlignment="1">
      <alignment horizontal="center" wrapText="1"/>
    </xf>
    <xf numFmtId="3" fontId="2" fillId="0" borderId="4" xfId="1" applyNumberFormat="1" applyBorder="1" applyAlignment="1">
      <alignment horizontal="center" wrapText="1"/>
    </xf>
    <xf numFmtId="3" fontId="2" fillId="0" borderId="5" xfId="1" applyNumberFormat="1" applyBorder="1" applyAlignment="1">
      <alignment horizontal="center" wrapText="1"/>
    </xf>
    <xf numFmtId="3" fontId="2" fillId="0" borderId="6" xfId="1" applyNumberFormat="1" applyBorder="1" applyAlignment="1">
      <alignment horizontal="center" wrapText="1"/>
    </xf>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1" fontId="0" fillId="0" borderId="6" xfId="0" applyNumberForma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6" xfId="0" applyNumberFormat="1" applyBorder="1" applyAlignment="1">
      <alignment horizontal="center"/>
    </xf>
    <xf numFmtId="164" fontId="0" fillId="2" borderId="1" xfId="0" applyNumberFormat="1" applyFill="1" applyBorder="1" applyAlignment="1">
      <alignment horizontal="center"/>
    </xf>
    <xf numFmtId="164" fontId="0" fillId="0" borderId="1" xfId="0" applyNumberFormat="1" applyFill="1" applyBorder="1" applyAlignment="1">
      <alignment horizont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2" borderId="0" xfId="0" applyFill="1" applyAlignment="1">
      <alignment horizontal="center"/>
    </xf>
    <xf numFmtId="164" fontId="0" fillId="2" borderId="0" xfId="0" applyNumberFormat="1" applyFill="1" applyAlignment="1">
      <alignment horizontal="center"/>
    </xf>
    <xf numFmtId="1" fontId="0" fillId="0" borderId="0" xfId="0" applyNumberFormat="1" applyFill="1" applyAlignment="1">
      <alignment horizontal="center"/>
    </xf>
    <xf numFmtId="164" fontId="0" fillId="0" borderId="0" xfId="0" applyNumberFormat="1" applyFill="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5" fontId="0" fillId="0" borderId="0" xfId="0" applyNumberFormat="1" applyAlignment="1">
      <alignment horizontal="center"/>
    </xf>
    <xf numFmtId="1" fontId="0" fillId="0" borderId="0" xfId="0" applyNumberFormat="1" applyAlignment="1">
      <alignment horizontal="center"/>
    </xf>
    <xf numFmtId="0" fontId="2" fillId="4" borderId="0" xfId="1" applyFill="1" applyAlignment="1" applyProtection="1">
      <alignment horizontal="center" wrapText="1"/>
      <protection locked="0"/>
    </xf>
    <xf numFmtId="0" fontId="0" fillId="0" borderId="0" xfId="0" applyAlignment="1">
      <alignment horizontal="center"/>
    </xf>
    <xf numFmtId="0" fontId="2" fillId="0" borderId="0" xfId="1" applyFill="1" applyAlignment="1" applyProtection="1">
      <alignment horizontal="center" wrapText="1"/>
    </xf>
    <xf numFmtId="164" fontId="2" fillId="0" borderId="0" xfId="1" applyNumberFormat="1" applyFill="1" applyAlignment="1" applyProtection="1">
      <alignment horizontal="center" wrapText="1"/>
      <protection locked="0"/>
    </xf>
    <xf numFmtId="0" fontId="2" fillId="0" borderId="0" xfId="1" applyFill="1" applyAlignment="1" applyProtection="1">
      <alignment horizontal="center" wrapText="1"/>
      <protection locked="0"/>
    </xf>
    <xf numFmtId="165" fontId="2" fillId="0" borderId="0" xfId="1" applyNumberFormat="1" applyFill="1" applyAlignment="1" applyProtection="1">
      <alignment horizontal="center" wrapText="1"/>
      <protection locked="0"/>
    </xf>
    <xf numFmtId="4" fontId="2" fillId="0" borderId="0" xfId="1" applyNumberFormat="1" applyAlignment="1">
      <alignment horizontal="center" wrapText="1"/>
    </xf>
    <xf numFmtId="3" fontId="2" fillId="0" borderId="0" xfId="1" applyNumberFormat="1" applyAlignment="1">
      <alignment horizontal="center" wrapText="1"/>
    </xf>
    <xf numFmtId="4" fontId="2" fillId="0" borderId="0" xfId="1" applyNumberFormat="1" applyBorder="1" applyAlignment="1">
      <alignment horizontal="center" wrapText="1"/>
    </xf>
    <xf numFmtId="3" fontId="2" fillId="3" borderId="2" xfId="1" applyNumberFormat="1" applyFill="1" applyBorder="1" applyAlignment="1">
      <alignment horizontal="center" wrapText="1"/>
    </xf>
    <xf numFmtId="3" fontId="2" fillId="3" borderId="0" xfId="1" applyNumberFormat="1" applyFill="1" applyBorder="1" applyAlignment="1">
      <alignment horizontal="center" wrapText="1"/>
    </xf>
    <xf numFmtId="0" fontId="3" fillId="0" borderId="0" xfId="1" applyFont="1" applyBorder="1" applyAlignment="1">
      <alignment horizontal="center"/>
    </xf>
    <xf numFmtId="0" fontId="2" fillId="0" borderId="0" xfId="1" applyAlignment="1">
      <alignment wrapText="1"/>
    </xf>
    <xf numFmtId="167" fontId="2" fillId="0" borderId="0" xfId="1" applyNumberFormat="1" applyAlignment="1">
      <alignment horizontal="center" wrapText="1"/>
    </xf>
    <xf numFmtId="169" fontId="2" fillId="0" borderId="0" xfId="1" applyNumberFormat="1" applyAlignment="1">
      <alignment horizontal="center" wrapText="1"/>
    </xf>
    <xf numFmtId="11" fontId="2" fillId="0" borderId="0" xfId="1" applyNumberFormat="1" applyAlignment="1">
      <alignment horizontal="center" wrapText="1"/>
    </xf>
    <xf numFmtId="168" fontId="2" fillId="0" borderId="0" xfId="1" applyNumberFormat="1" applyAlignment="1">
      <alignment horizontal="center" wrapText="1"/>
    </xf>
    <xf numFmtId="167" fontId="2" fillId="3" borderId="2" xfId="1" applyNumberFormat="1" applyFill="1" applyBorder="1" applyAlignment="1">
      <alignment horizontal="center" wrapText="1"/>
    </xf>
    <xf numFmtId="167" fontId="2" fillId="3" borderId="0" xfId="1" applyNumberFormat="1" applyFill="1" applyBorder="1" applyAlignment="1">
      <alignment horizontal="center" wrapText="1"/>
    </xf>
    <xf numFmtId="0" fontId="2" fillId="0" borderId="0" xfId="1" applyBorder="1" applyAlignment="1">
      <alignment horizontal="center" wrapText="1"/>
    </xf>
    <xf numFmtId="0" fontId="1" fillId="0" borderId="0" xfId="0" applyFont="1" applyAlignment="1">
      <alignment horizontal="center"/>
    </xf>
    <xf numFmtId="0" fontId="0" fillId="0" borderId="44" xfId="0" applyBorder="1" applyAlignment="1"/>
    <xf numFmtId="0" fontId="0" fillId="0" borderId="0" xfId="0" applyBorder="1" applyAlignment="1"/>
    <xf numFmtId="0" fontId="0" fillId="0" borderId="21" xfId="0" applyBorder="1" applyAlignment="1"/>
    <xf numFmtId="0" fontId="0" fillId="0" borderId="55" xfId="0" applyBorder="1" applyAlignment="1"/>
    <xf numFmtId="0" fontId="0" fillId="0" borderId="56" xfId="0" applyBorder="1" applyAlignment="1"/>
    <xf numFmtId="0" fontId="0" fillId="0" borderId="57" xfId="0" applyBorder="1" applyAlignment="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32" fillId="0" borderId="18" xfId="0" applyFont="1" applyBorder="1" applyAlignment="1"/>
    <xf numFmtId="0" fontId="32" fillId="0" borderId="19" xfId="0" applyFont="1" applyBorder="1" applyAlignment="1"/>
    <xf numFmtId="0" fontId="32" fillId="0" borderId="54" xfId="0" applyFont="1" applyBorder="1" applyAlignment="1"/>
    <xf numFmtId="0" fontId="10" fillId="0" borderId="1" xfId="0" applyFont="1" applyBorder="1" applyAlignment="1">
      <alignment horizont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10" fillId="0" borderId="54" xfId="0" applyFont="1" applyBorder="1" applyAlignment="1">
      <alignment horizontal="center" vertical="center"/>
    </xf>
    <xf numFmtId="0" fontId="10" fillId="0" borderId="44" xfId="0" applyFont="1" applyBorder="1" applyAlignment="1">
      <alignment horizontal="center" vertical="center"/>
    </xf>
    <xf numFmtId="0" fontId="10" fillId="0" borderId="21" xfId="0" applyFont="1" applyBorder="1" applyAlignment="1">
      <alignment horizontal="center" vertical="center"/>
    </xf>
    <xf numFmtId="0" fontId="10" fillId="0" borderId="55" xfId="0" applyFont="1" applyBorder="1" applyAlignment="1">
      <alignment horizontal="center" vertical="center"/>
    </xf>
    <xf numFmtId="0" fontId="10" fillId="0" borderId="56" xfId="0" applyFont="1" applyBorder="1" applyAlignment="1">
      <alignment horizontal="center" vertical="center"/>
    </xf>
    <xf numFmtId="0" fontId="10" fillId="0" borderId="57" xfId="0" applyFont="1" applyBorder="1" applyAlignment="1">
      <alignment horizontal="center" vertical="center"/>
    </xf>
    <xf numFmtId="0" fontId="10" fillId="0" borderId="1" xfId="0" applyFont="1" applyBorder="1" applyAlignment="1">
      <alignment horizontal="left" vertical="center"/>
    </xf>
    <xf numFmtId="0" fontId="31" fillId="0" borderId="18" xfId="0" applyFont="1" applyBorder="1" applyAlignment="1">
      <alignment horizontal="center" vertical="center"/>
    </xf>
    <xf numFmtId="0" fontId="31" fillId="0" borderId="19" xfId="0" applyFont="1" applyBorder="1" applyAlignment="1">
      <alignment horizontal="center" vertical="center"/>
    </xf>
    <xf numFmtId="0" fontId="31" fillId="0" borderId="54" xfId="0" applyFont="1" applyBorder="1" applyAlignment="1">
      <alignment horizontal="center" vertical="center"/>
    </xf>
    <xf numFmtId="0" fontId="31" fillId="0" borderId="44" xfId="0" applyFont="1" applyBorder="1" applyAlignment="1">
      <alignment horizontal="center" vertical="center"/>
    </xf>
    <xf numFmtId="0" fontId="31" fillId="0" borderId="0" xfId="0" applyFont="1" applyBorder="1" applyAlignment="1">
      <alignment horizontal="center" vertical="center"/>
    </xf>
    <xf numFmtId="0" fontId="31" fillId="0" borderId="21" xfId="0" applyFont="1" applyBorder="1" applyAlignment="1">
      <alignment horizontal="center" vertical="center"/>
    </xf>
    <xf numFmtId="0" fontId="31" fillId="0" borderId="55" xfId="0" applyFont="1" applyBorder="1" applyAlignment="1">
      <alignment horizontal="center" vertical="center"/>
    </xf>
    <xf numFmtId="0" fontId="31" fillId="0" borderId="56" xfId="0" applyFont="1" applyBorder="1" applyAlignment="1">
      <alignment horizontal="center" vertical="center"/>
    </xf>
    <xf numFmtId="0" fontId="31" fillId="0" borderId="57" xfId="0" applyFont="1" applyBorder="1" applyAlignment="1">
      <alignment horizontal="center" vertical="center"/>
    </xf>
    <xf numFmtId="0" fontId="5" fillId="0" borderId="0" xfId="0" applyFont="1" applyAlignment="1">
      <alignment horizontal="center" wrapText="1"/>
    </xf>
    <xf numFmtId="0" fontId="0" fillId="0" borderId="60" xfId="0" applyBorder="1" applyAlignment="1">
      <alignment horizontal="left" vertical="top" wrapText="1" indent="2"/>
    </xf>
    <xf numFmtId="0" fontId="0" fillId="0" borderId="61" xfId="0" applyBorder="1" applyAlignment="1">
      <alignment horizontal="left" vertical="top" wrapText="1" indent="2"/>
    </xf>
    <xf numFmtId="0" fontId="0" fillId="0" borderId="62" xfId="0" applyBorder="1" applyAlignment="1">
      <alignment horizontal="left" vertical="top" wrapText="1" indent="2"/>
    </xf>
    <xf numFmtId="0" fontId="26" fillId="0" borderId="60" xfId="0" applyFont="1" applyBorder="1" applyAlignment="1">
      <alignment horizontal="left" vertical="top" wrapText="1"/>
    </xf>
    <xf numFmtId="0" fontId="25" fillId="0" borderId="61" xfId="0" applyFont="1" applyBorder="1" applyAlignment="1">
      <alignment horizontal="left" vertical="top" wrapText="1"/>
    </xf>
    <xf numFmtId="0" fontId="25" fillId="0" borderId="62" xfId="0" applyFont="1" applyBorder="1" applyAlignment="1">
      <alignment horizontal="left" vertical="top" wrapText="1"/>
    </xf>
    <xf numFmtId="0" fontId="25" fillId="0" borderId="60" xfId="0" applyFont="1" applyBorder="1" applyAlignment="1">
      <alignment horizontal="left" vertical="top" wrapText="1"/>
    </xf>
    <xf numFmtId="0" fontId="0" fillId="0" borderId="60"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24" fillId="0" borderId="60" xfId="0" applyFont="1" applyBorder="1" applyAlignment="1">
      <alignment horizontal="center" vertical="top" wrapText="1"/>
    </xf>
    <xf numFmtId="0" fontId="23" fillId="0" borderId="61" xfId="0" applyFont="1" applyBorder="1" applyAlignment="1">
      <alignment horizontal="center" vertical="top" wrapText="1"/>
    </xf>
    <xf numFmtId="0" fontId="23" fillId="0" borderId="62" xfId="0" applyFont="1" applyBorder="1" applyAlignment="1">
      <alignment horizontal="center" vertical="top" wrapText="1"/>
    </xf>
    <xf numFmtId="0" fontId="26" fillId="0" borderId="63" xfId="0" applyFont="1" applyBorder="1" applyAlignment="1">
      <alignment horizontal="left" vertical="top" wrapText="1"/>
    </xf>
    <xf numFmtId="0" fontId="0" fillId="0" borderId="75" xfId="0" applyBorder="1" applyAlignment="1">
      <alignment horizontal="left" vertical="top" wrapText="1"/>
    </xf>
    <xf numFmtId="0" fontId="0" fillId="0" borderId="64" xfId="0" applyBorder="1" applyAlignment="1">
      <alignment horizontal="left" vertical="top" wrapText="1"/>
    </xf>
    <xf numFmtId="0" fontId="0" fillId="0" borderId="66" xfId="0" applyBorder="1" applyAlignment="1">
      <alignment horizontal="left" vertical="top" wrapText="1"/>
    </xf>
    <xf numFmtId="0" fontId="0" fillId="0" borderId="0" xfId="0" applyAlignment="1">
      <alignment horizontal="left" vertical="top" wrapText="1"/>
    </xf>
    <xf numFmtId="0" fontId="0" fillId="0" borderId="67" xfId="0" applyBorder="1" applyAlignment="1">
      <alignment horizontal="left" vertical="top" wrapText="1"/>
    </xf>
    <xf numFmtId="0" fontId="0" fillId="0" borderId="68" xfId="0" applyBorder="1" applyAlignment="1">
      <alignment horizontal="left" vertical="top" wrapText="1"/>
    </xf>
    <xf numFmtId="0" fontId="0" fillId="0" borderId="76" xfId="0" applyBorder="1" applyAlignment="1">
      <alignment horizontal="left" vertical="top" wrapText="1"/>
    </xf>
    <xf numFmtId="0" fontId="0" fillId="0" borderId="69" xfId="0" applyBorder="1" applyAlignment="1">
      <alignment horizontal="left" vertical="top" wrapText="1"/>
    </xf>
    <xf numFmtId="0" fontId="23" fillId="14" borderId="60" xfId="0" applyFont="1" applyFill="1" applyBorder="1" applyAlignment="1">
      <alignment horizontal="left" vertical="top" wrapText="1"/>
    </xf>
    <xf numFmtId="0" fontId="23" fillId="14" borderId="61" xfId="0" applyFont="1" applyFill="1" applyBorder="1" applyAlignment="1">
      <alignment horizontal="left" vertical="top" wrapText="1"/>
    </xf>
    <xf numFmtId="0" fontId="23" fillId="14" borderId="62" xfId="0" applyFont="1" applyFill="1" applyBorder="1" applyAlignment="1">
      <alignment horizontal="left" vertical="top" wrapText="1"/>
    </xf>
    <xf numFmtId="0" fontId="23" fillId="0" borderId="60" xfId="0" applyFont="1" applyBorder="1" applyAlignment="1">
      <alignment horizontal="center" vertical="top" wrapText="1"/>
    </xf>
    <xf numFmtId="1" fontId="28" fillId="0" borderId="60" xfId="0" applyNumberFormat="1" applyFont="1" applyBorder="1" applyAlignment="1">
      <alignment horizontal="center" vertical="top" shrinkToFit="1"/>
    </xf>
    <xf numFmtId="1" fontId="28" fillId="0" borderId="61" xfId="0" applyNumberFormat="1" applyFont="1" applyBorder="1" applyAlignment="1">
      <alignment horizontal="center" vertical="top" shrinkToFit="1"/>
    </xf>
    <xf numFmtId="1" fontId="28" fillId="0" borderId="62" xfId="0" applyNumberFormat="1" applyFont="1" applyBorder="1" applyAlignment="1">
      <alignment horizontal="center" vertical="top" shrinkToFit="1"/>
    </xf>
    <xf numFmtId="0" fontId="0" fillId="0" borderId="63" xfId="0" applyBorder="1" applyAlignment="1">
      <alignment horizontal="left" vertical="top" wrapText="1"/>
    </xf>
    <xf numFmtId="0" fontId="25" fillId="0" borderId="60" xfId="0" applyFont="1" applyBorder="1" applyAlignment="1">
      <alignment horizontal="center" vertical="top" wrapText="1"/>
    </xf>
    <xf numFmtId="0" fontId="25" fillId="0" borderId="61" xfId="0" applyFont="1" applyBorder="1" applyAlignment="1">
      <alignment horizontal="center" vertical="top" wrapText="1"/>
    </xf>
    <xf numFmtId="0" fontId="25" fillId="0" borderId="62" xfId="0" applyFont="1" applyBorder="1" applyAlignment="1">
      <alignment horizontal="center" vertical="top" wrapText="1"/>
    </xf>
    <xf numFmtId="0" fontId="26" fillId="0" borderId="60" xfId="0" applyFont="1" applyBorder="1" applyAlignment="1">
      <alignment horizontal="left" vertical="center" wrapText="1" indent="3"/>
    </xf>
    <xf numFmtId="0" fontId="25" fillId="0" borderId="61" xfId="0" applyFont="1" applyBorder="1" applyAlignment="1">
      <alignment horizontal="left" vertical="center" wrapText="1" indent="3"/>
    </xf>
    <xf numFmtId="0" fontId="25" fillId="0" borderId="62" xfId="0" applyFont="1" applyBorder="1" applyAlignment="1">
      <alignment horizontal="left" vertical="center" wrapText="1" indent="3"/>
    </xf>
    <xf numFmtId="0" fontId="0" fillId="0" borderId="63" xfId="0" applyBorder="1" applyAlignment="1">
      <alignment horizontal="left" vertical="center" wrapText="1"/>
    </xf>
    <xf numFmtId="0" fontId="0" fillId="0" borderId="75" xfId="0" applyBorder="1" applyAlignment="1">
      <alignment horizontal="left" vertical="center" wrapText="1"/>
    </xf>
    <xf numFmtId="0" fontId="0" fillId="0" borderId="64" xfId="0" applyBorder="1" applyAlignment="1">
      <alignment horizontal="left" vertical="center" wrapText="1"/>
    </xf>
    <xf numFmtId="0" fontId="0" fillId="0" borderId="68" xfId="0" applyBorder="1" applyAlignment="1">
      <alignment horizontal="left" vertical="center" wrapText="1"/>
    </xf>
    <xf numFmtId="0" fontId="0" fillId="0" borderId="76" xfId="0" applyBorder="1" applyAlignment="1">
      <alignment horizontal="left" vertical="center" wrapText="1"/>
    </xf>
    <xf numFmtId="0" fontId="0" fillId="0" borderId="69" xfId="0" applyBorder="1" applyAlignment="1">
      <alignment horizontal="left" vertical="center" wrapText="1"/>
    </xf>
    <xf numFmtId="0" fontId="24" fillId="14" borderId="60" xfId="0" applyFont="1" applyFill="1" applyBorder="1" applyAlignment="1">
      <alignment horizontal="left" vertical="top" wrapText="1"/>
    </xf>
    <xf numFmtId="0" fontId="25" fillId="0" borderId="63" xfId="0" applyFont="1" applyBorder="1" applyAlignment="1">
      <alignment horizontal="left" vertical="top" wrapText="1"/>
    </xf>
    <xf numFmtId="0" fontId="25" fillId="0" borderId="75" xfId="0" applyFont="1" applyBorder="1" applyAlignment="1">
      <alignment horizontal="left" vertical="top" wrapText="1"/>
    </xf>
    <xf numFmtId="0" fontId="25" fillId="0" borderId="64" xfId="0" applyFont="1" applyBorder="1" applyAlignment="1">
      <alignment horizontal="left" vertical="top" wrapText="1"/>
    </xf>
    <xf numFmtId="0" fontId="25" fillId="0" borderId="66" xfId="0" applyFont="1" applyBorder="1" applyAlignment="1">
      <alignment horizontal="left" vertical="top" wrapText="1"/>
    </xf>
    <xf numFmtId="0" fontId="25" fillId="0" borderId="0" xfId="0" applyFont="1" applyAlignment="1">
      <alignment horizontal="left" vertical="top" wrapText="1"/>
    </xf>
    <xf numFmtId="0" fontId="25" fillId="0" borderId="67" xfId="0" applyFont="1" applyBorder="1" applyAlignment="1">
      <alignment horizontal="left" vertical="top" wrapText="1"/>
    </xf>
    <xf numFmtId="0" fontId="23" fillId="0" borderId="60" xfId="0" applyFont="1" applyBorder="1" applyAlignment="1">
      <alignment horizontal="left" vertical="top" wrapText="1"/>
    </xf>
    <xf numFmtId="0" fontId="23" fillId="0" borderId="61" xfId="0" applyFont="1" applyBorder="1" applyAlignment="1">
      <alignment horizontal="left" vertical="top" wrapText="1"/>
    </xf>
    <xf numFmtId="0" fontId="23" fillId="0" borderId="62" xfId="0" applyFont="1" applyBorder="1" applyAlignment="1">
      <alignment horizontal="left" vertical="top" wrapText="1"/>
    </xf>
    <xf numFmtId="0" fontId="25" fillId="0" borderId="68" xfId="0" applyFont="1" applyBorder="1" applyAlignment="1">
      <alignment horizontal="left" vertical="top" wrapText="1"/>
    </xf>
    <xf numFmtId="0" fontId="25" fillId="0" borderId="76" xfId="0" applyFont="1" applyBorder="1" applyAlignment="1">
      <alignment horizontal="left" vertical="top" wrapText="1"/>
    </xf>
    <xf numFmtId="0" fontId="25" fillId="0" borderId="69" xfId="0" applyFont="1" applyBorder="1" applyAlignment="1">
      <alignment horizontal="left" vertical="top" wrapText="1"/>
    </xf>
    <xf numFmtId="0" fontId="25" fillId="0" borderId="60" xfId="0" applyFont="1" applyBorder="1" applyAlignment="1">
      <alignment horizontal="left" vertical="top" wrapText="1" indent="6"/>
    </xf>
    <xf numFmtId="0" fontId="25" fillId="0" borderId="61" xfId="0" applyFont="1" applyBorder="1" applyAlignment="1">
      <alignment horizontal="left" vertical="top" wrapText="1" indent="6"/>
    </xf>
    <xf numFmtId="0" fontId="25" fillId="0" borderId="62" xfId="0" applyFont="1" applyBorder="1" applyAlignment="1">
      <alignment horizontal="left" vertical="top" wrapText="1" indent="6"/>
    </xf>
    <xf numFmtId="0" fontId="24" fillId="0" borderId="60" xfId="0" applyFont="1" applyBorder="1" applyAlignment="1">
      <alignment horizontal="left" vertical="top" wrapText="1" indent="8"/>
    </xf>
    <xf numFmtId="0" fontId="23" fillId="0" borderId="61" xfId="0" applyFont="1" applyBorder="1" applyAlignment="1">
      <alignment horizontal="left" vertical="top" wrapText="1" indent="8"/>
    </xf>
    <xf numFmtId="0" fontId="23" fillId="0" borderId="62" xfId="0" applyFont="1" applyBorder="1" applyAlignment="1">
      <alignment horizontal="left" vertical="top" wrapText="1" indent="8"/>
    </xf>
    <xf numFmtId="2" fontId="28" fillId="0" borderId="60" xfId="0" applyNumberFormat="1" applyFont="1" applyBorder="1" applyAlignment="1">
      <alignment horizontal="center" vertical="top" shrinkToFit="1"/>
    </xf>
    <xf numFmtId="2" fontId="28" fillId="0" borderId="61" xfId="0" applyNumberFormat="1" applyFont="1" applyBorder="1" applyAlignment="1">
      <alignment horizontal="center" vertical="top" shrinkToFit="1"/>
    </xf>
    <xf numFmtId="2" fontId="28" fillId="0" borderId="62" xfId="0" applyNumberFormat="1" applyFont="1" applyBorder="1" applyAlignment="1">
      <alignment horizontal="center" vertical="top" shrinkToFit="1"/>
    </xf>
    <xf numFmtId="170" fontId="28" fillId="0" borderId="60" xfId="0" applyNumberFormat="1" applyFont="1" applyBorder="1" applyAlignment="1">
      <alignment horizontal="center" vertical="top" shrinkToFit="1"/>
    </xf>
    <xf numFmtId="170" fontId="28" fillId="0" borderId="61" xfId="0" applyNumberFormat="1" applyFont="1" applyBorder="1" applyAlignment="1">
      <alignment horizontal="center" vertical="top" shrinkToFit="1"/>
    </xf>
    <xf numFmtId="170" fontId="28" fillId="0" borderId="62" xfId="0" applyNumberFormat="1" applyFont="1" applyBorder="1" applyAlignment="1">
      <alignment horizontal="center" vertical="top" shrinkToFit="1"/>
    </xf>
    <xf numFmtId="0" fontId="26" fillId="0" borderId="60" xfId="0" applyFont="1" applyBorder="1" applyAlignment="1">
      <alignment horizontal="center" vertical="top" wrapText="1"/>
    </xf>
    <xf numFmtId="165" fontId="28" fillId="0" borderId="60" xfId="0" applyNumberFormat="1" applyFont="1" applyBorder="1" applyAlignment="1">
      <alignment horizontal="center" vertical="top" shrinkToFit="1"/>
    </xf>
    <xf numFmtId="165" fontId="28" fillId="0" borderId="61" xfId="0" applyNumberFormat="1" applyFont="1" applyBorder="1" applyAlignment="1">
      <alignment horizontal="center" vertical="top" shrinkToFit="1"/>
    </xf>
    <xf numFmtId="165" fontId="28" fillId="0" borderId="62" xfId="0" applyNumberFormat="1" applyFont="1" applyBorder="1" applyAlignment="1">
      <alignment horizontal="center" vertical="top" shrinkToFit="1"/>
    </xf>
    <xf numFmtId="0" fontId="26" fillId="0" borderId="60" xfId="0" applyFont="1" applyBorder="1" applyAlignment="1">
      <alignment horizontal="left" vertical="top" wrapText="1" indent="5"/>
    </xf>
    <xf numFmtId="0" fontId="25" fillId="0" borderId="61" xfId="0" applyFont="1" applyBorder="1" applyAlignment="1">
      <alignment horizontal="left" vertical="top" wrapText="1" indent="5"/>
    </xf>
    <xf numFmtId="0" fontId="25" fillId="0" borderId="62" xfId="0" applyFont="1" applyBorder="1" applyAlignment="1">
      <alignment horizontal="left" vertical="top" wrapText="1" indent="5"/>
    </xf>
    <xf numFmtId="0" fontId="10" fillId="0" borderId="1" xfId="0" applyFont="1" applyBorder="1" applyAlignment="1">
      <alignment horizontal="left" vertical="top" wrapText="1"/>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10" fillId="0" borderId="16" xfId="0" applyFont="1" applyBorder="1" applyAlignment="1">
      <alignment horizontal="left" vertical="top" wrapText="1"/>
    </xf>
    <xf numFmtId="0" fontId="10" fillId="0" borderId="28" xfId="0" applyFont="1" applyBorder="1" applyAlignment="1">
      <alignment horizontal="left" vertical="center"/>
    </xf>
    <xf numFmtId="0" fontId="10" fillId="0" borderId="5" xfId="0" applyFont="1" applyBorder="1" applyAlignment="1">
      <alignment horizontal="left" vertical="center"/>
    </xf>
    <xf numFmtId="0" fontId="10" fillId="0" borderId="33" xfId="0" applyFont="1" applyBorder="1" applyAlignment="1">
      <alignment horizontal="left" vertical="center"/>
    </xf>
    <xf numFmtId="3" fontId="10" fillId="0" borderId="18" xfId="0" applyNumberFormat="1" applyFont="1" applyBorder="1" applyAlignment="1">
      <alignment horizontal="left" vertical="top" wrapText="1"/>
    </xf>
    <xf numFmtId="3" fontId="10" fillId="0" borderId="19" xfId="0" applyNumberFormat="1" applyFont="1" applyBorder="1" applyAlignment="1">
      <alignment horizontal="left" vertical="top" wrapText="1"/>
    </xf>
    <xf numFmtId="3" fontId="10" fillId="0" borderId="35" xfId="0" applyNumberFormat="1" applyFont="1" applyBorder="1" applyAlignment="1">
      <alignment horizontal="left" vertical="top" wrapText="1"/>
    </xf>
    <xf numFmtId="3" fontId="10" fillId="0" borderId="44" xfId="0" applyNumberFormat="1" applyFont="1" applyBorder="1" applyAlignment="1">
      <alignment horizontal="left" vertical="top" wrapText="1"/>
    </xf>
    <xf numFmtId="3" fontId="10" fillId="0" borderId="0" xfId="0" applyNumberFormat="1" applyFont="1" applyBorder="1" applyAlignment="1">
      <alignment horizontal="left" vertical="top" wrapText="1"/>
    </xf>
    <xf numFmtId="3" fontId="10" fillId="0" borderId="45" xfId="0" applyNumberFormat="1" applyFont="1" applyBorder="1" applyAlignment="1">
      <alignment horizontal="left" vertical="top" wrapText="1"/>
    </xf>
    <xf numFmtId="3" fontId="10" fillId="0" borderId="22" xfId="0" applyNumberFormat="1" applyFont="1" applyBorder="1" applyAlignment="1">
      <alignment horizontal="left" vertical="top" wrapText="1"/>
    </xf>
    <xf numFmtId="3" fontId="10" fillId="0" borderId="20" xfId="0" applyNumberFormat="1" applyFont="1" applyBorder="1" applyAlignment="1">
      <alignment horizontal="left" vertical="top" wrapText="1"/>
    </xf>
    <xf numFmtId="3" fontId="10" fillId="0" borderId="25" xfId="0" applyNumberFormat="1" applyFont="1" applyBorder="1" applyAlignment="1">
      <alignment horizontal="left" vertical="top" wrapText="1"/>
    </xf>
    <xf numFmtId="0" fontId="10" fillId="0" borderId="6" xfId="0" applyFont="1" applyBorder="1" applyAlignment="1">
      <alignment horizontal="left" vertical="center"/>
    </xf>
    <xf numFmtId="3" fontId="10" fillId="0" borderId="4" xfId="0" applyNumberFormat="1" applyFont="1" applyBorder="1" applyAlignment="1">
      <alignment horizontal="center" vertical="center"/>
    </xf>
    <xf numFmtId="3" fontId="10" fillId="0" borderId="5" xfId="0" applyNumberFormat="1" applyFont="1" applyBorder="1" applyAlignment="1">
      <alignment horizontal="center" vertical="center"/>
    </xf>
    <xf numFmtId="3" fontId="10" fillId="0" borderId="6" xfId="0" applyNumberFormat="1" applyFont="1" applyBorder="1" applyAlignment="1">
      <alignment horizontal="center" vertical="center"/>
    </xf>
    <xf numFmtId="0" fontId="12" fillId="5" borderId="30" xfId="0" applyFont="1" applyFill="1" applyBorder="1" applyAlignment="1">
      <alignment horizontal="left" vertical="center"/>
    </xf>
    <xf numFmtId="0" fontId="12" fillId="5" borderId="31" xfId="0" applyFont="1" applyFill="1" applyBorder="1" applyAlignment="1">
      <alignment horizontal="left" vertical="center"/>
    </xf>
    <xf numFmtId="0" fontId="12" fillId="5" borderId="32" xfId="0" applyFont="1" applyFill="1" applyBorder="1" applyAlignment="1">
      <alignment horizontal="left" vertical="center"/>
    </xf>
    <xf numFmtId="0" fontId="12" fillId="0" borderId="17" xfId="0" applyFont="1" applyBorder="1" applyAlignment="1">
      <alignment horizontal="center" vertical="center"/>
    </xf>
    <xf numFmtId="0" fontId="12" fillId="0" borderId="11" xfId="0" applyFont="1" applyBorder="1" applyAlignment="1">
      <alignment horizontal="center" vertical="center"/>
    </xf>
    <xf numFmtId="0" fontId="10" fillId="0" borderId="27" xfId="0" applyFont="1" applyBorder="1" applyAlignment="1">
      <alignment horizontal="center" vertical="center"/>
    </xf>
    <xf numFmtId="0" fontId="10" fillId="0" borderId="26" xfId="0" applyFont="1" applyBorder="1" applyAlignment="1">
      <alignment horizontal="center" vertical="center"/>
    </xf>
    <xf numFmtId="0" fontId="10" fillId="0" borderId="36" xfId="0" applyFont="1" applyBorder="1" applyAlignment="1">
      <alignment horizontal="center" vertical="center"/>
    </xf>
    <xf numFmtId="0" fontId="10" fillId="0" borderId="30" xfId="0" applyFont="1" applyBorder="1" applyAlignment="1">
      <alignment horizontal="center" vertical="center"/>
    </xf>
    <xf numFmtId="0" fontId="10" fillId="0" borderId="31" xfId="0" applyFont="1" applyBorder="1" applyAlignment="1">
      <alignment horizontal="center" vertical="center"/>
    </xf>
    <xf numFmtId="0" fontId="10" fillId="0" borderId="32" xfId="0" applyFont="1" applyBorder="1" applyAlignment="1">
      <alignment horizontal="center" vertical="center"/>
    </xf>
    <xf numFmtId="0" fontId="10" fillId="0" borderId="28" xfId="0" applyFont="1" applyBorder="1" applyAlignment="1">
      <alignment horizontal="center" vertical="center"/>
    </xf>
    <xf numFmtId="0" fontId="10" fillId="0" borderId="5" xfId="0" applyFont="1" applyBorder="1" applyAlignment="1">
      <alignment horizontal="center" vertical="center"/>
    </xf>
    <xf numFmtId="0" fontId="10" fillId="0" borderId="33" xfId="0" applyFont="1" applyBorder="1" applyAlignment="1">
      <alignment horizontal="center" vertical="center"/>
    </xf>
    <xf numFmtId="2" fontId="10" fillId="0" borderId="15" xfId="0" applyNumberFormat="1" applyFont="1" applyBorder="1" applyAlignment="1">
      <alignment horizontal="center"/>
    </xf>
    <xf numFmtId="0" fontId="10" fillId="0" borderId="37" xfId="0" applyFont="1" applyBorder="1" applyAlignment="1">
      <alignment horizontal="left" vertical="center"/>
    </xf>
    <xf numFmtId="0" fontId="10" fillId="0" borderId="10" xfId="0" applyFont="1" applyBorder="1" applyAlignment="1">
      <alignment horizontal="left" vertical="center"/>
    </xf>
    <xf numFmtId="0" fontId="10" fillId="0" borderId="38" xfId="0" applyFont="1" applyBorder="1" applyAlignment="1">
      <alignment horizontal="left" vertical="center"/>
    </xf>
    <xf numFmtId="0" fontId="10" fillId="0" borderId="15" xfId="0" applyFont="1" applyBorder="1" applyAlignment="1">
      <alignment horizontal="center"/>
    </xf>
    <xf numFmtId="0" fontId="10" fillId="0" borderId="40" xfId="0" applyFont="1" applyBorder="1" applyAlignment="1">
      <alignment horizontal="left" vertical="top" wrapText="1"/>
    </xf>
    <xf numFmtId="0" fontId="10" fillId="0" borderId="41" xfId="0" applyFont="1" applyBorder="1" applyAlignment="1">
      <alignment horizontal="left" vertical="top" wrapText="1"/>
    </xf>
    <xf numFmtId="2" fontId="10" fillId="0" borderId="1" xfId="0" applyNumberFormat="1" applyFont="1" applyBorder="1" applyAlignment="1">
      <alignment horizontal="center"/>
    </xf>
    <xf numFmtId="0" fontId="12" fillId="0" borderId="1" xfId="0" applyFont="1" applyBorder="1" applyAlignment="1">
      <alignment horizontal="left" vertical="center"/>
    </xf>
    <xf numFmtId="0" fontId="10" fillId="0" borderId="15" xfId="0" applyFont="1" applyBorder="1" applyAlignment="1">
      <alignment horizontal="center" vertical="center"/>
    </xf>
    <xf numFmtId="0" fontId="10" fillId="0" borderId="7" xfId="0" applyFont="1" applyBorder="1" applyAlignment="1">
      <alignment horizontal="center"/>
    </xf>
    <xf numFmtId="0" fontId="10" fillId="0" borderId="29" xfId="0" applyFont="1" applyBorder="1" applyAlignment="1">
      <alignment horizontal="center"/>
    </xf>
    <xf numFmtId="0" fontId="10" fillId="0" borderId="8" xfId="0" applyFont="1" applyBorder="1" applyAlignment="1">
      <alignment horizontal="center"/>
    </xf>
    <xf numFmtId="0" fontId="10" fillId="0" borderId="21" xfId="0" applyFont="1" applyBorder="1" applyAlignment="1">
      <alignment horizontal="center"/>
    </xf>
    <xf numFmtId="0" fontId="10" fillId="0" borderId="24" xfId="0" applyFont="1" applyBorder="1" applyAlignment="1">
      <alignment horizontal="center"/>
    </xf>
    <xf numFmtId="0" fontId="10" fillId="0" borderId="23" xfId="0" applyFont="1" applyBorder="1" applyAlignment="1">
      <alignment horizontal="center"/>
    </xf>
    <xf numFmtId="0" fontId="10" fillId="0" borderId="17" xfId="0" applyFont="1" applyBorder="1" applyAlignment="1">
      <alignment horizontal="left" vertical="center"/>
    </xf>
    <xf numFmtId="0" fontId="10" fillId="0" borderId="17" xfId="0" applyFont="1" applyBorder="1" applyAlignment="1">
      <alignment horizontal="center"/>
    </xf>
    <xf numFmtId="0" fontId="10" fillId="0" borderId="11" xfId="0" applyFont="1" applyBorder="1" applyAlignment="1">
      <alignment horizontal="center"/>
    </xf>
    <xf numFmtId="0" fontId="10" fillId="0" borderId="13" xfId="0" applyFont="1" applyBorder="1" applyAlignment="1">
      <alignment horizontal="center"/>
    </xf>
    <xf numFmtId="0" fontId="10" fillId="0" borderId="15" xfId="0" applyFont="1" applyBorder="1" applyAlignment="1">
      <alignment horizontal="left" vertical="center"/>
    </xf>
    <xf numFmtId="0" fontId="10" fillId="0" borderId="30" xfId="0" applyFont="1" applyBorder="1" applyAlignment="1">
      <alignment horizontal="center"/>
    </xf>
    <xf numFmtId="0" fontId="10" fillId="0" borderId="31" xfId="0" applyFont="1" applyBorder="1" applyAlignment="1">
      <alignment horizontal="center"/>
    </xf>
    <xf numFmtId="0" fontId="10" fillId="0" borderId="32" xfId="0" applyFont="1" applyBorder="1" applyAlignment="1">
      <alignment horizontal="center"/>
    </xf>
    <xf numFmtId="0" fontId="12" fillId="5" borderId="24" xfId="0" applyFont="1" applyFill="1" applyBorder="1" applyAlignment="1">
      <alignment horizontal="left" vertical="center"/>
    </xf>
    <xf numFmtId="0" fontId="12" fillId="5" borderId="20" xfId="0" applyFont="1" applyFill="1" applyBorder="1" applyAlignment="1">
      <alignment horizontal="left" vertical="center"/>
    </xf>
    <xf numFmtId="0" fontId="12" fillId="5" borderId="25" xfId="0" applyFont="1" applyFill="1" applyBorder="1" applyAlignment="1">
      <alignment horizontal="left" vertical="center"/>
    </xf>
    <xf numFmtId="0" fontId="10" fillId="0" borderId="11" xfId="0" applyFont="1" applyBorder="1" applyAlignment="1">
      <alignment horizontal="left" vertical="center"/>
    </xf>
    <xf numFmtId="0" fontId="10" fillId="0" borderId="13" xfId="0" applyFont="1" applyBorder="1" applyAlignment="1">
      <alignment horizontal="left" vertical="center"/>
    </xf>
    <xf numFmtId="0" fontId="12" fillId="0" borderId="50" xfId="0" applyFont="1" applyBorder="1" applyAlignment="1">
      <alignment horizontal="center" vertical="center"/>
    </xf>
    <xf numFmtId="2" fontId="10" fillId="0" borderId="40" xfId="0" applyNumberFormat="1" applyFont="1" applyBorder="1" applyAlignment="1">
      <alignment horizontal="center"/>
    </xf>
    <xf numFmtId="0" fontId="12" fillId="5" borderId="52" xfId="0" applyFont="1" applyFill="1" applyBorder="1" applyAlignment="1">
      <alignment horizontal="left" vertical="center"/>
    </xf>
    <xf numFmtId="0" fontId="12" fillId="5" borderId="53" xfId="0" applyFont="1" applyFill="1" applyBorder="1" applyAlignment="1">
      <alignment horizontal="left" vertical="center"/>
    </xf>
    <xf numFmtId="0" fontId="12" fillId="0" borderId="1" xfId="0" applyFont="1" applyBorder="1" applyAlignment="1">
      <alignment horizontal="center" vertical="center"/>
    </xf>
    <xf numFmtId="0" fontId="10" fillId="0" borderId="18" xfId="0" applyFont="1" applyBorder="1" applyAlignment="1">
      <alignment horizontal="left" vertical="top" wrapText="1"/>
    </xf>
    <xf numFmtId="0" fontId="10" fillId="0" borderId="19" xfId="0" applyFont="1" applyBorder="1" applyAlignment="1">
      <alignment horizontal="left" vertical="top" wrapText="1"/>
    </xf>
    <xf numFmtId="0" fontId="10" fillId="0" borderId="54" xfId="0" applyFont="1" applyBorder="1" applyAlignment="1">
      <alignment horizontal="left" vertical="top" wrapText="1"/>
    </xf>
    <xf numFmtId="0" fontId="10" fillId="0" borderId="44" xfId="0" applyFont="1" applyBorder="1" applyAlignment="1">
      <alignment horizontal="left" vertical="top" wrapText="1"/>
    </xf>
    <xf numFmtId="0" fontId="10" fillId="0" borderId="0" xfId="0" applyFont="1" applyAlignment="1">
      <alignment horizontal="left" vertical="top" wrapText="1"/>
    </xf>
    <xf numFmtId="0" fontId="10" fillId="0" borderId="21" xfId="0" applyFont="1" applyBorder="1" applyAlignment="1">
      <alignment horizontal="left" vertical="top" wrapText="1"/>
    </xf>
    <xf numFmtId="0" fontId="10" fillId="0" borderId="55" xfId="0" applyFont="1" applyBorder="1" applyAlignment="1">
      <alignment horizontal="left" vertical="top" wrapText="1"/>
    </xf>
    <xf numFmtId="0" fontId="10" fillId="0" borderId="56" xfId="0" applyFont="1" applyBorder="1" applyAlignment="1">
      <alignment horizontal="left" vertical="top" wrapText="1"/>
    </xf>
    <xf numFmtId="0" fontId="10" fillId="0" borderId="57" xfId="0" applyFont="1" applyBorder="1" applyAlignment="1">
      <alignment horizontal="left" vertical="top" wrapText="1"/>
    </xf>
    <xf numFmtId="0" fontId="10" fillId="0" borderId="58" xfId="0" applyFont="1" applyBorder="1" applyAlignment="1">
      <alignment horizontal="left" vertical="center"/>
    </xf>
    <xf numFmtId="0" fontId="10" fillId="0" borderId="56" xfId="0" applyFont="1" applyBorder="1" applyAlignment="1">
      <alignment horizontal="left" vertical="center"/>
    </xf>
    <xf numFmtId="0" fontId="10" fillId="0" borderId="34" xfId="0" applyFont="1" applyBorder="1" applyAlignment="1">
      <alignment horizontal="left" vertical="center"/>
    </xf>
    <xf numFmtId="0" fontId="10" fillId="0" borderId="40" xfId="0" applyFont="1" applyBorder="1" applyAlignment="1">
      <alignment horizontal="center"/>
    </xf>
    <xf numFmtId="0" fontId="10" fillId="0" borderId="40" xfId="0" applyFont="1" applyBorder="1" applyAlignment="1">
      <alignment horizontal="center" vertical="center"/>
    </xf>
    <xf numFmtId="0" fontId="12" fillId="0" borderId="4" xfId="0" applyFont="1" applyBorder="1" applyAlignment="1">
      <alignment horizontal="left"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33" xfId="0" applyFont="1" applyBorder="1" applyAlignment="1">
      <alignment horizontal="center" vertical="center"/>
    </xf>
    <xf numFmtId="0" fontId="10" fillId="0" borderId="43" xfId="0" applyFont="1" applyBorder="1" applyAlignment="1">
      <alignment horizontal="left" vertical="center"/>
    </xf>
    <xf numFmtId="0" fontId="10" fillId="0" borderId="50" xfId="0" applyFont="1" applyBorder="1" applyAlignment="1">
      <alignment horizontal="left" vertical="center"/>
    </xf>
    <xf numFmtId="0" fontId="12" fillId="0" borderId="19" xfId="0" applyFont="1" applyBorder="1" applyAlignment="1">
      <alignment horizontal="left" vertical="top" wrapText="1"/>
    </xf>
    <xf numFmtId="0" fontId="12" fillId="0" borderId="35" xfId="0" applyFont="1" applyBorder="1" applyAlignment="1">
      <alignment horizontal="left" vertical="top" wrapText="1"/>
    </xf>
    <xf numFmtId="0" fontId="12" fillId="0" borderId="44" xfId="0" applyFont="1" applyBorder="1" applyAlignment="1">
      <alignment horizontal="left" vertical="top" wrapText="1"/>
    </xf>
    <xf numFmtId="0" fontId="12" fillId="0" borderId="0" xfId="0" applyFont="1" applyAlignment="1">
      <alignment horizontal="left" vertical="top" wrapText="1"/>
    </xf>
    <xf numFmtId="0" fontId="12" fillId="0" borderId="45" xfId="0" applyFont="1" applyBorder="1" applyAlignment="1">
      <alignment horizontal="left" vertical="top" wrapText="1"/>
    </xf>
    <xf numFmtId="0" fontId="12" fillId="0" borderId="22" xfId="0" applyFont="1" applyBorder="1" applyAlignment="1">
      <alignment horizontal="left" vertical="top" wrapText="1"/>
    </xf>
    <xf numFmtId="0" fontId="12" fillId="0" borderId="20" xfId="0" applyFont="1" applyBorder="1" applyAlignment="1">
      <alignment horizontal="left" vertical="top" wrapText="1"/>
    </xf>
    <xf numFmtId="0" fontId="12" fillId="0" borderId="25" xfId="0" applyFont="1" applyBorder="1" applyAlignment="1">
      <alignment horizontal="left" vertical="top" wrapText="1"/>
    </xf>
    <xf numFmtId="1" fontId="10" fillId="0" borderId="1" xfId="0" applyNumberFormat="1" applyFont="1" applyBorder="1" applyAlignment="1">
      <alignment horizontal="center"/>
    </xf>
    <xf numFmtId="0" fontId="10" fillId="0" borderId="35" xfId="0" applyFont="1" applyBorder="1" applyAlignment="1">
      <alignment horizontal="left" vertical="top" wrapText="1"/>
    </xf>
    <xf numFmtId="0" fontId="10" fillId="0" borderId="0" xfId="0" applyFont="1" applyBorder="1" applyAlignment="1">
      <alignment horizontal="left" vertical="top" wrapText="1"/>
    </xf>
    <xf numFmtId="0" fontId="10" fillId="0" borderId="45" xfId="0" applyFont="1" applyBorder="1" applyAlignment="1">
      <alignment horizontal="left" vertical="top" wrapText="1"/>
    </xf>
    <xf numFmtId="0" fontId="10" fillId="0" borderId="22" xfId="0" applyFont="1" applyBorder="1" applyAlignment="1">
      <alignment horizontal="left" vertical="top" wrapText="1"/>
    </xf>
    <xf numFmtId="0" fontId="10" fillId="0" borderId="20" xfId="0" applyFont="1" applyBorder="1" applyAlignment="1">
      <alignment horizontal="left" vertical="top" wrapText="1"/>
    </xf>
    <xf numFmtId="0" fontId="10" fillId="0" borderId="25" xfId="0" applyFont="1" applyBorder="1" applyAlignment="1">
      <alignment horizontal="left" vertical="top" wrapText="1"/>
    </xf>
    <xf numFmtId="0" fontId="12" fillId="0" borderId="46" xfId="0" applyFont="1" applyBorder="1" applyAlignment="1">
      <alignment horizontal="center" vertical="center"/>
    </xf>
    <xf numFmtId="0" fontId="12" fillId="0" borderId="10" xfId="0" applyFont="1" applyBorder="1" applyAlignment="1">
      <alignment horizontal="center" vertical="center"/>
    </xf>
    <xf numFmtId="0" fontId="12" fillId="0" borderId="38" xfId="0" applyFont="1" applyBorder="1" applyAlignment="1">
      <alignment horizontal="center" vertical="center"/>
    </xf>
    <xf numFmtId="0" fontId="10" fillId="0" borderId="4"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center"/>
    </xf>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0" fillId="0" borderId="7" xfId="0" applyFont="1" applyBorder="1" applyAlignment="1">
      <alignment horizontal="left" vertical="center"/>
    </xf>
    <xf numFmtId="0" fontId="10" fillId="0" borderId="52" xfId="0" applyFont="1" applyBorder="1" applyAlignment="1">
      <alignment horizontal="left" vertical="center"/>
    </xf>
    <xf numFmtId="0" fontId="10" fillId="0" borderId="53" xfId="0" applyFont="1" applyBorder="1" applyAlignment="1">
      <alignment horizontal="left" vertical="center"/>
    </xf>
    <xf numFmtId="165" fontId="10" fillId="0" borderId="1" xfId="0" applyNumberFormat="1" applyFont="1" applyBorder="1" applyAlignment="1">
      <alignment horizontal="center"/>
    </xf>
    <xf numFmtId="164" fontId="10" fillId="0" borderId="1" xfId="0" applyNumberFormat="1" applyFont="1" applyBorder="1" applyAlignment="1">
      <alignment horizontal="center"/>
    </xf>
    <xf numFmtId="0" fontId="10" fillId="0" borderId="8" xfId="0" applyFont="1" applyBorder="1" applyAlignment="1">
      <alignment horizontal="left" vertical="center"/>
    </xf>
    <xf numFmtId="0" fontId="10" fillId="0" borderId="0" xfId="0" applyFont="1" applyBorder="1" applyAlignment="1">
      <alignment horizontal="left" vertical="center"/>
    </xf>
    <xf numFmtId="0" fontId="10" fillId="0" borderId="45" xfId="0" applyFont="1" applyBorder="1" applyAlignment="1">
      <alignment horizontal="left" vertical="center"/>
    </xf>
    <xf numFmtId="0" fontId="12" fillId="0" borderId="6" xfId="0" applyFont="1" applyBorder="1" applyAlignment="1">
      <alignment horizontal="center" vertical="center"/>
    </xf>
    <xf numFmtId="0" fontId="10" fillId="0" borderId="8" xfId="0" applyFont="1" applyBorder="1" applyAlignment="1">
      <alignment horizontal="center" vertical="center"/>
    </xf>
    <xf numFmtId="0" fontId="10" fillId="0" borderId="45" xfId="0" applyFont="1" applyBorder="1" applyAlignment="1">
      <alignment horizontal="center" vertical="center"/>
    </xf>
    <xf numFmtId="0" fontId="10" fillId="0" borderId="24" xfId="0" applyFont="1" applyBorder="1" applyAlignment="1">
      <alignment horizontal="center" vertical="center"/>
    </xf>
    <xf numFmtId="0" fontId="10" fillId="0" borderId="20" xfId="0" applyFont="1" applyBorder="1" applyAlignment="1">
      <alignment horizontal="center" vertical="center"/>
    </xf>
    <xf numFmtId="0" fontId="10" fillId="0" borderId="25" xfId="0" applyFont="1" applyBorder="1" applyAlignment="1">
      <alignment horizontal="center" vertical="center"/>
    </xf>
    <xf numFmtId="0" fontId="12" fillId="0" borderId="77" xfId="0" applyFont="1" applyBorder="1" applyAlignment="1">
      <alignment horizontal="center" vertical="center"/>
    </xf>
    <xf numFmtId="173" fontId="10" fillId="0" borderId="4" xfId="0" applyNumberFormat="1" applyFont="1" applyBorder="1" applyAlignment="1">
      <alignment horizontal="center" vertical="center"/>
    </xf>
    <xf numFmtId="173" fontId="10" fillId="0" borderId="5" xfId="0" applyNumberFormat="1" applyFont="1" applyBorder="1" applyAlignment="1">
      <alignment horizontal="center" vertical="center"/>
    </xf>
    <xf numFmtId="173" fontId="10" fillId="0" borderId="6" xfId="0" applyNumberFormat="1" applyFont="1" applyBorder="1" applyAlignment="1">
      <alignment horizontal="center" vertical="center"/>
    </xf>
    <xf numFmtId="0" fontId="10" fillId="0" borderId="4" xfId="0" applyFont="1" applyBorder="1" applyAlignment="1">
      <alignment horizontal="center" vertical="center"/>
    </xf>
    <xf numFmtId="0" fontId="10" fillId="0" borderId="6" xfId="0" applyFont="1" applyBorder="1" applyAlignment="1">
      <alignment horizontal="center" vertical="center"/>
    </xf>
    <xf numFmtId="174" fontId="10" fillId="0" borderId="4" xfId="0" applyNumberFormat="1" applyFont="1" applyBorder="1" applyAlignment="1">
      <alignment horizontal="center" vertical="center"/>
    </xf>
    <xf numFmtId="174" fontId="10" fillId="0" borderId="5" xfId="0" applyNumberFormat="1" applyFont="1" applyBorder="1" applyAlignment="1">
      <alignment horizontal="center" vertical="center"/>
    </xf>
    <xf numFmtId="174" fontId="10" fillId="0" borderId="6" xfId="0" applyNumberFormat="1" applyFont="1" applyBorder="1" applyAlignment="1">
      <alignment horizontal="center" vertical="center"/>
    </xf>
    <xf numFmtId="0" fontId="10" fillId="0" borderId="4" xfId="0" quotePrefix="1" applyFont="1" applyBorder="1" applyAlignment="1">
      <alignment horizontal="center" vertical="center"/>
    </xf>
    <xf numFmtId="0" fontId="10" fillId="0" borderId="4" xfId="0" quotePrefix="1" applyFont="1" applyBorder="1" applyAlignment="1">
      <alignment horizontal="center" vertical="center" wrapText="1"/>
    </xf>
    <xf numFmtId="0" fontId="10" fillId="0" borderId="6" xfId="0" applyFont="1" applyBorder="1" applyAlignment="1">
      <alignment horizontal="center" vertical="center" wrapText="1"/>
    </xf>
    <xf numFmtId="0" fontId="10" fillId="0" borderId="4" xfId="0" applyFont="1" applyBorder="1" applyAlignment="1">
      <alignment horizontal="center" vertical="center" wrapText="1"/>
    </xf>
    <xf numFmtId="3" fontId="35" fillId="0" borderId="4" xfId="0" applyNumberFormat="1" applyFont="1" applyBorder="1" applyAlignment="1">
      <alignment horizontal="center" vertical="center"/>
    </xf>
    <xf numFmtId="3" fontId="35" fillId="0" borderId="5" xfId="0" applyNumberFormat="1" applyFont="1" applyBorder="1" applyAlignment="1">
      <alignment horizontal="center" vertical="center"/>
    </xf>
    <xf numFmtId="3" fontId="35" fillId="0" borderId="6" xfId="0" applyNumberFormat="1" applyFont="1" applyBorder="1" applyAlignment="1">
      <alignment horizontal="center" vertical="center"/>
    </xf>
  </cellXfs>
  <cellStyles count="3">
    <cellStyle name="Comma" xfId="2" builtinId="3"/>
    <cellStyle name="Normal" xfId="0" builtinId="0"/>
    <cellStyle name="Normal 2" xfId="1" xr:uid="{DE2300EC-4212-4C53-BB36-1D23A11555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checked="Checked"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checked="Checked"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checked="Checked"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checked="Checked" lockText="1" noThreeD="1"/>
</file>

<file path=xl/ctrlProps/ctrlProp128.xml><?xml version="1.0" encoding="utf-8"?>
<formControlPr xmlns="http://schemas.microsoft.com/office/spreadsheetml/2009/9/main" objectType="CheckBox" checked="Checked"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CheckBox" checked="Checked"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checked="Checked"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checked="Checked" lockText="1" noThreeD="1"/>
</file>

<file path=xl/ctrlProps/ctrlProp136.xml><?xml version="1.0" encoding="utf-8"?>
<formControlPr xmlns="http://schemas.microsoft.com/office/spreadsheetml/2009/9/main" objectType="CheckBox" checked="Checked" lockText="1" noThreeD="1"/>
</file>

<file path=xl/ctrlProps/ctrlProp137.xml><?xml version="1.0" encoding="utf-8"?>
<formControlPr xmlns="http://schemas.microsoft.com/office/spreadsheetml/2009/9/main" objectType="CheckBox" checked="Checked"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checked="Checked"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checked="Checked"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checked="Checked"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checked="Checked"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checked="Checked"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checked="Checked"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checked="Checked" lockText="1" noThreeD="1"/>
</file>

<file path=xl/ctrlProps/ctrlProp159.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checked="Checked" lockText="1" noThreeD="1"/>
</file>

<file path=xl/ctrlProps/ctrlProp165.xml><?xml version="1.0" encoding="utf-8"?>
<formControlPr xmlns="http://schemas.microsoft.com/office/spreadsheetml/2009/9/main" objectType="CheckBox" checked="Checked"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checked="Checked"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checked="Checked"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checked="Checked"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checked="Checked" lockText="1" noThreeD="1"/>
</file>

<file path=xl/ctrlProps/ctrlProp178.xml><?xml version="1.0" encoding="utf-8"?>
<formControlPr xmlns="http://schemas.microsoft.com/office/spreadsheetml/2009/9/main" objectType="CheckBox" checked="Checked"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checked="Checked" lockText="1" noThreeD="1"/>
</file>

<file path=xl/ctrlProps/ctrlProp181.xml><?xml version="1.0" encoding="utf-8"?>
<formControlPr xmlns="http://schemas.microsoft.com/office/spreadsheetml/2009/9/main" objectType="CheckBox" checked="Checked"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checked="Checked" lockText="1" noThreeD="1"/>
</file>

<file path=xl/ctrlProps/ctrlProp187.xml><?xml version="1.0" encoding="utf-8"?>
<formControlPr xmlns="http://schemas.microsoft.com/office/spreadsheetml/2009/9/main" objectType="CheckBox" checked="Checked" lockText="1" noThreeD="1"/>
</file>

<file path=xl/ctrlProps/ctrlProp188.xml><?xml version="1.0" encoding="utf-8"?>
<formControlPr xmlns="http://schemas.microsoft.com/office/spreadsheetml/2009/9/main" objectType="CheckBox" checked="Checked" lockText="1" noThreeD="1"/>
</file>

<file path=xl/ctrlProps/ctrlProp189.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checked="Checked" lockText="1" noThreeD="1"/>
</file>

<file path=xl/ctrlProps/ctrlProp193.xml><?xml version="1.0" encoding="utf-8"?>
<formControlPr xmlns="http://schemas.microsoft.com/office/spreadsheetml/2009/9/main" objectType="CheckBox" checked="Checked"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checked="Checked"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checked="Checked"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checked="Checked" lockText="1" noThreeD="1"/>
</file>

<file path=xl/ctrlProps/ctrlProp206.xml><?xml version="1.0" encoding="utf-8"?>
<formControlPr xmlns="http://schemas.microsoft.com/office/spreadsheetml/2009/9/main" objectType="CheckBox" checked="Checked" lockText="1" noThreeD="1"/>
</file>

<file path=xl/ctrlProps/ctrlProp207.xml><?xml version="1.0" encoding="utf-8"?>
<formControlPr xmlns="http://schemas.microsoft.com/office/spreadsheetml/2009/9/main" objectType="CheckBox" checked="Checked" lockText="1" noThreeD="1"/>
</file>

<file path=xl/ctrlProps/ctrlProp208.xml><?xml version="1.0" encoding="utf-8"?>
<formControlPr xmlns="http://schemas.microsoft.com/office/spreadsheetml/2009/9/main" objectType="CheckBox" checked="Checked"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checked="Checked" lockText="1" noThreeD="1"/>
</file>

<file path=xl/ctrlProps/ctrlProp212.xml><?xml version="1.0" encoding="utf-8"?>
<formControlPr xmlns="http://schemas.microsoft.com/office/spreadsheetml/2009/9/main" objectType="CheckBox" checked="Checked"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checked="Checked"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checked="Checked"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checked="Checked"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checked="Checked" lockText="1" noThreeD="1"/>
</file>

<file path=xl/ctrlProps/ctrlProp225.xml><?xml version="1.0" encoding="utf-8"?>
<formControlPr xmlns="http://schemas.microsoft.com/office/spreadsheetml/2009/9/main" objectType="CheckBox" checked="Checked" lockText="1" noThreeD="1"/>
</file>

<file path=xl/ctrlProps/ctrlProp226.xml><?xml version="1.0" encoding="utf-8"?>
<formControlPr xmlns="http://schemas.microsoft.com/office/spreadsheetml/2009/9/main" objectType="CheckBox" checked="Checked" lockText="1" noThreeD="1"/>
</file>

<file path=xl/ctrlProps/ctrlProp227.xml><?xml version="1.0" encoding="utf-8"?>
<formControlPr xmlns="http://schemas.microsoft.com/office/spreadsheetml/2009/9/main" objectType="CheckBox" checked="Checked"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30.xml><?xml version="1.0" encoding="utf-8"?>
<formControlPr xmlns="http://schemas.microsoft.com/office/spreadsheetml/2009/9/main" objectType="CheckBox" checked="Checked" lockText="1" noThreeD="1"/>
</file>

<file path=xl/ctrlProps/ctrlProp231.xml><?xml version="1.0" encoding="utf-8"?>
<formControlPr xmlns="http://schemas.microsoft.com/office/spreadsheetml/2009/9/main" objectType="CheckBox" checked="Checked"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checked="Checked"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checked="Checked"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checked="Checked" lockText="1" noThreeD="1"/>
</file>

<file path=xl/ctrlProps/ctrlProp244.xml><?xml version="1.0" encoding="utf-8"?>
<formControlPr xmlns="http://schemas.microsoft.com/office/spreadsheetml/2009/9/main" objectType="CheckBox" checked="Checked" lockText="1" noThreeD="1"/>
</file>

<file path=xl/ctrlProps/ctrlProp245.xml><?xml version="1.0" encoding="utf-8"?>
<formControlPr xmlns="http://schemas.microsoft.com/office/spreadsheetml/2009/9/main" objectType="CheckBox" checked="Checked" lockText="1" noThreeD="1"/>
</file>

<file path=xl/ctrlProps/ctrlProp246.xml><?xml version="1.0" encoding="utf-8"?>
<formControlPr xmlns="http://schemas.microsoft.com/office/spreadsheetml/2009/9/main" objectType="CheckBox" checked="Checked"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checked="Checked"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checked="Checked"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checked="Checked"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60.xml><?xml version="1.0" encoding="utf-8"?>
<formControlPr xmlns="http://schemas.microsoft.com/office/spreadsheetml/2009/9/main" objectType="CheckBox" checked="Checked"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checked="Checked" lockText="1" noThreeD="1"/>
</file>

<file path=xl/ctrlProps/ctrlProp263.xml><?xml version="1.0" encoding="utf-8"?>
<formControlPr xmlns="http://schemas.microsoft.com/office/spreadsheetml/2009/9/main" objectType="CheckBox" checked="Checked" lockText="1" noThreeD="1"/>
</file>

<file path=xl/ctrlProps/ctrlProp264.xml><?xml version="1.0" encoding="utf-8"?>
<formControlPr xmlns="http://schemas.microsoft.com/office/spreadsheetml/2009/9/main" objectType="CheckBox" checked="Checked" lockText="1" noThreeD="1"/>
</file>

<file path=xl/ctrlProps/ctrlProp265.xml><?xml version="1.0" encoding="utf-8"?>
<formControlPr xmlns="http://schemas.microsoft.com/office/spreadsheetml/2009/9/main" objectType="CheckBox" checked="Checked"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checked="Checked" lockText="1" noThreeD="1"/>
</file>

<file path=xl/ctrlProps/ctrlProp269.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checked="Checked"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checked="Checked"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checked="Checked" lockText="1" noThreeD="1"/>
</file>

<file path=xl/ctrlProps/ctrlProp282.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7.xml.rels><?xml version="1.0" encoding="UTF-8" standalone="yes"?>
<Relationships xmlns="http://schemas.openxmlformats.org/package/2006/relationships"><Relationship Id="rId8" Type="http://schemas.openxmlformats.org/officeDocument/2006/relationships/customXml" Target="../ink/ink5.xml"/><Relationship Id="rId3" Type="http://schemas.openxmlformats.org/officeDocument/2006/relationships/image" Target="../media/image30.png"/><Relationship Id="rId7" Type="http://schemas.openxmlformats.org/officeDocument/2006/relationships/image" Target="../media/image26.png"/><Relationship Id="rId2" Type="http://schemas.openxmlformats.org/officeDocument/2006/relationships/customXml" Target="../ink/ink1.xml"/><Relationship Id="rId1" Type="http://schemas.openxmlformats.org/officeDocument/2006/relationships/image" Target="../media/image27.jpeg"/><Relationship Id="rId6" Type="http://schemas.openxmlformats.org/officeDocument/2006/relationships/customXml" Target="../ink/ink4.xml"/><Relationship Id="rId5" Type="http://schemas.openxmlformats.org/officeDocument/2006/relationships/customXml" Target="../ink/ink3.xml"/><Relationship Id="rId10" Type="http://schemas.openxmlformats.org/officeDocument/2006/relationships/image" Target="../media/image28.png"/><Relationship Id="rId4" Type="http://schemas.openxmlformats.org/officeDocument/2006/relationships/customXml" Target="../ink/ink2.xml"/><Relationship Id="rId9" Type="http://schemas.openxmlformats.org/officeDocument/2006/relationships/customXml" Target="../ink/ink6.xml"/></Relationships>
</file>

<file path=xl/drawings/_rels/drawing18.xml.rels><?xml version="1.0" encoding="UTF-8" standalone="yes"?>
<Relationships xmlns="http://schemas.openxmlformats.org/package/2006/relationships"><Relationship Id="rId8" Type="http://schemas.openxmlformats.org/officeDocument/2006/relationships/customXml" Target="../ink/ink11.xml"/><Relationship Id="rId3" Type="http://schemas.openxmlformats.org/officeDocument/2006/relationships/image" Target="../media/image30.png"/><Relationship Id="rId7" Type="http://schemas.openxmlformats.org/officeDocument/2006/relationships/image" Target="../media/image26.png"/><Relationship Id="rId2" Type="http://schemas.openxmlformats.org/officeDocument/2006/relationships/customXml" Target="../ink/ink7.xml"/><Relationship Id="rId1" Type="http://schemas.openxmlformats.org/officeDocument/2006/relationships/image" Target="../media/image26.jpeg"/><Relationship Id="rId6" Type="http://schemas.openxmlformats.org/officeDocument/2006/relationships/customXml" Target="../ink/ink10.xml"/><Relationship Id="rId5" Type="http://schemas.openxmlformats.org/officeDocument/2006/relationships/customXml" Target="../ink/ink9.xml"/><Relationship Id="rId4" Type="http://schemas.openxmlformats.org/officeDocument/2006/relationships/customXml" Target="../ink/ink8.xml"/><Relationship Id="rId9" Type="http://schemas.openxmlformats.org/officeDocument/2006/relationships/customXml" Target="../ink/ink12.xml"/></Relationships>
</file>

<file path=xl/drawings/_rels/drawing19.xml.rels><?xml version="1.0" encoding="UTF-8" standalone="yes"?>
<Relationships xmlns="http://schemas.openxmlformats.org/package/2006/relationships"><Relationship Id="rId8" Type="http://schemas.openxmlformats.org/officeDocument/2006/relationships/customXml" Target="../ink/ink17.xml"/><Relationship Id="rId3" Type="http://schemas.openxmlformats.org/officeDocument/2006/relationships/image" Target="../media/image30.png"/><Relationship Id="rId7" Type="http://schemas.openxmlformats.org/officeDocument/2006/relationships/image" Target="../media/image26.png"/><Relationship Id="rId2" Type="http://schemas.openxmlformats.org/officeDocument/2006/relationships/customXml" Target="../ink/ink13.xml"/><Relationship Id="rId1" Type="http://schemas.openxmlformats.org/officeDocument/2006/relationships/image" Target="../media/image26.jpeg"/><Relationship Id="rId6" Type="http://schemas.openxmlformats.org/officeDocument/2006/relationships/customXml" Target="../ink/ink16.xml"/><Relationship Id="rId5" Type="http://schemas.openxmlformats.org/officeDocument/2006/relationships/customXml" Target="../ink/ink15.xml"/><Relationship Id="rId10" Type="http://schemas.openxmlformats.org/officeDocument/2006/relationships/image" Target="../media/image28.png"/><Relationship Id="rId4" Type="http://schemas.openxmlformats.org/officeDocument/2006/relationships/customXml" Target="../ink/ink14.xml"/><Relationship Id="rId9" Type="http://schemas.openxmlformats.org/officeDocument/2006/relationships/customXml" Target="../ink/ink18.xml"/></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0.xml.rels><?xml version="1.0" encoding="UTF-8" standalone="yes"?>
<Relationships xmlns="http://schemas.openxmlformats.org/package/2006/relationships"><Relationship Id="rId8" Type="http://schemas.openxmlformats.org/officeDocument/2006/relationships/customXml" Target="../ink/ink23.xml"/><Relationship Id="rId3" Type="http://schemas.openxmlformats.org/officeDocument/2006/relationships/image" Target="../media/image30.png"/><Relationship Id="rId7" Type="http://schemas.openxmlformats.org/officeDocument/2006/relationships/image" Target="../media/image26.png"/><Relationship Id="rId2" Type="http://schemas.openxmlformats.org/officeDocument/2006/relationships/customXml" Target="../ink/ink19.xml"/><Relationship Id="rId1" Type="http://schemas.openxmlformats.org/officeDocument/2006/relationships/image" Target="../media/image26.jpeg"/><Relationship Id="rId6" Type="http://schemas.openxmlformats.org/officeDocument/2006/relationships/customXml" Target="../ink/ink22.xml"/><Relationship Id="rId5" Type="http://schemas.openxmlformats.org/officeDocument/2006/relationships/customXml" Target="../ink/ink21.xml"/><Relationship Id="rId10" Type="http://schemas.openxmlformats.org/officeDocument/2006/relationships/image" Target="../media/image28.png"/><Relationship Id="rId4" Type="http://schemas.openxmlformats.org/officeDocument/2006/relationships/customXml" Target="../ink/ink20.xml"/><Relationship Id="rId9" Type="http://schemas.openxmlformats.org/officeDocument/2006/relationships/customXml" Target="../ink/ink24.xml"/></Relationships>
</file>

<file path=xl/drawings/_rels/drawing21.xml.rels><?xml version="1.0" encoding="UTF-8" standalone="yes"?>
<Relationships xmlns="http://schemas.openxmlformats.org/package/2006/relationships"><Relationship Id="rId8" Type="http://schemas.openxmlformats.org/officeDocument/2006/relationships/customXml" Target="../ink/ink29.xml"/><Relationship Id="rId3" Type="http://schemas.openxmlformats.org/officeDocument/2006/relationships/image" Target="../media/image30.png"/><Relationship Id="rId7" Type="http://schemas.openxmlformats.org/officeDocument/2006/relationships/image" Target="../media/image26.png"/><Relationship Id="rId2" Type="http://schemas.openxmlformats.org/officeDocument/2006/relationships/customXml" Target="../ink/ink25.xml"/><Relationship Id="rId1" Type="http://schemas.openxmlformats.org/officeDocument/2006/relationships/image" Target="../media/image26.jpeg"/><Relationship Id="rId6" Type="http://schemas.openxmlformats.org/officeDocument/2006/relationships/customXml" Target="../ink/ink28.xml"/><Relationship Id="rId5" Type="http://schemas.openxmlformats.org/officeDocument/2006/relationships/customXml" Target="../ink/ink27.xml"/><Relationship Id="rId4" Type="http://schemas.openxmlformats.org/officeDocument/2006/relationships/customXml" Target="../ink/ink26.xml"/><Relationship Id="rId9" Type="http://schemas.openxmlformats.org/officeDocument/2006/relationships/customXml" Target="../ink/ink30.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0.jpeg"/><Relationship Id="rId2" Type="http://schemas.openxmlformats.org/officeDocument/2006/relationships/image" Target="../media/image19.png"/><Relationship Id="rId1" Type="http://schemas.openxmlformats.org/officeDocument/2006/relationships/image" Target="../media/image18.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editAs="oneCell">
    <xdr:from>
      <xdr:col>2</xdr:col>
      <xdr:colOff>1032003</xdr:colOff>
      <xdr:row>32</xdr:row>
      <xdr:rowOff>117928</xdr:rowOff>
    </xdr:from>
    <xdr:to>
      <xdr:col>14</xdr:col>
      <xdr:colOff>463529</xdr:colOff>
      <xdr:row>40</xdr:row>
      <xdr:rowOff>117927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694217" y="7030357"/>
          <a:ext cx="12376455" cy="1451428"/>
        </a:xfrm>
        <a:prstGeom prst="rect">
          <a:avLst/>
        </a:prstGeom>
      </xdr:spPr>
    </xdr:pic>
    <xdr:clientData/>
  </xdr:twoCellAnchor>
  <xdr:twoCellAnchor editAs="oneCell">
    <xdr:from>
      <xdr:col>15</xdr:col>
      <xdr:colOff>263071</xdr:colOff>
      <xdr:row>44</xdr:row>
      <xdr:rowOff>0</xdr:rowOff>
    </xdr:from>
    <xdr:to>
      <xdr:col>16</xdr:col>
      <xdr:colOff>718531</xdr:colOff>
      <xdr:row>53</xdr:row>
      <xdr:rowOff>151585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4187714" y="5814786"/>
          <a:ext cx="1435174" cy="17844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189966</xdr:colOff>
      <xdr:row>0</xdr:row>
      <xdr:rowOff>0</xdr:rowOff>
    </xdr:from>
    <xdr:to>
      <xdr:col>11</xdr:col>
      <xdr:colOff>31552</xdr:colOff>
      <xdr:row>26</xdr:row>
      <xdr:rowOff>44055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189966" y="0"/>
          <a:ext cx="6547186" cy="4831955"/>
        </a:xfrm>
        <a:prstGeom prst="rect">
          <a:avLst/>
        </a:prstGeom>
      </xdr:spPr>
    </xdr:pic>
    <xdr:clientData/>
  </xdr:twoCellAnchor>
  <xdr:twoCellAnchor editAs="oneCell">
    <xdr:from>
      <xdr:col>0</xdr:col>
      <xdr:colOff>203200</xdr:colOff>
      <xdr:row>46</xdr:row>
      <xdr:rowOff>167874</xdr:rowOff>
    </xdr:from>
    <xdr:to>
      <xdr:col>10</xdr:col>
      <xdr:colOff>76506</xdr:colOff>
      <xdr:row>71</xdr:row>
      <xdr:rowOff>176060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203200" y="8638774"/>
          <a:ext cx="5969306" cy="4611936"/>
        </a:xfrm>
        <a:prstGeom prst="rect">
          <a:avLst/>
        </a:prstGeom>
      </xdr:spPr>
    </xdr:pic>
    <xdr:clientData/>
  </xdr:twoCellAnchor>
  <xdr:twoCellAnchor editAs="oneCell">
    <xdr:from>
      <xdr:col>0</xdr:col>
      <xdr:colOff>184150</xdr:colOff>
      <xdr:row>25</xdr:row>
      <xdr:rowOff>69850</xdr:rowOff>
    </xdr:from>
    <xdr:to>
      <xdr:col>10</xdr:col>
      <xdr:colOff>565482</xdr:colOff>
      <xdr:row>46</xdr:row>
      <xdr:rowOff>109111</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a:stretch>
          <a:fillRect/>
        </a:stretch>
      </xdr:blipFill>
      <xdr:spPr>
        <a:xfrm>
          <a:off x="184150" y="4673600"/>
          <a:ext cx="6477332" cy="3906411"/>
        </a:xfrm>
        <a:prstGeom prst="rect">
          <a:avLst/>
        </a:prstGeom>
      </xdr:spPr>
    </xdr:pic>
    <xdr:clientData/>
  </xdr:twoCellAnchor>
  <xdr:twoCellAnchor editAs="oneCell">
    <xdr:from>
      <xdr:col>0</xdr:col>
      <xdr:colOff>215900</xdr:colOff>
      <xdr:row>71</xdr:row>
      <xdr:rowOff>171450</xdr:rowOff>
    </xdr:from>
    <xdr:to>
      <xdr:col>10</xdr:col>
      <xdr:colOff>196662</xdr:colOff>
      <xdr:row>89</xdr:row>
      <xdr:rowOff>72417</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stretch>
          <a:fillRect/>
        </a:stretch>
      </xdr:blipFill>
      <xdr:spPr>
        <a:xfrm>
          <a:off x="215900" y="13246100"/>
          <a:ext cx="6076762" cy="3215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260350</xdr:colOff>
          <xdr:row>71</xdr:row>
          <xdr:rowOff>146050</xdr:rowOff>
        </xdr:from>
        <xdr:to>
          <xdr:col>4</xdr:col>
          <xdr:colOff>0</xdr:colOff>
          <xdr:row>73</xdr:row>
          <xdr:rowOff>31750</xdr:rowOff>
        </xdr:to>
        <xdr:sp macro="" textlink="">
          <xdr:nvSpPr>
            <xdr:cNvPr id="23553" name="Check Box 1" hidden="1">
              <a:extLst>
                <a:ext uri="{63B3BB69-23CF-44E3-9099-C40C66FF867C}">
                  <a14:compatExt spid="_x0000_s23553"/>
                </a:ext>
                <a:ext uri="{FF2B5EF4-FFF2-40B4-BE49-F238E27FC236}">
                  <a16:creationId xmlns:a16="http://schemas.microsoft.com/office/drawing/2014/main" id="{00000000-0008-0000-0C00-00000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80</xdr:row>
          <xdr:rowOff>146050</xdr:rowOff>
        </xdr:from>
        <xdr:to>
          <xdr:col>4</xdr:col>
          <xdr:colOff>0</xdr:colOff>
          <xdr:row>82</xdr:row>
          <xdr:rowOff>0</xdr:rowOff>
        </xdr:to>
        <xdr:sp macro="" textlink="">
          <xdr:nvSpPr>
            <xdr:cNvPr id="23554" name="Check Box 2" hidden="1">
              <a:extLst>
                <a:ext uri="{63B3BB69-23CF-44E3-9099-C40C66FF867C}">
                  <a14:compatExt spid="_x0000_s23554"/>
                </a:ext>
                <a:ext uri="{FF2B5EF4-FFF2-40B4-BE49-F238E27FC236}">
                  <a16:creationId xmlns:a16="http://schemas.microsoft.com/office/drawing/2014/main" id="{00000000-0008-0000-0C00-00000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81</xdr:row>
          <xdr:rowOff>146050</xdr:rowOff>
        </xdr:from>
        <xdr:to>
          <xdr:col>4</xdr:col>
          <xdr:colOff>0</xdr:colOff>
          <xdr:row>83</xdr:row>
          <xdr:rowOff>0</xdr:rowOff>
        </xdr:to>
        <xdr:sp macro="" textlink="">
          <xdr:nvSpPr>
            <xdr:cNvPr id="23555" name="Check Box 3" hidden="1">
              <a:extLst>
                <a:ext uri="{63B3BB69-23CF-44E3-9099-C40C66FF867C}">
                  <a14:compatExt spid="_x0000_s23555"/>
                </a:ext>
                <a:ext uri="{FF2B5EF4-FFF2-40B4-BE49-F238E27FC236}">
                  <a16:creationId xmlns:a16="http://schemas.microsoft.com/office/drawing/2014/main" id="{00000000-0008-0000-0C00-00000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82</xdr:row>
          <xdr:rowOff>146050</xdr:rowOff>
        </xdr:from>
        <xdr:to>
          <xdr:col>4</xdr:col>
          <xdr:colOff>0</xdr:colOff>
          <xdr:row>83</xdr:row>
          <xdr:rowOff>184150</xdr:rowOff>
        </xdr:to>
        <xdr:sp macro="" textlink="">
          <xdr:nvSpPr>
            <xdr:cNvPr id="23556" name="Check Box 4" hidden="1">
              <a:extLst>
                <a:ext uri="{63B3BB69-23CF-44E3-9099-C40C66FF867C}">
                  <a14:compatExt spid="_x0000_s23556"/>
                </a:ext>
                <a:ext uri="{FF2B5EF4-FFF2-40B4-BE49-F238E27FC236}">
                  <a16:creationId xmlns:a16="http://schemas.microsoft.com/office/drawing/2014/main" id="{00000000-0008-0000-0C00-00000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76</xdr:row>
          <xdr:rowOff>152400</xdr:rowOff>
        </xdr:from>
        <xdr:to>
          <xdr:col>4</xdr:col>
          <xdr:colOff>0</xdr:colOff>
          <xdr:row>78</xdr:row>
          <xdr:rowOff>0</xdr:rowOff>
        </xdr:to>
        <xdr:sp macro="" textlink="">
          <xdr:nvSpPr>
            <xdr:cNvPr id="23557" name="Check Box 5" hidden="1">
              <a:extLst>
                <a:ext uri="{63B3BB69-23CF-44E3-9099-C40C66FF867C}">
                  <a14:compatExt spid="_x0000_s23557"/>
                </a:ext>
                <a:ext uri="{FF2B5EF4-FFF2-40B4-BE49-F238E27FC236}">
                  <a16:creationId xmlns:a16="http://schemas.microsoft.com/office/drawing/2014/main" id="{00000000-0008-0000-0C00-00000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78</xdr:row>
          <xdr:rowOff>152400</xdr:rowOff>
        </xdr:from>
        <xdr:to>
          <xdr:col>4</xdr:col>
          <xdr:colOff>0</xdr:colOff>
          <xdr:row>80</xdr:row>
          <xdr:rowOff>0</xdr:rowOff>
        </xdr:to>
        <xdr:sp macro="" textlink="">
          <xdr:nvSpPr>
            <xdr:cNvPr id="23558" name="Check Box 6" hidden="1">
              <a:extLst>
                <a:ext uri="{63B3BB69-23CF-44E3-9099-C40C66FF867C}">
                  <a14:compatExt spid="_x0000_s23558"/>
                </a:ext>
                <a:ext uri="{FF2B5EF4-FFF2-40B4-BE49-F238E27FC236}">
                  <a16:creationId xmlns:a16="http://schemas.microsoft.com/office/drawing/2014/main" id="{00000000-0008-0000-0C00-00000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74</xdr:row>
          <xdr:rowOff>146050</xdr:rowOff>
        </xdr:from>
        <xdr:to>
          <xdr:col>4</xdr:col>
          <xdr:colOff>0</xdr:colOff>
          <xdr:row>76</xdr:row>
          <xdr:rowOff>12700</xdr:rowOff>
        </xdr:to>
        <xdr:sp macro="" textlink="">
          <xdr:nvSpPr>
            <xdr:cNvPr id="23559" name="Check Box 7" hidden="1">
              <a:extLst>
                <a:ext uri="{63B3BB69-23CF-44E3-9099-C40C66FF867C}">
                  <a14:compatExt spid="_x0000_s23559"/>
                </a:ext>
                <a:ext uri="{FF2B5EF4-FFF2-40B4-BE49-F238E27FC236}">
                  <a16:creationId xmlns:a16="http://schemas.microsoft.com/office/drawing/2014/main" id="{00000000-0008-0000-0C00-00000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146050</xdr:rowOff>
        </xdr:from>
        <xdr:to>
          <xdr:col>4</xdr:col>
          <xdr:colOff>0</xdr:colOff>
          <xdr:row>75</xdr:row>
          <xdr:rowOff>12700</xdr:rowOff>
        </xdr:to>
        <xdr:sp macro="" textlink="">
          <xdr:nvSpPr>
            <xdr:cNvPr id="23560" name="Check Box 8" hidden="1">
              <a:extLst>
                <a:ext uri="{63B3BB69-23CF-44E3-9099-C40C66FF867C}">
                  <a14:compatExt spid="_x0000_s23560"/>
                </a:ext>
                <a:ext uri="{FF2B5EF4-FFF2-40B4-BE49-F238E27FC236}">
                  <a16:creationId xmlns:a16="http://schemas.microsoft.com/office/drawing/2014/main" id="{00000000-0008-0000-0C00-00000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10</xdr:row>
          <xdr:rowOff>184150</xdr:rowOff>
        </xdr:from>
        <xdr:to>
          <xdr:col>2</xdr:col>
          <xdr:colOff>622300</xdr:colOff>
          <xdr:row>12</xdr:row>
          <xdr:rowOff>31750</xdr:rowOff>
        </xdr:to>
        <xdr:sp macro="" textlink="">
          <xdr:nvSpPr>
            <xdr:cNvPr id="23561" name="Check Box 9" hidden="1">
              <a:extLst>
                <a:ext uri="{63B3BB69-23CF-44E3-9099-C40C66FF867C}">
                  <a14:compatExt spid="_x0000_s23561"/>
                </a:ext>
                <a:ext uri="{FF2B5EF4-FFF2-40B4-BE49-F238E27FC236}">
                  <a16:creationId xmlns:a16="http://schemas.microsoft.com/office/drawing/2014/main" id="{00000000-0008-0000-0C00-00000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222250</xdr:colOff>
          <xdr:row>10</xdr:row>
          <xdr:rowOff>184150</xdr:rowOff>
        </xdr:from>
        <xdr:to>
          <xdr:col>6</xdr:col>
          <xdr:colOff>641350</xdr:colOff>
          <xdr:row>12</xdr:row>
          <xdr:rowOff>31750</xdr:rowOff>
        </xdr:to>
        <xdr:sp macro="" textlink="">
          <xdr:nvSpPr>
            <xdr:cNvPr id="23562" name="Check Box 10" hidden="1">
              <a:extLst>
                <a:ext uri="{63B3BB69-23CF-44E3-9099-C40C66FF867C}">
                  <a14:compatExt spid="_x0000_s23562"/>
                </a:ext>
                <a:ext uri="{FF2B5EF4-FFF2-40B4-BE49-F238E27FC236}">
                  <a16:creationId xmlns:a16="http://schemas.microsoft.com/office/drawing/2014/main" id="{00000000-0008-0000-0C00-00000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12</xdr:row>
          <xdr:rowOff>165100</xdr:rowOff>
        </xdr:from>
        <xdr:to>
          <xdr:col>2</xdr:col>
          <xdr:colOff>431800</xdr:colOff>
          <xdr:row>14</xdr:row>
          <xdr:rowOff>12700</xdr:rowOff>
        </xdr:to>
        <xdr:sp macro="" textlink="">
          <xdr:nvSpPr>
            <xdr:cNvPr id="23563" name="Check Box 11" hidden="1">
              <a:extLst>
                <a:ext uri="{63B3BB69-23CF-44E3-9099-C40C66FF867C}">
                  <a14:compatExt spid="_x0000_s23563"/>
                </a:ext>
                <a:ext uri="{FF2B5EF4-FFF2-40B4-BE49-F238E27FC236}">
                  <a16:creationId xmlns:a16="http://schemas.microsoft.com/office/drawing/2014/main" id="{00000000-0008-0000-0C00-00000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12</xdr:row>
          <xdr:rowOff>184150</xdr:rowOff>
        </xdr:from>
        <xdr:to>
          <xdr:col>7</xdr:col>
          <xdr:colOff>412750</xdr:colOff>
          <xdr:row>14</xdr:row>
          <xdr:rowOff>31750</xdr:rowOff>
        </xdr:to>
        <xdr:sp macro="" textlink="">
          <xdr:nvSpPr>
            <xdr:cNvPr id="23564" name="Check Box 12" hidden="1">
              <a:extLst>
                <a:ext uri="{63B3BB69-23CF-44E3-9099-C40C66FF867C}">
                  <a14:compatExt spid="_x0000_s23564"/>
                </a:ext>
                <a:ext uri="{FF2B5EF4-FFF2-40B4-BE49-F238E27FC236}">
                  <a16:creationId xmlns:a16="http://schemas.microsoft.com/office/drawing/2014/main" id="{00000000-0008-0000-0C00-00000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12</xdr:row>
          <xdr:rowOff>165100</xdr:rowOff>
        </xdr:from>
        <xdr:to>
          <xdr:col>5</xdr:col>
          <xdr:colOff>184150</xdr:colOff>
          <xdr:row>14</xdr:row>
          <xdr:rowOff>31750</xdr:rowOff>
        </xdr:to>
        <xdr:sp macro="" textlink="">
          <xdr:nvSpPr>
            <xdr:cNvPr id="23565" name="Check Box 13" hidden="1">
              <a:extLst>
                <a:ext uri="{63B3BB69-23CF-44E3-9099-C40C66FF867C}">
                  <a14:compatExt spid="_x0000_s23565"/>
                </a:ext>
                <a:ext uri="{FF2B5EF4-FFF2-40B4-BE49-F238E27FC236}">
                  <a16:creationId xmlns:a16="http://schemas.microsoft.com/office/drawing/2014/main" id="{00000000-0008-0000-0C00-00000D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72</xdr:row>
          <xdr:rowOff>146050</xdr:rowOff>
        </xdr:from>
        <xdr:to>
          <xdr:col>4</xdr:col>
          <xdr:colOff>0</xdr:colOff>
          <xdr:row>74</xdr:row>
          <xdr:rowOff>31750</xdr:rowOff>
        </xdr:to>
        <xdr:sp macro="" textlink="">
          <xdr:nvSpPr>
            <xdr:cNvPr id="23566" name="Check Box 14" hidden="1">
              <a:extLst>
                <a:ext uri="{63B3BB69-23CF-44E3-9099-C40C66FF867C}">
                  <a14:compatExt spid="_x0000_s23566"/>
                </a:ext>
                <a:ext uri="{FF2B5EF4-FFF2-40B4-BE49-F238E27FC236}">
                  <a16:creationId xmlns:a16="http://schemas.microsoft.com/office/drawing/2014/main" id="{00000000-0008-0000-0C00-00000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219807</xdr:colOff>
      <xdr:row>1</xdr:row>
      <xdr:rowOff>87923</xdr:rowOff>
    </xdr:from>
    <xdr:to>
      <xdr:col>1</xdr:col>
      <xdr:colOff>1709386</xdr:colOff>
      <xdr:row>4</xdr:row>
      <xdr:rowOff>87044</xdr:rowOff>
    </xdr:to>
    <xdr:pic>
      <xdr:nvPicPr>
        <xdr:cNvPr id="16" name="Picture 15">
          <a:extLst>
            <a:ext uri="{FF2B5EF4-FFF2-40B4-BE49-F238E27FC236}">
              <a16:creationId xmlns:a16="http://schemas.microsoft.com/office/drawing/2014/main" id="{00000000-0008-0000-0C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807" y="259373"/>
          <a:ext cx="1730879" cy="5515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71</xdr:row>
          <xdr:rowOff>146050</xdr:rowOff>
        </xdr:from>
        <xdr:to>
          <xdr:col>5</xdr:col>
          <xdr:colOff>0</xdr:colOff>
          <xdr:row>73</xdr:row>
          <xdr:rowOff>31750</xdr:rowOff>
        </xdr:to>
        <xdr:sp macro="" textlink="">
          <xdr:nvSpPr>
            <xdr:cNvPr id="23567" name="Check Box 15" hidden="1">
              <a:extLst>
                <a:ext uri="{63B3BB69-23CF-44E3-9099-C40C66FF867C}">
                  <a14:compatExt spid="_x0000_s23567"/>
                </a:ext>
                <a:ext uri="{FF2B5EF4-FFF2-40B4-BE49-F238E27FC236}">
                  <a16:creationId xmlns:a16="http://schemas.microsoft.com/office/drawing/2014/main" id="{00000000-0008-0000-0C00-00000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80</xdr:row>
          <xdr:rowOff>146050</xdr:rowOff>
        </xdr:from>
        <xdr:to>
          <xdr:col>5</xdr:col>
          <xdr:colOff>0</xdr:colOff>
          <xdr:row>82</xdr:row>
          <xdr:rowOff>0</xdr:rowOff>
        </xdr:to>
        <xdr:sp macro="" textlink="">
          <xdr:nvSpPr>
            <xdr:cNvPr id="23568" name="Check Box 16" hidden="1">
              <a:extLst>
                <a:ext uri="{63B3BB69-23CF-44E3-9099-C40C66FF867C}">
                  <a14:compatExt spid="_x0000_s23568"/>
                </a:ext>
                <a:ext uri="{FF2B5EF4-FFF2-40B4-BE49-F238E27FC236}">
                  <a16:creationId xmlns:a16="http://schemas.microsoft.com/office/drawing/2014/main" id="{00000000-0008-0000-0C00-00001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81</xdr:row>
          <xdr:rowOff>146050</xdr:rowOff>
        </xdr:from>
        <xdr:to>
          <xdr:col>5</xdr:col>
          <xdr:colOff>0</xdr:colOff>
          <xdr:row>83</xdr:row>
          <xdr:rowOff>0</xdr:rowOff>
        </xdr:to>
        <xdr:sp macro="" textlink="">
          <xdr:nvSpPr>
            <xdr:cNvPr id="23569" name="Check Box 17" hidden="1">
              <a:extLst>
                <a:ext uri="{63B3BB69-23CF-44E3-9099-C40C66FF867C}">
                  <a14:compatExt spid="_x0000_s23569"/>
                </a:ext>
                <a:ext uri="{FF2B5EF4-FFF2-40B4-BE49-F238E27FC236}">
                  <a16:creationId xmlns:a16="http://schemas.microsoft.com/office/drawing/2014/main" id="{00000000-0008-0000-0C00-00001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82</xdr:row>
          <xdr:rowOff>146050</xdr:rowOff>
        </xdr:from>
        <xdr:to>
          <xdr:col>5</xdr:col>
          <xdr:colOff>0</xdr:colOff>
          <xdr:row>83</xdr:row>
          <xdr:rowOff>184150</xdr:rowOff>
        </xdr:to>
        <xdr:sp macro="" textlink="">
          <xdr:nvSpPr>
            <xdr:cNvPr id="23570" name="Check Box 18" hidden="1">
              <a:extLst>
                <a:ext uri="{63B3BB69-23CF-44E3-9099-C40C66FF867C}">
                  <a14:compatExt spid="_x0000_s23570"/>
                </a:ext>
                <a:ext uri="{FF2B5EF4-FFF2-40B4-BE49-F238E27FC236}">
                  <a16:creationId xmlns:a16="http://schemas.microsoft.com/office/drawing/2014/main" id="{00000000-0008-0000-0C00-00001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76</xdr:row>
          <xdr:rowOff>146050</xdr:rowOff>
        </xdr:from>
        <xdr:to>
          <xdr:col>5</xdr:col>
          <xdr:colOff>0</xdr:colOff>
          <xdr:row>78</xdr:row>
          <xdr:rowOff>0</xdr:rowOff>
        </xdr:to>
        <xdr:sp macro="" textlink="">
          <xdr:nvSpPr>
            <xdr:cNvPr id="23571" name="Check Box 19" hidden="1">
              <a:extLst>
                <a:ext uri="{63B3BB69-23CF-44E3-9099-C40C66FF867C}">
                  <a14:compatExt spid="_x0000_s23571"/>
                </a:ext>
                <a:ext uri="{FF2B5EF4-FFF2-40B4-BE49-F238E27FC236}">
                  <a16:creationId xmlns:a16="http://schemas.microsoft.com/office/drawing/2014/main" id="{00000000-0008-0000-0C00-00001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78</xdr:row>
          <xdr:rowOff>146050</xdr:rowOff>
        </xdr:from>
        <xdr:to>
          <xdr:col>5</xdr:col>
          <xdr:colOff>0</xdr:colOff>
          <xdr:row>80</xdr:row>
          <xdr:rowOff>0</xdr:rowOff>
        </xdr:to>
        <xdr:sp macro="" textlink="">
          <xdr:nvSpPr>
            <xdr:cNvPr id="23572" name="Check Box 20" hidden="1">
              <a:extLst>
                <a:ext uri="{63B3BB69-23CF-44E3-9099-C40C66FF867C}">
                  <a14:compatExt spid="_x0000_s23572"/>
                </a:ext>
                <a:ext uri="{FF2B5EF4-FFF2-40B4-BE49-F238E27FC236}">
                  <a16:creationId xmlns:a16="http://schemas.microsoft.com/office/drawing/2014/main" id="{00000000-0008-0000-0C00-000014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74</xdr:row>
          <xdr:rowOff>146050</xdr:rowOff>
        </xdr:from>
        <xdr:to>
          <xdr:col>5</xdr:col>
          <xdr:colOff>0</xdr:colOff>
          <xdr:row>76</xdr:row>
          <xdr:rowOff>12700</xdr:rowOff>
        </xdr:to>
        <xdr:sp macro="" textlink="">
          <xdr:nvSpPr>
            <xdr:cNvPr id="23573" name="Check Box 21" hidden="1">
              <a:extLst>
                <a:ext uri="{63B3BB69-23CF-44E3-9099-C40C66FF867C}">
                  <a14:compatExt spid="_x0000_s23573"/>
                </a:ext>
                <a:ext uri="{FF2B5EF4-FFF2-40B4-BE49-F238E27FC236}">
                  <a16:creationId xmlns:a16="http://schemas.microsoft.com/office/drawing/2014/main" id="{00000000-0008-0000-0C00-000015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146050</xdr:rowOff>
        </xdr:from>
        <xdr:to>
          <xdr:col>5</xdr:col>
          <xdr:colOff>0</xdr:colOff>
          <xdr:row>75</xdr:row>
          <xdr:rowOff>12700</xdr:rowOff>
        </xdr:to>
        <xdr:sp macro="" textlink="">
          <xdr:nvSpPr>
            <xdr:cNvPr id="23574" name="Check Box 22" hidden="1">
              <a:extLst>
                <a:ext uri="{63B3BB69-23CF-44E3-9099-C40C66FF867C}">
                  <a14:compatExt spid="_x0000_s23574"/>
                </a:ext>
                <a:ext uri="{FF2B5EF4-FFF2-40B4-BE49-F238E27FC236}">
                  <a16:creationId xmlns:a16="http://schemas.microsoft.com/office/drawing/2014/main" id="{00000000-0008-0000-0C00-00001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72</xdr:row>
          <xdr:rowOff>146050</xdr:rowOff>
        </xdr:from>
        <xdr:to>
          <xdr:col>5</xdr:col>
          <xdr:colOff>0</xdr:colOff>
          <xdr:row>74</xdr:row>
          <xdr:rowOff>31750</xdr:rowOff>
        </xdr:to>
        <xdr:sp macro="" textlink="">
          <xdr:nvSpPr>
            <xdr:cNvPr id="23575" name="Check Box 23" hidden="1">
              <a:extLst>
                <a:ext uri="{63B3BB69-23CF-44E3-9099-C40C66FF867C}">
                  <a14:compatExt spid="_x0000_s23575"/>
                </a:ext>
                <a:ext uri="{FF2B5EF4-FFF2-40B4-BE49-F238E27FC236}">
                  <a16:creationId xmlns:a16="http://schemas.microsoft.com/office/drawing/2014/main" id="{00000000-0008-0000-0C00-00001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editAs="oneCell">
    <xdr:from>
      <xdr:col>0</xdr:col>
      <xdr:colOff>60326</xdr:colOff>
      <xdr:row>1</xdr:row>
      <xdr:rowOff>73026</xdr:rowOff>
    </xdr:from>
    <xdr:to>
      <xdr:col>1</xdr:col>
      <xdr:colOff>1422022</xdr:colOff>
      <xdr:row>4</xdr:row>
      <xdr:rowOff>100219</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326" y="244476"/>
          <a:ext cx="1602996" cy="5796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260350</xdr:colOff>
          <xdr:row>70</xdr:row>
          <xdr:rowOff>146050</xdr:rowOff>
        </xdr:from>
        <xdr:to>
          <xdr:col>3</xdr:col>
          <xdr:colOff>679450</xdr:colOff>
          <xdr:row>72</xdr:row>
          <xdr:rowOff>38100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D00-000001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78</xdr:row>
          <xdr:rowOff>146050</xdr:rowOff>
        </xdr:from>
        <xdr:to>
          <xdr:col>3</xdr:col>
          <xdr:colOff>679450</xdr:colOff>
          <xdr:row>79</xdr:row>
          <xdr:rowOff>184150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D00-000002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79</xdr:row>
          <xdr:rowOff>146050</xdr:rowOff>
        </xdr:from>
        <xdr:to>
          <xdr:col>3</xdr:col>
          <xdr:colOff>679450</xdr:colOff>
          <xdr:row>80</xdr:row>
          <xdr:rowOff>184150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D00-000003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70</xdr:row>
          <xdr:rowOff>146050</xdr:rowOff>
        </xdr:from>
        <xdr:to>
          <xdr:col>4</xdr:col>
          <xdr:colOff>647700</xdr:colOff>
          <xdr:row>72</xdr:row>
          <xdr:rowOff>38100</xdr:rowOff>
        </xdr:to>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D00-000004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78</xdr:row>
          <xdr:rowOff>146050</xdr:rowOff>
        </xdr:from>
        <xdr:to>
          <xdr:col>4</xdr:col>
          <xdr:colOff>647700</xdr:colOff>
          <xdr:row>79</xdr:row>
          <xdr:rowOff>184150</xdr:rowOff>
        </xdr:to>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D00-00000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79</xdr:row>
          <xdr:rowOff>146050</xdr:rowOff>
        </xdr:from>
        <xdr:to>
          <xdr:col>4</xdr:col>
          <xdr:colOff>660400</xdr:colOff>
          <xdr:row>80</xdr:row>
          <xdr:rowOff>184150</xdr:rowOff>
        </xdr:to>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D00-00000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80</xdr:row>
          <xdr:rowOff>146050</xdr:rowOff>
        </xdr:from>
        <xdr:to>
          <xdr:col>3</xdr:col>
          <xdr:colOff>679450</xdr:colOff>
          <xdr:row>81</xdr:row>
          <xdr:rowOff>184150</xdr:rowOff>
        </xdr:to>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D00-00000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80</xdr:row>
          <xdr:rowOff>146050</xdr:rowOff>
        </xdr:from>
        <xdr:to>
          <xdr:col>4</xdr:col>
          <xdr:colOff>647700</xdr:colOff>
          <xdr:row>81</xdr:row>
          <xdr:rowOff>184150</xdr:rowOff>
        </xdr:to>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D00-000008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74</xdr:row>
          <xdr:rowOff>152400</xdr:rowOff>
        </xdr:from>
        <xdr:to>
          <xdr:col>3</xdr:col>
          <xdr:colOff>679450</xdr:colOff>
          <xdr:row>76</xdr:row>
          <xdr:rowOff>0</xdr:rowOff>
        </xdr:to>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D00-000009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74</xdr:row>
          <xdr:rowOff>146050</xdr:rowOff>
        </xdr:from>
        <xdr:to>
          <xdr:col>4</xdr:col>
          <xdr:colOff>660400</xdr:colOff>
          <xdr:row>75</xdr:row>
          <xdr:rowOff>184150</xdr:rowOff>
        </xdr:to>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D00-00000A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76</xdr:row>
          <xdr:rowOff>152400</xdr:rowOff>
        </xdr:from>
        <xdr:to>
          <xdr:col>3</xdr:col>
          <xdr:colOff>679450</xdr:colOff>
          <xdr:row>78</xdr:row>
          <xdr:rowOff>0</xdr:rowOff>
        </xdr:to>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D00-00000B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76</xdr:row>
          <xdr:rowOff>146050</xdr:rowOff>
        </xdr:from>
        <xdr:to>
          <xdr:col>4</xdr:col>
          <xdr:colOff>660400</xdr:colOff>
          <xdr:row>77</xdr:row>
          <xdr:rowOff>184150</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D00-00000C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72</xdr:row>
          <xdr:rowOff>146050</xdr:rowOff>
        </xdr:from>
        <xdr:to>
          <xdr:col>3</xdr:col>
          <xdr:colOff>679450</xdr:colOff>
          <xdr:row>74</xdr:row>
          <xdr:rowOff>12700</xdr:rowOff>
        </xdr:to>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D00-00000D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72</xdr:row>
          <xdr:rowOff>146050</xdr:rowOff>
        </xdr:from>
        <xdr:to>
          <xdr:col>4</xdr:col>
          <xdr:colOff>647700</xdr:colOff>
          <xdr:row>74</xdr:row>
          <xdr:rowOff>12700</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D00-00000E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71</xdr:row>
          <xdr:rowOff>146050</xdr:rowOff>
        </xdr:from>
        <xdr:to>
          <xdr:col>3</xdr:col>
          <xdr:colOff>679450</xdr:colOff>
          <xdr:row>73</xdr:row>
          <xdr:rowOff>12700</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D00-00000F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71</xdr:row>
          <xdr:rowOff>146050</xdr:rowOff>
        </xdr:from>
        <xdr:to>
          <xdr:col>4</xdr:col>
          <xdr:colOff>647700</xdr:colOff>
          <xdr:row>73</xdr:row>
          <xdr:rowOff>12700</xdr:rowOff>
        </xdr:to>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D00-000010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9</xdr:row>
          <xdr:rowOff>184150</xdr:rowOff>
        </xdr:from>
        <xdr:to>
          <xdr:col>2</xdr:col>
          <xdr:colOff>622300</xdr:colOff>
          <xdr:row>11</xdr:row>
          <xdr:rowOff>31750</xdr:rowOff>
        </xdr:to>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D00-000011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9</xdr:row>
          <xdr:rowOff>184150</xdr:rowOff>
        </xdr:from>
        <xdr:to>
          <xdr:col>2</xdr:col>
          <xdr:colOff>622300</xdr:colOff>
          <xdr:row>11</xdr:row>
          <xdr:rowOff>31750</xdr:rowOff>
        </xdr:to>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D00-000013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222250</xdr:colOff>
          <xdr:row>9</xdr:row>
          <xdr:rowOff>184150</xdr:rowOff>
        </xdr:from>
        <xdr:to>
          <xdr:col>6</xdr:col>
          <xdr:colOff>622300</xdr:colOff>
          <xdr:row>11</xdr:row>
          <xdr:rowOff>31750</xdr:rowOff>
        </xdr:to>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D00-000014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11</xdr:row>
          <xdr:rowOff>165100</xdr:rowOff>
        </xdr:from>
        <xdr:to>
          <xdr:col>2</xdr:col>
          <xdr:colOff>431800</xdr:colOff>
          <xdr:row>13</xdr:row>
          <xdr:rowOff>12700</xdr:rowOff>
        </xdr:to>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D00-000015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11</xdr:row>
          <xdr:rowOff>184150</xdr:rowOff>
        </xdr:from>
        <xdr:to>
          <xdr:col>7</xdr:col>
          <xdr:colOff>412750</xdr:colOff>
          <xdr:row>13</xdr:row>
          <xdr:rowOff>38100</xdr:rowOff>
        </xdr:to>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D00-000016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11</xdr:row>
          <xdr:rowOff>165100</xdr:rowOff>
        </xdr:from>
        <xdr:to>
          <xdr:col>5</xdr:col>
          <xdr:colOff>184150</xdr:colOff>
          <xdr:row>13</xdr:row>
          <xdr:rowOff>31750</xdr:rowOff>
        </xdr:to>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D00-0000173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260350</xdr:colOff>
          <xdr:row>71</xdr:row>
          <xdr:rowOff>146050</xdr:rowOff>
        </xdr:from>
        <xdr:to>
          <xdr:col>4</xdr:col>
          <xdr:colOff>0</xdr:colOff>
          <xdr:row>73</xdr:row>
          <xdr:rowOff>38100</xdr:rowOff>
        </xdr:to>
        <xdr:sp macro="" textlink="">
          <xdr:nvSpPr>
            <xdr:cNvPr id="24577" name="Check Box 1" hidden="1">
              <a:extLst>
                <a:ext uri="{63B3BB69-23CF-44E3-9099-C40C66FF867C}">
                  <a14:compatExt spid="_x0000_s24577"/>
                </a:ext>
                <a:ext uri="{FF2B5EF4-FFF2-40B4-BE49-F238E27FC236}">
                  <a16:creationId xmlns:a16="http://schemas.microsoft.com/office/drawing/2014/main" id="{00000000-0008-0000-0E00-00000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80</xdr:row>
          <xdr:rowOff>146050</xdr:rowOff>
        </xdr:from>
        <xdr:to>
          <xdr:col>4</xdr:col>
          <xdr:colOff>0</xdr:colOff>
          <xdr:row>82</xdr:row>
          <xdr:rowOff>0</xdr:rowOff>
        </xdr:to>
        <xdr:sp macro="" textlink="">
          <xdr:nvSpPr>
            <xdr:cNvPr id="24578" name="Check Box 2" hidden="1">
              <a:extLst>
                <a:ext uri="{63B3BB69-23CF-44E3-9099-C40C66FF867C}">
                  <a14:compatExt spid="_x0000_s24578"/>
                </a:ext>
                <a:ext uri="{FF2B5EF4-FFF2-40B4-BE49-F238E27FC236}">
                  <a16:creationId xmlns:a16="http://schemas.microsoft.com/office/drawing/2014/main" id="{00000000-0008-0000-0E00-00000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81</xdr:row>
          <xdr:rowOff>146050</xdr:rowOff>
        </xdr:from>
        <xdr:to>
          <xdr:col>4</xdr:col>
          <xdr:colOff>0</xdr:colOff>
          <xdr:row>83</xdr:row>
          <xdr:rowOff>0</xdr:rowOff>
        </xdr:to>
        <xdr:sp macro="" textlink="">
          <xdr:nvSpPr>
            <xdr:cNvPr id="24579" name="Check Box 3" hidden="1">
              <a:extLst>
                <a:ext uri="{63B3BB69-23CF-44E3-9099-C40C66FF867C}">
                  <a14:compatExt spid="_x0000_s24579"/>
                </a:ext>
                <a:ext uri="{FF2B5EF4-FFF2-40B4-BE49-F238E27FC236}">
                  <a16:creationId xmlns:a16="http://schemas.microsoft.com/office/drawing/2014/main" id="{00000000-0008-0000-0E00-00000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71</xdr:row>
          <xdr:rowOff>146050</xdr:rowOff>
        </xdr:from>
        <xdr:to>
          <xdr:col>5</xdr:col>
          <xdr:colOff>0</xdr:colOff>
          <xdr:row>73</xdr:row>
          <xdr:rowOff>38100</xdr:rowOff>
        </xdr:to>
        <xdr:sp macro="" textlink="">
          <xdr:nvSpPr>
            <xdr:cNvPr id="24580" name="Check Box 4" hidden="1">
              <a:extLst>
                <a:ext uri="{63B3BB69-23CF-44E3-9099-C40C66FF867C}">
                  <a14:compatExt spid="_x0000_s24580"/>
                </a:ext>
                <a:ext uri="{FF2B5EF4-FFF2-40B4-BE49-F238E27FC236}">
                  <a16:creationId xmlns:a16="http://schemas.microsoft.com/office/drawing/2014/main" id="{00000000-0008-0000-0E00-00000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80</xdr:row>
          <xdr:rowOff>146050</xdr:rowOff>
        </xdr:from>
        <xdr:to>
          <xdr:col>5</xdr:col>
          <xdr:colOff>0</xdr:colOff>
          <xdr:row>82</xdr:row>
          <xdr:rowOff>0</xdr:rowOff>
        </xdr:to>
        <xdr:sp macro="" textlink="">
          <xdr:nvSpPr>
            <xdr:cNvPr id="24581" name="Check Box 5" hidden="1">
              <a:extLst>
                <a:ext uri="{63B3BB69-23CF-44E3-9099-C40C66FF867C}">
                  <a14:compatExt spid="_x0000_s24581"/>
                </a:ext>
                <a:ext uri="{FF2B5EF4-FFF2-40B4-BE49-F238E27FC236}">
                  <a16:creationId xmlns:a16="http://schemas.microsoft.com/office/drawing/2014/main" id="{00000000-0008-0000-0E00-00000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81</xdr:row>
          <xdr:rowOff>146050</xdr:rowOff>
        </xdr:from>
        <xdr:to>
          <xdr:col>5</xdr:col>
          <xdr:colOff>0</xdr:colOff>
          <xdr:row>83</xdr:row>
          <xdr:rowOff>0</xdr:rowOff>
        </xdr:to>
        <xdr:sp macro="" textlink="">
          <xdr:nvSpPr>
            <xdr:cNvPr id="24582" name="Check Box 6" hidden="1">
              <a:extLst>
                <a:ext uri="{63B3BB69-23CF-44E3-9099-C40C66FF867C}">
                  <a14:compatExt spid="_x0000_s24582"/>
                </a:ext>
                <a:ext uri="{FF2B5EF4-FFF2-40B4-BE49-F238E27FC236}">
                  <a16:creationId xmlns:a16="http://schemas.microsoft.com/office/drawing/2014/main" id="{00000000-0008-0000-0E00-00000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82</xdr:row>
          <xdr:rowOff>146050</xdr:rowOff>
        </xdr:from>
        <xdr:to>
          <xdr:col>4</xdr:col>
          <xdr:colOff>0</xdr:colOff>
          <xdr:row>83</xdr:row>
          <xdr:rowOff>184150</xdr:rowOff>
        </xdr:to>
        <xdr:sp macro="" textlink="">
          <xdr:nvSpPr>
            <xdr:cNvPr id="24583" name="Check Box 7" hidden="1">
              <a:extLst>
                <a:ext uri="{63B3BB69-23CF-44E3-9099-C40C66FF867C}">
                  <a14:compatExt spid="_x0000_s24583"/>
                </a:ext>
                <a:ext uri="{FF2B5EF4-FFF2-40B4-BE49-F238E27FC236}">
                  <a16:creationId xmlns:a16="http://schemas.microsoft.com/office/drawing/2014/main" id="{00000000-0008-0000-0E00-00000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82</xdr:row>
          <xdr:rowOff>146050</xdr:rowOff>
        </xdr:from>
        <xdr:to>
          <xdr:col>5</xdr:col>
          <xdr:colOff>0</xdr:colOff>
          <xdr:row>83</xdr:row>
          <xdr:rowOff>184150</xdr:rowOff>
        </xdr:to>
        <xdr:sp macro="" textlink="">
          <xdr:nvSpPr>
            <xdr:cNvPr id="24584" name="Check Box 8" hidden="1">
              <a:extLst>
                <a:ext uri="{63B3BB69-23CF-44E3-9099-C40C66FF867C}">
                  <a14:compatExt spid="_x0000_s24584"/>
                </a:ext>
                <a:ext uri="{FF2B5EF4-FFF2-40B4-BE49-F238E27FC236}">
                  <a16:creationId xmlns:a16="http://schemas.microsoft.com/office/drawing/2014/main" id="{00000000-0008-0000-0E00-00000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76</xdr:row>
          <xdr:rowOff>152400</xdr:rowOff>
        </xdr:from>
        <xdr:to>
          <xdr:col>4</xdr:col>
          <xdr:colOff>0</xdr:colOff>
          <xdr:row>78</xdr:row>
          <xdr:rowOff>0</xdr:rowOff>
        </xdr:to>
        <xdr:sp macro="" textlink="">
          <xdr:nvSpPr>
            <xdr:cNvPr id="24585" name="Check Box 9" hidden="1">
              <a:extLst>
                <a:ext uri="{63B3BB69-23CF-44E3-9099-C40C66FF867C}">
                  <a14:compatExt spid="_x0000_s24585"/>
                </a:ext>
                <a:ext uri="{FF2B5EF4-FFF2-40B4-BE49-F238E27FC236}">
                  <a16:creationId xmlns:a16="http://schemas.microsoft.com/office/drawing/2014/main" id="{00000000-0008-0000-0E00-00000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76</xdr:row>
          <xdr:rowOff>146050</xdr:rowOff>
        </xdr:from>
        <xdr:to>
          <xdr:col>5</xdr:col>
          <xdr:colOff>0</xdr:colOff>
          <xdr:row>78</xdr:row>
          <xdr:rowOff>0</xdr:rowOff>
        </xdr:to>
        <xdr:sp macro="" textlink="">
          <xdr:nvSpPr>
            <xdr:cNvPr id="24586" name="Check Box 10" hidden="1">
              <a:extLst>
                <a:ext uri="{63B3BB69-23CF-44E3-9099-C40C66FF867C}">
                  <a14:compatExt spid="_x0000_s24586"/>
                </a:ext>
                <a:ext uri="{FF2B5EF4-FFF2-40B4-BE49-F238E27FC236}">
                  <a16:creationId xmlns:a16="http://schemas.microsoft.com/office/drawing/2014/main" id="{00000000-0008-0000-0E00-00000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78</xdr:row>
          <xdr:rowOff>152400</xdr:rowOff>
        </xdr:from>
        <xdr:to>
          <xdr:col>4</xdr:col>
          <xdr:colOff>0</xdr:colOff>
          <xdr:row>80</xdr:row>
          <xdr:rowOff>0</xdr:rowOff>
        </xdr:to>
        <xdr:sp macro="" textlink="">
          <xdr:nvSpPr>
            <xdr:cNvPr id="24587" name="Check Box 11" hidden="1">
              <a:extLst>
                <a:ext uri="{63B3BB69-23CF-44E3-9099-C40C66FF867C}">
                  <a14:compatExt spid="_x0000_s24587"/>
                </a:ext>
                <a:ext uri="{FF2B5EF4-FFF2-40B4-BE49-F238E27FC236}">
                  <a16:creationId xmlns:a16="http://schemas.microsoft.com/office/drawing/2014/main" id="{00000000-0008-0000-0E00-00000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78</xdr:row>
          <xdr:rowOff>146050</xdr:rowOff>
        </xdr:from>
        <xdr:to>
          <xdr:col>5</xdr:col>
          <xdr:colOff>0</xdr:colOff>
          <xdr:row>80</xdr:row>
          <xdr:rowOff>0</xdr:rowOff>
        </xdr:to>
        <xdr:sp macro="" textlink="">
          <xdr:nvSpPr>
            <xdr:cNvPr id="24588" name="Check Box 12" hidden="1">
              <a:extLst>
                <a:ext uri="{63B3BB69-23CF-44E3-9099-C40C66FF867C}">
                  <a14:compatExt spid="_x0000_s24588"/>
                </a:ext>
                <a:ext uri="{FF2B5EF4-FFF2-40B4-BE49-F238E27FC236}">
                  <a16:creationId xmlns:a16="http://schemas.microsoft.com/office/drawing/2014/main" id="{00000000-0008-0000-0E00-00000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74</xdr:row>
          <xdr:rowOff>146050</xdr:rowOff>
        </xdr:from>
        <xdr:to>
          <xdr:col>4</xdr:col>
          <xdr:colOff>0</xdr:colOff>
          <xdr:row>76</xdr:row>
          <xdr:rowOff>12700</xdr:rowOff>
        </xdr:to>
        <xdr:sp macro="" textlink="">
          <xdr:nvSpPr>
            <xdr:cNvPr id="24589" name="Check Box 13" hidden="1">
              <a:extLst>
                <a:ext uri="{63B3BB69-23CF-44E3-9099-C40C66FF867C}">
                  <a14:compatExt spid="_x0000_s24589"/>
                </a:ext>
                <a:ext uri="{FF2B5EF4-FFF2-40B4-BE49-F238E27FC236}">
                  <a16:creationId xmlns:a16="http://schemas.microsoft.com/office/drawing/2014/main" id="{00000000-0008-0000-0E00-00000D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74</xdr:row>
          <xdr:rowOff>146050</xdr:rowOff>
        </xdr:from>
        <xdr:to>
          <xdr:col>5</xdr:col>
          <xdr:colOff>0</xdr:colOff>
          <xdr:row>76</xdr:row>
          <xdr:rowOff>12700</xdr:rowOff>
        </xdr:to>
        <xdr:sp macro="" textlink="">
          <xdr:nvSpPr>
            <xdr:cNvPr id="24590" name="Check Box 14" hidden="1">
              <a:extLst>
                <a:ext uri="{63B3BB69-23CF-44E3-9099-C40C66FF867C}">
                  <a14:compatExt spid="_x0000_s24590"/>
                </a:ext>
                <a:ext uri="{FF2B5EF4-FFF2-40B4-BE49-F238E27FC236}">
                  <a16:creationId xmlns:a16="http://schemas.microsoft.com/office/drawing/2014/main" id="{00000000-0008-0000-0E00-00000E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146050</xdr:rowOff>
        </xdr:from>
        <xdr:to>
          <xdr:col>4</xdr:col>
          <xdr:colOff>0</xdr:colOff>
          <xdr:row>74</xdr:row>
          <xdr:rowOff>165100</xdr:rowOff>
        </xdr:to>
        <xdr:sp macro="" textlink="">
          <xdr:nvSpPr>
            <xdr:cNvPr id="24591" name="Check Box 15" hidden="1">
              <a:extLst>
                <a:ext uri="{63B3BB69-23CF-44E3-9099-C40C66FF867C}">
                  <a14:compatExt spid="_x0000_s24591"/>
                </a:ext>
                <a:ext uri="{FF2B5EF4-FFF2-40B4-BE49-F238E27FC236}">
                  <a16:creationId xmlns:a16="http://schemas.microsoft.com/office/drawing/2014/main" id="{00000000-0008-0000-0E00-00000F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146050</xdr:rowOff>
        </xdr:from>
        <xdr:to>
          <xdr:col>5</xdr:col>
          <xdr:colOff>0</xdr:colOff>
          <xdr:row>74</xdr:row>
          <xdr:rowOff>165100</xdr:rowOff>
        </xdr:to>
        <xdr:sp macro="" textlink="">
          <xdr:nvSpPr>
            <xdr:cNvPr id="24592" name="Check Box 16" hidden="1">
              <a:extLst>
                <a:ext uri="{63B3BB69-23CF-44E3-9099-C40C66FF867C}">
                  <a14:compatExt spid="_x0000_s24592"/>
                </a:ext>
                <a:ext uri="{FF2B5EF4-FFF2-40B4-BE49-F238E27FC236}">
                  <a16:creationId xmlns:a16="http://schemas.microsoft.com/office/drawing/2014/main" id="{00000000-0008-0000-0E00-000010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10</xdr:row>
          <xdr:rowOff>184150</xdr:rowOff>
        </xdr:from>
        <xdr:to>
          <xdr:col>2</xdr:col>
          <xdr:colOff>641350</xdr:colOff>
          <xdr:row>12</xdr:row>
          <xdr:rowOff>38100</xdr:rowOff>
        </xdr:to>
        <xdr:sp macro="" textlink="">
          <xdr:nvSpPr>
            <xdr:cNvPr id="24593" name="Check Box 17" hidden="1">
              <a:extLst>
                <a:ext uri="{63B3BB69-23CF-44E3-9099-C40C66FF867C}">
                  <a14:compatExt spid="_x0000_s24593"/>
                </a:ext>
                <a:ext uri="{FF2B5EF4-FFF2-40B4-BE49-F238E27FC236}">
                  <a16:creationId xmlns:a16="http://schemas.microsoft.com/office/drawing/2014/main" id="{00000000-0008-0000-0E00-000011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10</xdr:row>
          <xdr:rowOff>184150</xdr:rowOff>
        </xdr:from>
        <xdr:to>
          <xdr:col>2</xdr:col>
          <xdr:colOff>641350</xdr:colOff>
          <xdr:row>12</xdr:row>
          <xdr:rowOff>38100</xdr:rowOff>
        </xdr:to>
        <xdr:sp macro="" textlink="">
          <xdr:nvSpPr>
            <xdr:cNvPr id="24594" name="Check Box 18" hidden="1">
              <a:extLst>
                <a:ext uri="{63B3BB69-23CF-44E3-9099-C40C66FF867C}">
                  <a14:compatExt spid="_x0000_s24594"/>
                </a:ext>
                <a:ext uri="{FF2B5EF4-FFF2-40B4-BE49-F238E27FC236}">
                  <a16:creationId xmlns:a16="http://schemas.microsoft.com/office/drawing/2014/main" id="{00000000-0008-0000-0E00-000012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222250</xdr:colOff>
          <xdr:row>10</xdr:row>
          <xdr:rowOff>184150</xdr:rowOff>
        </xdr:from>
        <xdr:to>
          <xdr:col>6</xdr:col>
          <xdr:colOff>641350</xdr:colOff>
          <xdr:row>12</xdr:row>
          <xdr:rowOff>38100</xdr:rowOff>
        </xdr:to>
        <xdr:sp macro="" textlink="">
          <xdr:nvSpPr>
            <xdr:cNvPr id="24595" name="Check Box 19" hidden="1">
              <a:extLst>
                <a:ext uri="{63B3BB69-23CF-44E3-9099-C40C66FF867C}">
                  <a14:compatExt spid="_x0000_s24595"/>
                </a:ext>
                <a:ext uri="{FF2B5EF4-FFF2-40B4-BE49-F238E27FC236}">
                  <a16:creationId xmlns:a16="http://schemas.microsoft.com/office/drawing/2014/main" id="{00000000-0008-0000-0E00-000013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12</xdr:row>
          <xdr:rowOff>165100</xdr:rowOff>
        </xdr:from>
        <xdr:to>
          <xdr:col>2</xdr:col>
          <xdr:colOff>450850</xdr:colOff>
          <xdr:row>14</xdr:row>
          <xdr:rowOff>12700</xdr:rowOff>
        </xdr:to>
        <xdr:sp macro="" textlink="">
          <xdr:nvSpPr>
            <xdr:cNvPr id="24596" name="Check Box 20" hidden="1">
              <a:extLst>
                <a:ext uri="{63B3BB69-23CF-44E3-9099-C40C66FF867C}">
                  <a14:compatExt spid="_x0000_s24596"/>
                </a:ext>
                <a:ext uri="{FF2B5EF4-FFF2-40B4-BE49-F238E27FC236}">
                  <a16:creationId xmlns:a16="http://schemas.microsoft.com/office/drawing/2014/main" id="{00000000-0008-0000-0E00-000014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12</xdr:row>
          <xdr:rowOff>184150</xdr:rowOff>
        </xdr:from>
        <xdr:to>
          <xdr:col>7</xdr:col>
          <xdr:colOff>419100</xdr:colOff>
          <xdr:row>14</xdr:row>
          <xdr:rowOff>38100</xdr:rowOff>
        </xdr:to>
        <xdr:sp macro="" textlink="">
          <xdr:nvSpPr>
            <xdr:cNvPr id="24597" name="Check Box 21" hidden="1">
              <a:extLst>
                <a:ext uri="{63B3BB69-23CF-44E3-9099-C40C66FF867C}">
                  <a14:compatExt spid="_x0000_s24597"/>
                </a:ext>
                <a:ext uri="{FF2B5EF4-FFF2-40B4-BE49-F238E27FC236}">
                  <a16:creationId xmlns:a16="http://schemas.microsoft.com/office/drawing/2014/main" id="{00000000-0008-0000-0E00-000015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12</xdr:row>
          <xdr:rowOff>165100</xdr:rowOff>
        </xdr:from>
        <xdr:to>
          <xdr:col>5</xdr:col>
          <xdr:colOff>184150</xdr:colOff>
          <xdr:row>14</xdr:row>
          <xdr:rowOff>38100</xdr:rowOff>
        </xdr:to>
        <xdr:sp macro="" textlink="">
          <xdr:nvSpPr>
            <xdr:cNvPr id="24598" name="Check Box 22" hidden="1">
              <a:extLst>
                <a:ext uri="{63B3BB69-23CF-44E3-9099-C40C66FF867C}">
                  <a14:compatExt spid="_x0000_s24598"/>
                </a:ext>
                <a:ext uri="{FF2B5EF4-FFF2-40B4-BE49-F238E27FC236}">
                  <a16:creationId xmlns:a16="http://schemas.microsoft.com/office/drawing/2014/main" id="{00000000-0008-0000-0E00-000016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102576</xdr:colOff>
      <xdr:row>1</xdr:row>
      <xdr:rowOff>102577</xdr:rowOff>
    </xdr:from>
    <xdr:to>
      <xdr:col>1</xdr:col>
      <xdr:colOff>1592155</xdr:colOff>
      <xdr:row>4</xdr:row>
      <xdr:rowOff>101698</xdr:rowOff>
    </xdr:to>
    <xdr:pic>
      <xdr:nvPicPr>
        <xdr:cNvPr id="24" name="Picture 23">
          <a:extLst>
            <a:ext uri="{FF2B5EF4-FFF2-40B4-BE49-F238E27FC236}">
              <a16:creationId xmlns:a16="http://schemas.microsoft.com/office/drawing/2014/main" id="{00000000-0008-0000-0E00-00001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576" y="274027"/>
          <a:ext cx="1730879" cy="5515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260350</xdr:colOff>
          <xdr:row>71</xdr:row>
          <xdr:rowOff>146050</xdr:rowOff>
        </xdr:from>
        <xdr:to>
          <xdr:col>4</xdr:col>
          <xdr:colOff>0</xdr:colOff>
          <xdr:row>73</xdr:row>
          <xdr:rowOff>38100</xdr:rowOff>
        </xdr:to>
        <xdr:sp macro="" textlink="">
          <xdr:nvSpPr>
            <xdr:cNvPr id="24599" name="Check Box 23" hidden="1">
              <a:extLst>
                <a:ext uri="{63B3BB69-23CF-44E3-9099-C40C66FF867C}">
                  <a14:compatExt spid="_x0000_s24599"/>
                </a:ext>
                <a:ext uri="{FF2B5EF4-FFF2-40B4-BE49-F238E27FC236}">
                  <a16:creationId xmlns:a16="http://schemas.microsoft.com/office/drawing/2014/main" id="{00000000-0008-0000-0E00-000017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71</xdr:row>
          <xdr:rowOff>146050</xdr:rowOff>
        </xdr:from>
        <xdr:to>
          <xdr:col>5</xdr:col>
          <xdr:colOff>0</xdr:colOff>
          <xdr:row>73</xdr:row>
          <xdr:rowOff>38100</xdr:rowOff>
        </xdr:to>
        <xdr:sp macro="" textlink="">
          <xdr:nvSpPr>
            <xdr:cNvPr id="24600" name="Check Box 24" hidden="1">
              <a:extLst>
                <a:ext uri="{63B3BB69-23CF-44E3-9099-C40C66FF867C}">
                  <a14:compatExt spid="_x0000_s24600"/>
                </a:ext>
                <a:ext uri="{FF2B5EF4-FFF2-40B4-BE49-F238E27FC236}">
                  <a16:creationId xmlns:a16="http://schemas.microsoft.com/office/drawing/2014/main" id="{00000000-0008-0000-0E00-000018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72</xdr:row>
          <xdr:rowOff>146050</xdr:rowOff>
        </xdr:from>
        <xdr:to>
          <xdr:col>4</xdr:col>
          <xdr:colOff>0</xdr:colOff>
          <xdr:row>74</xdr:row>
          <xdr:rowOff>12700</xdr:rowOff>
        </xdr:to>
        <xdr:sp macro="" textlink="">
          <xdr:nvSpPr>
            <xdr:cNvPr id="24601" name="Check Box 25" hidden="1">
              <a:extLst>
                <a:ext uri="{63B3BB69-23CF-44E3-9099-C40C66FF867C}">
                  <a14:compatExt spid="_x0000_s24601"/>
                </a:ext>
                <a:ext uri="{FF2B5EF4-FFF2-40B4-BE49-F238E27FC236}">
                  <a16:creationId xmlns:a16="http://schemas.microsoft.com/office/drawing/2014/main" id="{00000000-0008-0000-0E00-000019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72</xdr:row>
          <xdr:rowOff>146050</xdr:rowOff>
        </xdr:from>
        <xdr:to>
          <xdr:col>5</xdr:col>
          <xdr:colOff>0</xdr:colOff>
          <xdr:row>74</xdr:row>
          <xdr:rowOff>12700</xdr:rowOff>
        </xdr:to>
        <xdr:sp macro="" textlink="">
          <xdr:nvSpPr>
            <xdr:cNvPr id="24602" name="Check Box 26" hidden="1">
              <a:extLst>
                <a:ext uri="{63B3BB69-23CF-44E3-9099-C40C66FF867C}">
                  <a14:compatExt spid="_x0000_s24602"/>
                </a:ext>
                <a:ext uri="{FF2B5EF4-FFF2-40B4-BE49-F238E27FC236}">
                  <a16:creationId xmlns:a16="http://schemas.microsoft.com/office/drawing/2014/main" id="{00000000-0008-0000-0E00-00001A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72</xdr:row>
          <xdr:rowOff>146050</xdr:rowOff>
        </xdr:from>
        <xdr:to>
          <xdr:col>4</xdr:col>
          <xdr:colOff>0</xdr:colOff>
          <xdr:row>74</xdr:row>
          <xdr:rowOff>12700</xdr:rowOff>
        </xdr:to>
        <xdr:sp macro="" textlink="">
          <xdr:nvSpPr>
            <xdr:cNvPr id="24603" name="Check Box 27" hidden="1">
              <a:extLst>
                <a:ext uri="{63B3BB69-23CF-44E3-9099-C40C66FF867C}">
                  <a14:compatExt spid="_x0000_s24603"/>
                </a:ext>
                <a:ext uri="{FF2B5EF4-FFF2-40B4-BE49-F238E27FC236}">
                  <a16:creationId xmlns:a16="http://schemas.microsoft.com/office/drawing/2014/main" id="{00000000-0008-0000-0E00-00001B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72</xdr:row>
          <xdr:rowOff>146050</xdr:rowOff>
        </xdr:from>
        <xdr:to>
          <xdr:col>5</xdr:col>
          <xdr:colOff>0</xdr:colOff>
          <xdr:row>74</xdr:row>
          <xdr:rowOff>12700</xdr:rowOff>
        </xdr:to>
        <xdr:sp macro="" textlink="">
          <xdr:nvSpPr>
            <xdr:cNvPr id="24604" name="Check Box 28" hidden="1">
              <a:extLst>
                <a:ext uri="{63B3BB69-23CF-44E3-9099-C40C66FF867C}">
                  <a14:compatExt spid="_x0000_s24604"/>
                </a:ext>
                <a:ext uri="{FF2B5EF4-FFF2-40B4-BE49-F238E27FC236}">
                  <a16:creationId xmlns:a16="http://schemas.microsoft.com/office/drawing/2014/main" id="{00000000-0008-0000-0E00-00001C6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60326</xdr:colOff>
      <xdr:row>1</xdr:row>
      <xdr:rowOff>73026</xdr:rowOff>
    </xdr:from>
    <xdr:to>
      <xdr:col>1</xdr:col>
      <xdr:colOff>1422022</xdr:colOff>
      <xdr:row>4</xdr:row>
      <xdr:rowOff>100219</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326" y="244476"/>
          <a:ext cx="1602996" cy="5796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260350</xdr:colOff>
          <xdr:row>68</xdr:row>
          <xdr:rowOff>146050</xdr:rowOff>
        </xdr:from>
        <xdr:to>
          <xdr:col>3</xdr:col>
          <xdr:colOff>679450</xdr:colOff>
          <xdr:row>70</xdr:row>
          <xdr:rowOff>38100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F00-000001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76</xdr:row>
          <xdr:rowOff>146050</xdr:rowOff>
        </xdr:from>
        <xdr:to>
          <xdr:col>3</xdr:col>
          <xdr:colOff>679450</xdr:colOff>
          <xdr:row>77</xdr:row>
          <xdr:rowOff>184150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F00-000002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266700</xdr:colOff>
          <xdr:row>77</xdr:row>
          <xdr:rowOff>152400</xdr:rowOff>
        </xdr:from>
        <xdr:to>
          <xdr:col>3</xdr:col>
          <xdr:colOff>679450</xdr:colOff>
          <xdr:row>79</xdr:row>
          <xdr:rowOff>12700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F00-000003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68</xdr:row>
          <xdr:rowOff>146050</xdr:rowOff>
        </xdr:from>
        <xdr:to>
          <xdr:col>4</xdr:col>
          <xdr:colOff>647700</xdr:colOff>
          <xdr:row>70</xdr:row>
          <xdr:rowOff>12700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F00-000004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76</xdr:row>
          <xdr:rowOff>165100</xdr:rowOff>
        </xdr:from>
        <xdr:to>
          <xdr:col>4</xdr:col>
          <xdr:colOff>647700</xdr:colOff>
          <xdr:row>78</xdr:row>
          <xdr:rowOff>31750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F00-000005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77</xdr:row>
          <xdr:rowOff>152400</xdr:rowOff>
        </xdr:from>
        <xdr:to>
          <xdr:col>4</xdr:col>
          <xdr:colOff>647700</xdr:colOff>
          <xdr:row>79</xdr:row>
          <xdr:rowOff>12700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F00-000006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78</xdr:row>
          <xdr:rowOff>165100</xdr:rowOff>
        </xdr:from>
        <xdr:to>
          <xdr:col>4</xdr:col>
          <xdr:colOff>647700</xdr:colOff>
          <xdr:row>80</xdr:row>
          <xdr:rowOff>12700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F00-000008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72</xdr:row>
          <xdr:rowOff>152400</xdr:rowOff>
        </xdr:from>
        <xdr:to>
          <xdr:col>3</xdr:col>
          <xdr:colOff>679450</xdr:colOff>
          <xdr:row>74</xdr:row>
          <xdr:rowOff>0</xdr:rowOff>
        </xdr:to>
        <xdr:sp macro="" textlink="">
          <xdr:nvSpPr>
            <xdr:cNvPr id="14345" name="Check Box 9" hidden="1">
              <a:extLst>
                <a:ext uri="{63B3BB69-23CF-44E3-9099-C40C66FF867C}">
                  <a14:compatExt spid="_x0000_s14345"/>
                </a:ext>
                <a:ext uri="{FF2B5EF4-FFF2-40B4-BE49-F238E27FC236}">
                  <a16:creationId xmlns:a16="http://schemas.microsoft.com/office/drawing/2014/main" id="{00000000-0008-0000-0F00-000009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72</xdr:row>
          <xdr:rowOff>165100</xdr:rowOff>
        </xdr:from>
        <xdr:to>
          <xdr:col>4</xdr:col>
          <xdr:colOff>660400</xdr:colOff>
          <xdr:row>74</xdr:row>
          <xdr:rowOff>12700</xdr:rowOff>
        </xdr:to>
        <xdr:sp macro="" textlink="">
          <xdr:nvSpPr>
            <xdr:cNvPr id="14346" name="Check Box 10" hidden="1">
              <a:extLst>
                <a:ext uri="{63B3BB69-23CF-44E3-9099-C40C66FF867C}">
                  <a14:compatExt spid="_x0000_s14346"/>
                </a:ext>
                <a:ext uri="{FF2B5EF4-FFF2-40B4-BE49-F238E27FC236}">
                  <a16:creationId xmlns:a16="http://schemas.microsoft.com/office/drawing/2014/main" id="{00000000-0008-0000-0F00-00000A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74</xdr:row>
          <xdr:rowOff>152400</xdr:rowOff>
        </xdr:from>
        <xdr:to>
          <xdr:col>3</xdr:col>
          <xdr:colOff>679450</xdr:colOff>
          <xdr:row>76</xdr:row>
          <xdr:rowOff>0</xdr:rowOff>
        </xdr:to>
        <xdr:sp macro="" textlink="">
          <xdr:nvSpPr>
            <xdr:cNvPr id="14347" name="Check Box 11" hidden="1">
              <a:extLst>
                <a:ext uri="{63B3BB69-23CF-44E3-9099-C40C66FF867C}">
                  <a14:compatExt spid="_x0000_s14347"/>
                </a:ext>
                <a:ext uri="{FF2B5EF4-FFF2-40B4-BE49-F238E27FC236}">
                  <a16:creationId xmlns:a16="http://schemas.microsoft.com/office/drawing/2014/main" id="{00000000-0008-0000-0F00-00000B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74</xdr:row>
          <xdr:rowOff>146050</xdr:rowOff>
        </xdr:from>
        <xdr:to>
          <xdr:col>4</xdr:col>
          <xdr:colOff>660400</xdr:colOff>
          <xdr:row>75</xdr:row>
          <xdr:rowOff>184150</xdr:rowOff>
        </xdr:to>
        <xdr:sp macro="" textlink="">
          <xdr:nvSpPr>
            <xdr:cNvPr id="14348" name="Check Box 12" hidden="1">
              <a:extLst>
                <a:ext uri="{63B3BB69-23CF-44E3-9099-C40C66FF867C}">
                  <a14:compatExt spid="_x0000_s14348"/>
                </a:ext>
                <a:ext uri="{FF2B5EF4-FFF2-40B4-BE49-F238E27FC236}">
                  <a16:creationId xmlns:a16="http://schemas.microsoft.com/office/drawing/2014/main" id="{00000000-0008-0000-0F00-00000C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70</xdr:row>
          <xdr:rowOff>146050</xdr:rowOff>
        </xdr:from>
        <xdr:to>
          <xdr:col>3</xdr:col>
          <xdr:colOff>679450</xdr:colOff>
          <xdr:row>72</xdr:row>
          <xdr:rowOff>12700</xdr:rowOff>
        </xdr:to>
        <xdr:sp macro="" textlink="">
          <xdr:nvSpPr>
            <xdr:cNvPr id="14349" name="Check Box 13" hidden="1">
              <a:extLst>
                <a:ext uri="{63B3BB69-23CF-44E3-9099-C40C66FF867C}">
                  <a14:compatExt spid="_x0000_s14349"/>
                </a:ext>
                <a:ext uri="{FF2B5EF4-FFF2-40B4-BE49-F238E27FC236}">
                  <a16:creationId xmlns:a16="http://schemas.microsoft.com/office/drawing/2014/main" id="{00000000-0008-0000-0F00-00000D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70</xdr:row>
          <xdr:rowOff>146050</xdr:rowOff>
        </xdr:from>
        <xdr:to>
          <xdr:col>4</xdr:col>
          <xdr:colOff>647700</xdr:colOff>
          <xdr:row>72</xdr:row>
          <xdr:rowOff>12700</xdr:rowOff>
        </xdr:to>
        <xdr:sp macro="" textlink="">
          <xdr:nvSpPr>
            <xdr:cNvPr id="14350" name="Check Box 14" hidden="1">
              <a:extLst>
                <a:ext uri="{63B3BB69-23CF-44E3-9099-C40C66FF867C}">
                  <a14:compatExt spid="_x0000_s14350"/>
                </a:ext>
                <a:ext uri="{FF2B5EF4-FFF2-40B4-BE49-F238E27FC236}">
                  <a16:creationId xmlns:a16="http://schemas.microsoft.com/office/drawing/2014/main" id="{00000000-0008-0000-0F00-00000E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69</xdr:row>
          <xdr:rowOff>146050</xdr:rowOff>
        </xdr:from>
        <xdr:to>
          <xdr:col>3</xdr:col>
          <xdr:colOff>679450</xdr:colOff>
          <xdr:row>71</xdr:row>
          <xdr:rowOff>12700</xdr:rowOff>
        </xdr:to>
        <xdr:sp macro="" textlink="">
          <xdr:nvSpPr>
            <xdr:cNvPr id="14351" name="Check Box 15" hidden="1">
              <a:extLst>
                <a:ext uri="{63B3BB69-23CF-44E3-9099-C40C66FF867C}">
                  <a14:compatExt spid="_x0000_s14351"/>
                </a:ext>
                <a:ext uri="{FF2B5EF4-FFF2-40B4-BE49-F238E27FC236}">
                  <a16:creationId xmlns:a16="http://schemas.microsoft.com/office/drawing/2014/main" id="{00000000-0008-0000-0F00-00000F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69</xdr:row>
          <xdr:rowOff>146050</xdr:rowOff>
        </xdr:from>
        <xdr:to>
          <xdr:col>4</xdr:col>
          <xdr:colOff>647700</xdr:colOff>
          <xdr:row>71</xdr:row>
          <xdr:rowOff>12700</xdr:rowOff>
        </xdr:to>
        <xdr:sp macro="" textlink="">
          <xdr:nvSpPr>
            <xdr:cNvPr id="14352" name="Check Box 16" hidden="1">
              <a:extLst>
                <a:ext uri="{63B3BB69-23CF-44E3-9099-C40C66FF867C}">
                  <a14:compatExt spid="_x0000_s14352"/>
                </a:ext>
                <a:ext uri="{FF2B5EF4-FFF2-40B4-BE49-F238E27FC236}">
                  <a16:creationId xmlns:a16="http://schemas.microsoft.com/office/drawing/2014/main" id="{00000000-0008-0000-0F00-000010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9</xdr:row>
          <xdr:rowOff>184150</xdr:rowOff>
        </xdr:from>
        <xdr:to>
          <xdr:col>2</xdr:col>
          <xdr:colOff>622300</xdr:colOff>
          <xdr:row>11</xdr:row>
          <xdr:rowOff>31750</xdr:rowOff>
        </xdr:to>
        <xdr:sp macro="" textlink="">
          <xdr:nvSpPr>
            <xdr:cNvPr id="14353" name="Check Box 17" hidden="1">
              <a:extLst>
                <a:ext uri="{63B3BB69-23CF-44E3-9099-C40C66FF867C}">
                  <a14:compatExt spid="_x0000_s14353"/>
                </a:ext>
                <a:ext uri="{FF2B5EF4-FFF2-40B4-BE49-F238E27FC236}">
                  <a16:creationId xmlns:a16="http://schemas.microsoft.com/office/drawing/2014/main" id="{00000000-0008-0000-0F00-000011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9</xdr:row>
          <xdr:rowOff>184150</xdr:rowOff>
        </xdr:from>
        <xdr:to>
          <xdr:col>2</xdr:col>
          <xdr:colOff>622300</xdr:colOff>
          <xdr:row>11</xdr:row>
          <xdr:rowOff>31750</xdr:rowOff>
        </xdr:to>
        <xdr:sp macro="" textlink="">
          <xdr:nvSpPr>
            <xdr:cNvPr id="14355" name="Check Box 19" hidden="1">
              <a:extLst>
                <a:ext uri="{63B3BB69-23CF-44E3-9099-C40C66FF867C}">
                  <a14:compatExt spid="_x0000_s14355"/>
                </a:ext>
                <a:ext uri="{FF2B5EF4-FFF2-40B4-BE49-F238E27FC236}">
                  <a16:creationId xmlns:a16="http://schemas.microsoft.com/office/drawing/2014/main" id="{00000000-0008-0000-0F00-000013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222250</xdr:colOff>
          <xdr:row>9</xdr:row>
          <xdr:rowOff>184150</xdr:rowOff>
        </xdr:from>
        <xdr:to>
          <xdr:col>6</xdr:col>
          <xdr:colOff>622300</xdr:colOff>
          <xdr:row>11</xdr:row>
          <xdr:rowOff>31750</xdr:rowOff>
        </xdr:to>
        <xdr:sp macro="" textlink="">
          <xdr:nvSpPr>
            <xdr:cNvPr id="14356" name="Check Box 20" hidden="1">
              <a:extLst>
                <a:ext uri="{63B3BB69-23CF-44E3-9099-C40C66FF867C}">
                  <a14:compatExt spid="_x0000_s14356"/>
                </a:ext>
                <a:ext uri="{FF2B5EF4-FFF2-40B4-BE49-F238E27FC236}">
                  <a16:creationId xmlns:a16="http://schemas.microsoft.com/office/drawing/2014/main" id="{00000000-0008-0000-0F00-000014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75</xdr:row>
          <xdr:rowOff>152400</xdr:rowOff>
        </xdr:from>
        <xdr:to>
          <xdr:col>3</xdr:col>
          <xdr:colOff>679450</xdr:colOff>
          <xdr:row>77</xdr:row>
          <xdr:rowOff>0</xdr:rowOff>
        </xdr:to>
        <xdr:sp macro="" textlink="">
          <xdr:nvSpPr>
            <xdr:cNvPr id="14357" name="Check Box 21" hidden="1">
              <a:extLst>
                <a:ext uri="{63B3BB69-23CF-44E3-9099-C40C66FF867C}">
                  <a14:compatExt spid="_x0000_s14357"/>
                </a:ext>
                <a:ext uri="{FF2B5EF4-FFF2-40B4-BE49-F238E27FC236}">
                  <a16:creationId xmlns:a16="http://schemas.microsoft.com/office/drawing/2014/main" id="{00000000-0008-0000-0F00-000015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75</xdr:row>
          <xdr:rowOff>165100</xdr:rowOff>
        </xdr:from>
        <xdr:to>
          <xdr:col>4</xdr:col>
          <xdr:colOff>660400</xdr:colOff>
          <xdr:row>77</xdr:row>
          <xdr:rowOff>31750</xdr:rowOff>
        </xdr:to>
        <xdr:sp macro="" textlink="">
          <xdr:nvSpPr>
            <xdr:cNvPr id="14358" name="Check Box 22" hidden="1">
              <a:extLst>
                <a:ext uri="{63B3BB69-23CF-44E3-9099-C40C66FF867C}">
                  <a14:compatExt spid="_x0000_s14358"/>
                </a:ext>
                <a:ext uri="{FF2B5EF4-FFF2-40B4-BE49-F238E27FC236}">
                  <a16:creationId xmlns:a16="http://schemas.microsoft.com/office/drawing/2014/main" id="{00000000-0008-0000-0F00-000016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78</xdr:row>
          <xdr:rowOff>165100</xdr:rowOff>
        </xdr:from>
        <xdr:to>
          <xdr:col>3</xdr:col>
          <xdr:colOff>679450</xdr:colOff>
          <xdr:row>80</xdr:row>
          <xdr:rowOff>12700</xdr:rowOff>
        </xdr:to>
        <xdr:sp macro="" textlink="">
          <xdr:nvSpPr>
            <xdr:cNvPr id="14359" name="Check Box 23" hidden="1">
              <a:extLst>
                <a:ext uri="{63B3BB69-23CF-44E3-9099-C40C66FF867C}">
                  <a14:compatExt spid="_x0000_s14359"/>
                </a:ext>
                <a:ext uri="{FF2B5EF4-FFF2-40B4-BE49-F238E27FC236}">
                  <a16:creationId xmlns:a16="http://schemas.microsoft.com/office/drawing/2014/main" id="{00000000-0008-0000-0F00-000017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11</xdr:row>
          <xdr:rowOff>165100</xdr:rowOff>
        </xdr:from>
        <xdr:to>
          <xdr:col>2</xdr:col>
          <xdr:colOff>431800</xdr:colOff>
          <xdr:row>13</xdr:row>
          <xdr:rowOff>12700</xdr:rowOff>
        </xdr:to>
        <xdr:sp macro="" textlink="">
          <xdr:nvSpPr>
            <xdr:cNvPr id="14360" name="Check Box 24" hidden="1">
              <a:extLst>
                <a:ext uri="{63B3BB69-23CF-44E3-9099-C40C66FF867C}">
                  <a14:compatExt spid="_x0000_s14360"/>
                </a:ext>
                <a:ext uri="{FF2B5EF4-FFF2-40B4-BE49-F238E27FC236}">
                  <a16:creationId xmlns:a16="http://schemas.microsoft.com/office/drawing/2014/main" id="{00000000-0008-0000-0F00-000018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11</xdr:row>
          <xdr:rowOff>184150</xdr:rowOff>
        </xdr:from>
        <xdr:to>
          <xdr:col>7</xdr:col>
          <xdr:colOff>412750</xdr:colOff>
          <xdr:row>13</xdr:row>
          <xdr:rowOff>38100</xdr:rowOff>
        </xdr:to>
        <xdr:sp macro="" textlink="">
          <xdr:nvSpPr>
            <xdr:cNvPr id="14361" name="Check Box 25" hidden="1">
              <a:extLst>
                <a:ext uri="{63B3BB69-23CF-44E3-9099-C40C66FF867C}">
                  <a14:compatExt spid="_x0000_s14361"/>
                </a:ext>
                <a:ext uri="{FF2B5EF4-FFF2-40B4-BE49-F238E27FC236}">
                  <a16:creationId xmlns:a16="http://schemas.microsoft.com/office/drawing/2014/main" id="{00000000-0008-0000-0F00-000019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11</xdr:row>
          <xdr:rowOff>165100</xdr:rowOff>
        </xdr:from>
        <xdr:to>
          <xdr:col>5</xdr:col>
          <xdr:colOff>184150</xdr:colOff>
          <xdr:row>13</xdr:row>
          <xdr:rowOff>31750</xdr:rowOff>
        </xdr:to>
        <xdr:sp macro="" textlink="">
          <xdr:nvSpPr>
            <xdr:cNvPr id="14362" name="Check Box 26" hidden="1">
              <a:extLst>
                <a:ext uri="{63B3BB69-23CF-44E3-9099-C40C66FF867C}">
                  <a14:compatExt spid="_x0000_s14362"/>
                </a:ext>
                <a:ext uri="{FF2B5EF4-FFF2-40B4-BE49-F238E27FC236}">
                  <a16:creationId xmlns:a16="http://schemas.microsoft.com/office/drawing/2014/main" id="{00000000-0008-0000-0F00-00001A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260350</xdr:colOff>
          <xdr:row>69</xdr:row>
          <xdr:rowOff>146050</xdr:rowOff>
        </xdr:from>
        <xdr:to>
          <xdr:col>4</xdr:col>
          <xdr:colOff>0</xdr:colOff>
          <xdr:row>71</xdr:row>
          <xdr:rowOff>50800</xdr:rowOff>
        </xdr:to>
        <xdr:sp macro="" textlink="">
          <xdr:nvSpPr>
            <xdr:cNvPr id="25601" name="Check Box 1" hidden="1">
              <a:extLst>
                <a:ext uri="{63B3BB69-23CF-44E3-9099-C40C66FF867C}">
                  <a14:compatExt spid="_x0000_s25601"/>
                </a:ext>
                <a:ext uri="{FF2B5EF4-FFF2-40B4-BE49-F238E27FC236}">
                  <a16:creationId xmlns:a16="http://schemas.microsoft.com/office/drawing/2014/main" id="{00000000-0008-0000-1000-00000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78</xdr:row>
          <xdr:rowOff>146050</xdr:rowOff>
        </xdr:from>
        <xdr:to>
          <xdr:col>4</xdr:col>
          <xdr:colOff>0</xdr:colOff>
          <xdr:row>80</xdr:row>
          <xdr:rowOff>0</xdr:rowOff>
        </xdr:to>
        <xdr:sp macro="" textlink="">
          <xdr:nvSpPr>
            <xdr:cNvPr id="25602" name="Check Box 2" hidden="1">
              <a:extLst>
                <a:ext uri="{63B3BB69-23CF-44E3-9099-C40C66FF867C}">
                  <a14:compatExt spid="_x0000_s25602"/>
                </a:ext>
                <a:ext uri="{FF2B5EF4-FFF2-40B4-BE49-F238E27FC236}">
                  <a16:creationId xmlns:a16="http://schemas.microsoft.com/office/drawing/2014/main" id="{00000000-0008-0000-1000-00000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79</xdr:row>
          <xdr:rowOff>152400</xdr:rowOff>
        </xdr:from>
        <xdr:to>
          <xdr:col>4</xdr:col>
          <xdr:colOff>0</xdr:colOff>
          <xdr:row>81</xdr:row>
          <xdr:rowOff>0</xdr:rowOff>
        </xdr:to>
        <xdr:sp macro="" textlink="">
          <xdr:nvSpPr>
            <xdr:cNvPr id="25603" name="Check Box 3" hidden="1">
              <a:extLst>
                <a:ext uri="{63B3BB69-23CF-44E3-9099-C40C66FF867C}">
                  <a14:compatExt spid="_x0000_s25603"/>
                </a:ext>
                <a:ext uri="{FF2B5EF4-FFF2-40B4-BE49-F238E27FC236}">
                  <a16:creationId xmlns:a16="http://schemas.microsoft.com/office/drawing/2014/main" id="{00000000-0008-0000-1000-00000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69</xdr:row>
          <xdr:rowOff>146050</xdr:rowOff>
        </xdr:from>
        <xdr:to>
          <xdr:col>5</xdr:col>
          <xdr:colOff>0</xdr:colOff>
          <xdr:row>71</xdr:row>
          <xdr:rowOff>31750</xdr:rowOff>
        </xdr:to>
        <xdr:sp macro="" textlink="">
          <xdr:nvSpPr>
            <xdr:cNvPr id="25604" name="Check Box 4" hidden="1">
              <a:extLst>
                <a:ext uri="{63B3BB69-23CF-44E3-9099-C40C66FF867C}">
                  <a14:compatExt spid="_x0000_s25604"/>
                </a:ext>
                <a:ext uri="{FF2B5EF4-FFF2-40B4-BE49-F238E27FC236}">
                  <a16:creationId xmlns:a16="http://schemas.microsoft.com/office/drawing/2014/main" id="{00000000-0008-0000-1000-00000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78</xdr:row>
          <xdr:rowOff>165100</xdr:rowOff>
        </xdr:from>
        <xdr:to>
          <xdr:col>5</xdr:col>
          <xdr:colOff>0</xdr:colOff>
          <xdr:row>80</xdr:row>
          <xdr:rowOff>31750</xdr:rowOff>
        </xdr:to>
        <xdr:sp macro="" textlink="">
          <xdr:nvSpPr>
            <xdr:cNvPr id="25605" name="Check Box 5" hidden="1">
              <a:extLst>
                <a:ext uri="{63B3BB69-23CF-44E3-9099-C40C66FF867C}">
                  <a14:compatExt spid="_x0000_s25605"/>
                </a:ext>
                <a:ext uri="{FF2B5EF4-FFF2-40B4-BE49-F238E27FC236}">
                  <a16:creationId xmlns:a16="http://schemas.microsoft.com/office/drawing/2014/main" id="{00000000-0008-0000-1000-00000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79</xdr:row>
          <xdr:rowOff>152400</xdr:rowOff>
        </xdr:from>
        <xdr:to>
          <xdr:col>5</xdr:col>
          <xdr:colOff>0</xdr:colOff>
          <xdr:row>81</xdr:row>
          <xdr:rowOff>0</xdr:rowOff>
        </xdr:to>
        <xdr:sp macro="" textlink="">
          <xdr:nvSpPr>
            <xdr:cNvPr id="25606" name="Check Box 6" hidden="1">
              <a:extLst>
                <a:ext uri="{63B3BB69-23CF-44E3-9099-C40C66FF867C}">
                  <a14:compatExt spid="_x0000_s25606"/>
                </a:ext>
                <a:ext uri="{FF2B5EF4-FFF2-40B4-BE49-F238E27FC236}">
                  <a16:creationId xmlns:a16="http://schemas.microsoft.com/office/drawing/2014/main" id="{00000000-0008-0000-1000-00000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80</xdr:row>
          <xdr:rowOff>165100</xdr:rowOff>
        </xdr:from>
        <xdr:to>
          <xdr:col>5</xdr:col>
          <xdr:colOff>0</xdr:colOff>
          <xdr:row>82</xdr:row>
          <xdr:rowOff>12700</xdr:rowOff>
        </xdr:to>
        <xdr:sp macro="" textlink="">
          <xdr:nvSpPr>
            <xdr:cNvPr id="25607" name="Check Box 7" hidden="1">
              <a:extLst>
                <a:ext uri="{63B3BB69-23CF-44E3-9099-C40C66FF867C}">
                  <a14:compatExt spid="_x0000_s25607"/>
                </a:ext>
                <a:ext uri="{FF2B5EF4-FFF2-40B4-BE49-F238E27FC236}">
                  <a16:creationId xmlns:a16="http://schemas.microsoft.com/office/drawing/2014/main" id="{00000000-0008-0000-1000-00000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74</xdr:row>
          <xdr:rowOff>152400</xdr:rowOff>
        </xdr:from>
        <xdr:to>
          <xdr:col>4</xdr:col>
          <xdr:colOff>0</xdr:colOff>
          <xdr:row>76</xdr:row>
          <xdr:rowOff>0</xdr:rowOff>
        </xdr:to>
        <xdr:sp macro="" textlink="">
          <xdr:nvSpPr>
            <xdr:cNvPr id="25608" name="Check Box 8" hidden="1">
              <a:extLst>
                <a:ext uri="{63B3BB69-23CF-44E3-9099-C40C66FF867C}">
                  <a14:compatExt spid="_x0000_s25608"/>
                </a:ext>
                <a:ext uri="{FF2B5EF4-FFF2-40B4-BE49-F238E27FC236}">
                  <a16:creationId xmlns:a16="http://schemas.microsoft.com/office/drawing/2014/main" id="{00000000-0008-0000-1000-00000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74</xdr:row>
          <xdr:rowOff>165100</xdr:rowOff>
        </xdr:from>
        <xdr:to>
          <xdr:col>5</xdr:col>
          <xdr:colOff>0</xdr:colOff>
          <xdr:row>76</xdr:row>
          <xdr:rowOff>12700</xdr:rowOff>
        </xdr:to>
        <xdr:sp macro="" textlink="">
          <xdr:nvSpPr>
            <xdr:cNvPr id="25609" name="Check Box 9" hidden="1">
              <a:extLst>
                <a:ext uri="{63B3BB69-23CF-44E3-9099-C40C66FF867C}">
                  <a14:compatExt spid="_x0000_s25609"/>
                </a:ext>
                <a:ext uri="{FF2B5EF4-FFF2-40B4-BE49-F238E27FC236}">
                  <a16:creationId xmlns:a16="http://schemas.microsoft.com/office/drawing/2014/main" id="{00000000-0008-0000-1000-00000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76</xdr:row>
          <xdr:rowOff>152400</xdr:rowOff>
        </xdr:from>
        <xdr:to>
          <xdr:col>4</xdr:col>
          <xdr:colOff>0</xdr:colOff>
          <xdr:row>78</xdr:row>
          <xdr:rowOff>0</xdr:rowOff>
        </xdr:to>
        <xdr:sp macro="" textlink="">
          <xdr:nvSpPr>
            <xdr:cNvPr id="25610" name="Check Box 10" hidden="1">
              <a:extLst>
                <a:ext uri="{63B3BB69-23CF-44E3-9099-C40C66FF867C}">
                  <a14:compatExt spid="_x0000_s25610"/>
                </a:ext>
                <a:ext uri="{FF2B5EF4-FFF2-40B4-BE49-F238E27FC236}">
                  <a16:creationId xmlns:a16="http://schemas.microsoft.com/office/drawing/2014/main" id="{00000000-0008-0000-1000-00000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76</xdr:row>
          <xdr:rowOff>146050</xdr:rowOff>
        </xdr:from>
        <xdr:to>
          <xdr:col>5</xdr:col>
          <xdr:colOff>0</xdr:colOff>
          <xdr:row>78</xdr:row>
          <xdr:rowOff>0</xdr:rowOff>
        </xdr:to>
        <xdr:sp macro="" textlink="">
          <xdr:nvSpPr>
            <xdr:cNvPr id="25611" name="Check Box 11" hidden="1">
              <a:extLst>
                <a:ext uri="{63B3BB69-23CF-44E3-9099-C40C66FF867C}">
                  <a14:compatExt spid="_x0000_s25611"/>
                </a:ext>
                <a:ext uri="{FF2B5EF4-FFF2-40B4-BE49-F238E27FC236}">
                  <a16:creationId xmlns:a16="http://schemas.microsoft.com/office/drawing/2014/main" id="{00000000-0008-0000-1000-00000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72</xdr:row>
          <xdr:rowOff>146050</xdr:rowOff>
        </xdr:from>
        <xdr:to>
          <xdr:col>4</xdr:col>
          <xdr:colOff>0</xdr:colOff>
          <xdr:row>74</xdr:row>
          <xdr:rowOff>12700</xdr:rowOff>
        </xdr:to>
        <xdr:sp macro="" textlink="">
          <xdr:nvSpPr>
            <xdr:cNvPr id="25612" name="Check Box 12" hidden="1">
              <a:extLst>
                <a:ext uri="{63B3BB69-23CF-44E3-9099-C40C66FF867C}">
                  <a14:compatExt spid="_x0000_s25612"/>
                </a:ext>
                <a:ext uri="{FF2B5EF4-FFF2-40B4-BE49-F238E27FC236}">
                  <a16:creationId xmlns:a16="http://schemas.microsoft.com/office/drawing/2014/main" id="{00000000-0008-0000-1000-00000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72</xdr:row>
          <xdr:rowOff>146050</xdr:rowOff>
        </xdr:from>
        <xdr:to>
          <xdr:col>5</xdr:col>
          <xdr:colOff>0</xdr:colOff>
          <xdr:row>74</xdr:row>
          <xdr:rowOff>12700</xdr:rowOff>
        </xdr:to>
        <xdr:sp macro="" textlink="">
          <xdr:nvSpPr>
            <xdr:cNvPr id="25613" name="Check Box 13" hidden="1">
              <a:extLst>
                <a:ext uri="{63B3BB69-23CF-44E3-9099-C40C66FF867C}">
                  <a14:compatExt spid="_x0000_s25613"/>
                </a:ext>
                <a:ext uri="{FF2B5EF4-FFF2-40B4-BE49-F238E27FC236}">
                  <a16:creationId xmlns:a16="http://schemas.microsoft.com/office/drawing/2014/main" id="{00000000-0008-0000-1000-00000D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71</xdr:row>
          <xdr:rowOff>146050</xdr:rowOff>
        </xdr:from>
        <xdr:to>
          <xdr:col>4</xdr:col>
          <xdr:colOff>0</xdr:colOff>
          <xdr:row>73</xdr:row>
          <xdr:rowOff>12700</xdr:rowOff>
        </xdr:to>
        <xdr:sp macro="" textlink="">
          <xdr:nvSpPr>
            <xdr:cNvPr id="25614" name="Check Box 14" hidden="1">
              <a:extLst>
                <a:ext uri="{63B3BB69-23CF-44E3-9099-C40C66FF867C}">
                  <a14:compatExt spid="_x0000_s25614"/>
                </a:ext>
                <a:ext uri="{FF2B5EF4-FFF2-40B4-BE49-F238E27FC236}">
                  <a16:creationId xmlns:a16="http://schemas.microsoft.com/office/drawing/2014/main" id="{00000000-0008-0000-1000-00000E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71</xdr:row>
          <xdr:rowOff>146050</xdr:rowOff>
        </xdr:from>
        <xdr:to>
          <xdr:col>5</xdr:col>
          <xdr:colOff>0</xdr:colOff>
          <xdr:row>73</xdr:row>
          <xdr:rowOff>12700</xdr:rowOff>
        </xdr:to>
        <xdr:sp macro="" textlink="">
          <xdr:nvSpPr>
            <xdr:cNvPr id="25615" name="Check Box 15" hidden="1">
              <a:extLst>
                <a:ext uri="{63B3BB69-23CF-44E3-9099-C40C66FF867C}">
                  <a14:compatExt spid="_x0000_s25615"/>
                </a:ext>
                <a:ext uri="{FF2B5EF4-FFF2-40B4-BE49-F238E27FC236}">
                  <a16:creationId xmlns:a16="http://schemas.microsoft.com/office/drawing/2014/main" id="{00000000-0008-0000-1000-00000F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203200</xdr:colOff>
          <xdr:row>10</xdr:row>
          <xdr:rowOff>165100</xdr:rowOff>
        </xdr:from>
        <xdr:to>
          <xdr:col>2</xdr:col>
          <xdr:colOff>609600</xdr:colOff>
          <xdr:row>12</xdr:row>
          <xdr:rowOff>31750</xdr:rowOff>
        </xdr:to>
        <xdr:sp macro="" textlink="">
          <xdr:nvSpPr>
            <xdr:cNvPr id="25616" name="Check Box 16" hidden="1">
              <a:extLst>
                <a:ext uri="{63B3BB69-23CF-44E3-9099-C40C66FF867C}">
                  <a14:compatExt spid="_x0000_s25616"/>
                </a:ext>
                <a:ext uri="{FF2B5EF4-FFF2-40B4-BE49-F238E27FC236}">
                  <a16:creationId xmlns:a16="http://schemas.microsoft.com/office/drawing/2014/main" id="{00000000-0008-0000-1000-000010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10</xdr:row>
          <xdr:rowOff>152400</xdr:rowOff>
        </xdr:from>
        <xdr:to>
          <xdr:col>6</xdr:col>
          <xdr:colOff>647700</xdr:colOff>
          <xdr:row>12</xdr:row>
          <xdr:rowOff>12700</xdr:rowOff>
        </xdr:to>
        <xdr:sp macro="" textlink="">
          <xdr:nvSpPr>
            <xdr:cNvPr id="25617" name="Check Box 17" hidden="1">
              <a:extLst>
                <a:ext uri="{63B3BB69-23CF-44E3-9099-C40C66FF867C}">
                  <a14:compatExt spid="_x0000_s25617"/>
                </a:ext>
                <a:ext uri="{FF2B5EF4-FFF2-40B4-BE49-F238E27FC236}">
                  <a16:creationId xmlns:a16="http://schemas.microsoft.com/office/drawing/2014/main" id="{00000000-0008-0000-1000-000011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77</xdr:row>
          <xdr:rowOff>152400</xdr:rowOff>
        </xdr:from>
        <xdr:to>
          <xdr:col>4</xdr:col>
          <xdr:colOff>0</xdr:colOff>
          <xdr:row>79</xdr:row>
          <xdr:rowOff>0</xdr:rowOff>
        </xdr:to>
        <xdr:sp macro="" textlink="">
          <xdr:nvSpPr>
            <xdr:cNvPr id="25618" name="Check Box 18" hidden="1">
              <a:extLst>
                <a:ext uri="{63B3BB69-23CF-44E3-9099-C40C66FF867C}">
                  <a14:compatExt spid="_x0000_s25618"/>
                </a:ext>
                <a:ext uri="{FF2B5EF4-FFF2-40B4-BE49-F238E27FC236}">
                  <a16:creationId xmlns:a16="http://schemas.microsoft.com/office/drawing/2014/main" id="{00000000-0008-0000-1000-000012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77</xdr:row>
          <xdr:rowOff>165100</xdr:rowOff>
        </xdr:from>
        <xdr:to>
          <xdr:col>5</xdr:col>
          <xdr:colOff>0</xdr:colOff>
          <xdr:row>79</xdr:row>
          <xdr:rowOff>31750</xdr:rowOff>
        </xdr:to>
        <xdr:sp macro="" textlink="">
          <xdr:nvSpPr>
            <xdr:cNvPr id="25619" name="Check Box 19" hidden="1">
              <a:extLst>
                <a:ext uri="{63B3BB69-23CF-44E3-9099-C40C66FF867C}">
                  <a14:compatExt spid="_x0000_s25619"/>
                </a:ext>
                <a:ext uri="{FF2B5EF4-FFF2-40B4-BE49-F238E27FC236}">
                  <a16:creationId xmlns:a16="http://schemas.microsoft.com/office/drawing/2014/main" id="{00000000-0008-0000-1000-000013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80</xdr:row>
          <xdr:rowOff>165100</xdr:rowOff>
        </xdr:from>
        <xdr:to>
          <xdr:col>4</xdr:col>
          <xdr:colOff>0</xdr:colOff>
          <xdr:row>82</xdr:row>
          <xdr:rowOff>12700</xdr:rowOff>
        </xdr:to>
        <xdr:sp macro="" textlink="">
          <xdr:nvSpPr>
            <xdr:cNvPr id="25620" name="Check Box 20" hidden="1">
              <a:extLst>
                <a:ext uri="{63B3BB69-23CF-44E3-9099-C40C66FF867C}">
                  <a14:compatExt spid="_x0000_s25620"/>
                </a:ext>
                <a:ext uri="{FF2B5EF4-FFF2-40B4-BE49-F238E27FC236}">
                  <a16:creationId xmlns:a16="http://schemas.microsoft.com/office/drawing/2014/main" id="{00000000-0008-0000-1000-000014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12</xdr:row>
          <xdr:rowOff>165100</xdr:rowOff>
        </xdr:from>
        <xdr:to>
          <xdr:col>2</xdr:col>
          <xdr:colOff>431800</xdr:colOff>
          <xdr:row>14</xdr:row>
          <xdr:rowOff>31750</xdr:rowOff>
        </xdr:to>
        <xdr:sp macro="" textlink="">
          <xdr:nvSpPr>
            <xdr:cNvPr id="25621" name="Check Box 21" hidden="1">
              <a:extLst>
                <a:ext uri="{63B3BB69-23CF-44E3-9099-C40C66FF867C}">
                  <a14:compatExt spid="_x0000_s25621"/>
                </a:ext>
                <a:ext uri="{FF2B5EF4-FFF2-40B4-BE49-F238E27FC236}">
                  <a16:creationId xmlns:a16="http://schemas.microsoft.com/office/drawing/2014/main" id="{00000000-0008-0000-1000-000015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12</xdr:row>
          <xdr:rowOff>184150</xdr:rowOff>
        </xdr:from>
        <xdr:to>
          <xdr:col>7</xdr:col>
          <xdr:colOff>412750</xdr:colOff>
          <xdr:row>14</xdr:row>
          <xdr:rowOff>31750</xdr:rowOff>
        </xdr:to>
        <xdr:sp macro="" textlink="">
          <xdr:nvSpPr>
            <xdr:cNvPr id="25622" name="Check Box 22" hidden="1">
              <a:extLst>
                <a:ext uri="{63B3BB69-23CF-44E3-9099-C40C66FF867C}">
                  <a14:compatExt spid="_x0000_s25622"/>
                </a:ext>
                <a:ext uri="{FF2B5EF4-FFF2-40B4-BE49-F238E27FC236}">
                  <a16:creationId xmlns:a16="http://schemas.microsoft.com/office/drawing/2014/main" id="{00000000-0008-0000-1000-000016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12</xdr:row>
          <xdr:rowOff>165100</xdr:rowOff>
        </xdr:from>
        <xdr:to>
          <xdr:col>5</xdr:col>
          <xdr:colOff>184150</xdr:colOff>
          <xdr:row>14</xdr:row>
          <xdr:rowOff>31750</xdr:rowOff>
        </xdr:to>
        <xdr:sp macro="" textlink="">
          <xdr:nvSpPr>
            <xdr:cNvPr id="25623" name="Check Box 23" hidden="1">
              <a:extLst>
                <a:ext uri="{63B3BB69-23CF-44E3-9099-C40C66FF867C}">
                  <a14:compatExt spid="_x0000_s25623"/>
                </a:ext>
                <a:ext uri="{FF2B5EF4-FFF2-40B4-BE49-F238E27FC236}">
                  <a16:creationId xmlns:a16="http://schemas.microsoft.com/office/drawing/2014/main" id="{00000000-0008-0000-1000-000017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70</xdr:row>
          <xdr:rowOff>146050</xdr:rowOff>
        </xdr:from>
        <xdr:to>
          <xdr:col>4</xdr:col>
          <xdr:colOff>0</xdr:colOff>
          <xdr:row>72</xdr:row>
          <xdr:rowOff>12700</xdr:rowOff>
        </xdr:to>
        <xdr:sp macro="" textlink="">
          <xdr:nvSpPr>
            <xdr:cNvPr id="25624" name="Check Box 24" hidden="1">
              <a:extLst>
                <a:ext uri="{63B3BB69-23CF-44E3-9099-C40C66FF867C}">
                  <a14:compatExt spid="_x0000_s25624"/>
                </a:ext>
                <a:ext uri="{FF2B5EF4-FFF2-40B4-BE49-F238E27FC236}">
                  <a16:creationId xmlns:a16="http://schemas.microsoft.com/office/drawing/2014/main" id="{00000000-0008-0000-1000-000018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70</xdr:row>
          <xdr:rowOff>146050</xdr:rowOff>
        </xdr:from>
        <xdr:to>
          <xdr:col>5</xdr:col>
          <xdr:colOff>0</xdr:colOff>
          <xdr:row>72</xdr:row>
          <xdr:rowOff>12700</xdr:rowOff>
        </xdr:to>
        <xdr:sp macro="" textlink="">
          <xdr:nvSpPr>
            <xdr:cNvPr id="25625" name="Check Box 25" hidden="1">
              <a:extLst>
                <a:ext uri="{63B3BB69-23CF-44E3-9099-C40C66FF867C}">
                  <a14:compatExt spid="_x0000_s25625"/>
                </a:ext>
                <a:ext uri="{FF2B5EF4-FFF2-40B4-BE49-F238E27FC236}">
                  <a16:creationId xmlns:a16="http://schemas.microsoft.com/office/drawing/2014/main" id="{00000000-0008-0000-1000-000019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70</xdr:row>
          <xdr:rowOff>146050</xdr:rowOff>
        </xdr:from>
        <xdr:to>
          <xdr:col>5</xdr:col>
          <xdr:colOff>0</xdr:colOff>
          <xdr:row>72</xdr:row>
          <xdr:rowOff>12700</xdr:rowOff>
        </xdr:to>
        <xdr:sp macro="" textlink="">
          <xdr:nvSpPr>
            <xdr:cNvPr id="25626" name="Check Box 26" hidden="1">
              <a:extLst>
                <a:ext uri="{63B3BB69-23CF-44E3-9099-C40C66FF867C}">
                  <a14:compatExt spid="_x0000_s25626"/>
                </a:ext>
                <a:ext uri="{FF2B5EF4-FFF2-40B4-BE49-F238E27FC236}">
                  <a16:creationId xmlns:a16="http://schemas.microsoft.com/office/drawing/2014/main" id="{00000000-0008-0000-1000-00001A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72</xdr:row>
          <xdr:rowOff>146050</xdr:rowOff>
        </xdr:from>
        <xdr:to>
          <xdr:col>5</xdr:col>
          <xdr:colOff>0</xdr:colOff>
          <xdr:row>74</xdr:row>
          <xdr:rowOff>12700</xdr:rowOff>
        </xdr:to>
        <xdr:sp macro="" textlink="">
          <xdr:nvSpPr>
            <xdr:cNvPr id="25627" name="Check Box 27" hidden="1">
              <a:extLst>
                <a:ext uri="{63B3BB69-23CF-44E3-9099-C40C66FF867C}">
                  <a14:compatExt spid="_x0000_s25627"/>
                </a:ext>
                <a:ext uri="{FF2B5EF4-FFF2-40B4-BE49-F238E27FC236}">
                  <a16:creationId xmlns:a16="http://schemas.microsoft.com/office/drawing/2014/main" id="{00000000-0008-0000-1000-00001B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71</xdr:row>
          <xdr:rowOff>146050</xdr:rowOff>
        </xdr:from>
        <xdr:to>
          <xdr:col>5</xdr:col>
          <xdr:colOff>0</xdr:colOff>
          <xdr:row>73</xdr:row>
          <xdr:rowOff>12700</xdr:rowOff>
        </xdr:to>
        <xdr:sp macro="" textlink="">
          <xdr:nvSpPr>
            <xdr:cNvPr id="25628" name="Check Box 28" hidden="1">
              <a:extLst>
                <a:ext uri="{63B3BB69-23CF-44E3-9099-C40C66FF867C}">
                  <a14:compatExt spid="_x0000_s25628"/>
                </a:ext>
                <a:ext uri="{FF2B5EF4-FFF2-40B4-BE49-F238E27FC236}">
                  <a16:creationId xmlns:a16="http://schemas.microsoft.com/office/drawing/2014/main" id="{00000000-0008-0000-1000-00001C6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160734</xdr:colOff>
      <xdr:row>1</xdr:row>
      <xdr:rowOff>125017</xdr:rowOff>
    </xdr:from>
    <xdr:to>
      <xdr:col>1</xdr:col>
      <xdr:colOff>1651229</xdr:colOff>
      <xdr:row>4</xdr:row>
      <xdr:rowOff>137876</xdr:rowOff>
    </xdr:to>
    <xdr:pic>
      <xdr:nvPicPr>
        <xdr:cNvPr id="30" name="Picture 29">
          <a:extLst>
            <a:ext uri="{FF2B5EF4-FFF2-40B4-BE49-F238E27FC236}">
              <a16:creationId xmlns:a16="http://schemas.microsoft.com/office/drawing/2014/main" id="{00000000-0008-0000-1000-00001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734" y="296467"/>
          <a:ext cx="1731795" cy="56530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60326</xdr:colOff>
      <xdr:row>1</xdr:row>
      <xdr:rowOff>73026</xdr:rowOff>
    </xdr:from>
    <xdr:to>
      <xdr:col>1</xdr:col>
      <xdr:colOff>1422022</xdr:colOff>
      <xdr:row>4</xdr:row>
      <xdr:rowOff>100219</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326" y="244476"/>
          <a:ext cx="1602996" cy="5796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260350</xdr:colOff>
          <xdr:row>69</xdr:row>
          <xdr:rowOff>146050</xdr:rowOff>
        </xdr:from>
        <xdr:to>
          <xdr:col>3</xdr:col>
          <xdr:colOff>679450</xdr:colOff>
          <xdr:row>71</xdr:row>
          <xdr:rowOff>38100</xdr:rowOff>
        </xdr:to>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1100-00000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77</xdr:row>
          <xdr:rowOff>146050</xdr:rowOff>
        </xdr:from>
        <xdr:to>
          <xdr:col>3</xdr:col>
          <xdr:colOff>679450</xdr:colOff>
          <xdr:row>78</xdr:row>
          <xdr:rowOff>184150</xdr:rowOff>
        </xdr:to>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1100-00000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78</xdr:row>
          <xdr:rowOff>146050</xdr:rowOff>
        </xdr:from>
        <xdr:to>
          <xdr:col>3</xdr:col>
          <xdr:colOff>679450</xdr:colOff>
          <xdr:row>79</xdr:row>
          <xdr:rowOff>184150</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1100-00000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69</xdr:row>
          <xdr:rowOff>146050</xdr:rowOff>
        </xdr:from>
        <xdr:to>
          <xdr:col>4</xdr:col>
          <xdr:colOff>647700</xdr:colOff>
          <xdr:row>71</xdr:row>
          <xdr:rowOff>38100</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1100-00000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77</xdr:row>
          <xdr:rowOff>146050</xdr:rowOff>
        </xdr:from>
        <xdr:to>
          <xdr:col>4</xdr:col>
          <xdr:colOff>647700</xdr:colOff>
          <xdr:row>78</xdr:row>
          <xdr:rowOff>184150</xdr:rowOff>
        </xdr:to>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1100-00000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78</xdr:row>
          <xdr:rowOff>146050</xdr:rowOff>
        </xdr:from>
        <xdr:to>
          <xdr:col>4</xdr:col>
          <xdr:colOff>660400</xdr:colOff>
          <xdr:row>79</xdr:row>
          <xdr:rowOff>184150</xdr:rowOff>
        </xdr:to>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1100-00000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79</xdr:row>
          <xdr:rowOff>146050</xdr:rowOff>
        </xdr:from>
        <xdr:to>
          <xdr:col>3</xdr:col>
          <xdr:colOff>679450</xdr:colOff>
          <xdr:row>80</xdr:row>
          <xdr:rowOff>184150</xdr:rowOff>
        </xdr:to>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1100-00000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79</xdr:row>
          <xdr:rowOff>146050</xdr:rowOff>
        </xdr:from>
        <xdr:to>
          <xdr:col>4</xdr:col>
          <xdr:colOff>647700</xdr:colOff>
          <xdr:row>80</xdr:row>
          <xdr:rowOff>184150</xdr:rowOff>
        </xdr:to>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1100-00000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152400</xdr:rowOff>
        </xdr:from>
        <xdr:to>
          <xdr:col>3</xdr:col>
          <xdr:colOff>679450</xdr:colOff>
          <xdr:row>75</xdr:row>
          <xdr:rowOff>0</xdr:rowOff>
        </xdr:to>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1100-00000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146050</xdr:rowOff>
        </xdr:from>
        <xdr:to>
          <xdr:col>4</xdr:col>
          <xdr:colOff>660400</xdr:colOff>
          <xdr:row>74</xdr:row>
          <xdr:rowOff>184150</xdr:rowOff>
        </xdr:to>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1100-00000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75</xdr:row>
          <xdr:rowOff>152400</xdr:rowOff>
        </xdr:from>
        <xdr:to>
          <xdr:col>3</xdr:col>
          <xdr:colOff>679450</xdr:colOff>
          <xdr:row>77</xdr:row>
          <xdr:rowOff>0</xdr:rowOff>
        </xdr:to>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1100-00000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75</xdr:row>
          <xdr:rowOff>146050</xdr:rowOff>
        </xdr:from>
        <xdr:to>
          <xdr:col>4</xdr:col>
          <xdr:colOff>660400</xdr:colOff>
          <xdr:row>76</xdr:row>
          <xdr:rowOff>184150</xdr:rowOff>
        </xdr:to>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1100-00000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71</xdr:row>
          <xdr:rowOff>146050</xdr:rowOff>
        </xdr:from>
        <xdr:to>
          <xdr:col>3</xdr:col>
          <xdr:colOff>679450</xdr:colOff>
          <xdr:row>73</xdr:row>
          <xdr:rowOff>12700</xdr:rowOff>
        </xdr:to>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1100-00000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71</xdr:row>
          <xdr:rowOff>146050</xdr:rowOff>
        </xdr:from>
        <xdr:to>
          <xdr:col>4</xdr:col>
          <xdr:colOff>647700</xdr:colOff>
          <xdr:row>73</xdr:row>
          <xdr:rowOff>12700</xdr:rowOff>
        </xdr:to>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1100-00000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70</xdr:row>
          <xdr:rowOff>146050</xdr:rowOff>
        </xdr:from>
        <xdr:to>
          <xdr:col>3</xdr:col>
          <xdr:colOff>679450</xdr:colOff>
          <xdr:row>72</xdr:row>
          <xdr:rowOff>12700</xdr:rowOff>
        </xdr:to>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1100-00000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70</xdr:row>
          <xdr:rowOff>146050</xdr:rowOff>
        </xdr:from>
        <xdr:to>
          <xdr:col>4</xdr:col>
          <xdr:colOff>647700</xdr:colOff>
          <xdr:row>72</xdr:row>
          <xdr:rowOff>12700</xdr:rowOff>
        </xdr:to>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1100-00001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9</xdr:row>
          <xdr:rowOff>184150</xdr:rowOff>
        </xdr:from>
        <xdr:to>
          <xdr:col>2</xdr:col>
          <xdr:colOff>622300</xdr:colOff>
          <xdr:row>11</xdr:row>
          <xdr:rowOff>31750</xdr:rowOff>
        </xdr:to>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1100-00001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9</xdr:row>
          <xdr:rowOff>184150</xdr:rowOff>
        </xdr:from>
        <xdr:to>
          <xdr:col>2</xdr:col>
          <xdr:colOff>622300</xdr:colOff>
          <xdr:row>11</xdr:row>
          <xdr:rowOff>31750</xdr:rowOff>
        </xdr:to>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1100-00001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222250</xdr:colOff>
          <xdr:row>9</xdr:row>
          <xdr:rowOff>184150</xdr:rowOff>
        </xdr:from>
        <xdr:to>
          <xdr:col>6</xdr:col>
          <xdr:colOff>622300</xdr:colOff>
          <xdr:row>11</xdr:row>
          <xdr:rowOff>31750</xdr:rowOff>
        </xdr:to>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1100-00001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11</xdr:row>
          <xdr:rowOff>165100</xdr:rowOff>
        </xdr:from>
        <xdr:to>
          <xdr:col>2</xdr:col>
          <xdr:colOff>431800</xdr:colOff>
          <xdr:row>13</xdr:row>
          <xdr:rowOff>12700</xdr:rowOff>
        </xdr:to>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1100-00001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11</xdr:row>
          <xdr:rowOff>184150</xdr:rowOff>
        </xdr:from>
        <xdr:to>
          <xdr:col>7</xdr:col>
          <xdr:colOff>412750</xdr:colOff>
          <xdr:row>13</xdr:row>
          <xdr:rowOff>38100</xdr:rowOff>
        </xdr:to>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1100-00001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11</xdr:row>
          <xdr:rowOff>165100</xdr:rowOff>
        </xdr:from>
        <xdr:to>
          <xdr:col>5</xdr:col>
          <xdr:colOff>184150</xdr:colOff>
          <xdr:row>13</xdr:row>
          <xdr:rowOff>31750</xdr:rowOff>
        </xdr:to>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1100-00001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50800</xdr:rowOff>
        </xdr:to>
        <xdr:sp macro="" textlink="">
          <xdr:nvSpPr>
            <xdr:cNvPr id="31745" name="Check Box 1" hidden="1">
              <a:extLst>
                <a:ext uri="{63B3BB69-23CF-44E3-9099-C40C66FF867C}">
                  <a14:compatExt spid="_x0000_s31745"/>
                </a:ext>
                <a:ext uri="{FF2B5EF4-FFF2-40B4-BE49-F238E27FC236}">
                  <a16:creationId xmlns:a16="http://schemas.microsoft.com/office/drawing/2014/main" id="{00000000-0008-0000-1200-00000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1746" name="Check Box 2" hidden="1">
              <a:extLst>
                <a:ext uri="{63B3BB69-23CF-44E3-9099-C40C66FF867C}">
                  <a14:compatExt spid="_x0000_s31746"/>
                </a:ext>
                <a:ext uri="{FF2B5EF4-FFF2-40B4-BE49-F238E27FC236}">
                  <a16:creationId xmlns:a16="http://schemas.microsoft.com/office/drawing/2014/main" id="{00000000-0008-0000-1200-00000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1747" name="Check Box 3" hidden="1">
              <a:extLst>
                <a:ext uri="{63B3BB69-23CF-44E3-9099-C40C66FF867C}">
                  <a14:compatExt spid="_x0000_s31747"/>
                </a:ext>
                <a:ext uri="{FF2B5EF4-FFF2-40B4-BE49-F238E27FC236}">
                  <a16:creationId xmlns:a16="http://schemas.microsoft.com/office/drawing/2014/main" id="{00000000-0008-0000-1200-00000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1748" name="Check Box 4" hidden="1">
              <a:extLst>
                <a:ext uri="{63B3BB69-23CF-44E3-9099-C40C66FF867C}">
                  <a14:compatExt spid="_x0000_s31748"/>
                </a:ext>
                <a:ext uri="{FF2B5EF4-FFF2-40B4-BE49-F238E27FC236}">
                  <a16:creationId xmlns:a16="http://schemas.microsoft.com/office/drawing/2014/main" id="{00000000-0008-0000-1200-000004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10</xdr:row>
          <xdr:rowOff>165100</xdr:rowOff>
        </xdr:from>
        <xdr:to>
          <xdr:col>2</xdr:col>
          <xdr:colOff>450850</xdr:colOff>
          <xdr:row>12</xdr:row>
          <xdr:rowOff>12700</xdr:rowOff>
        </xdr:to>
        <xdr:sp macro="" textlink="">
          <xdr:nvSpPr>
            <xdr:cNvPr id="31749" name="Check Box 5" hidden="1">
              <a:extLst>
                <a:ext uri="{63B3BB69-23CF-44E3-9099-C40C66FF867C}">
                  <a14:compatExt spid="_x0000_s31749"/>
                </a:ext>
                <a:ext uri="{FF2B5EF4-FFF2-40B4-BE49-F238E27FC236}">
                  <a16:creationId xmlns:a16="http://schemas.microsoft.com/office/drawing/2014/main" id="{00000000-0008-0000-1200-000005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10</xdr:row>
          <xdr:rowOff>184150</xdr:rowOff>
        </xdr:from>
        <xdr:to>
          <xdr:col>7</xdr:col>
          <xdr:colOff>419100</xdr:colOff>
          <xdr:row>12</xdr:row>
          <xdr:rowOff>38100</xdr:rowOff>
        </xdr:to>
        <xdr:sp macro="" textlink="">
          <xdr:nvSpPr>
            <xdr:cNvPr id="31750" name="Check Box 6" hidden="1">
              <a:extLst>
                <a:ext uri="{63B3BB69-23CF-44E3-9099-C40C66FF867C}">
                  <a14:compatExt spid="_x0000_s31750"/>
                </a:ext>
                <a:ext uri="{FF2B5EF4-FFF2-40B4-BE49-F238E27FC236}">
                  <a16:creationId xmlns:a16="http://schemas.microsoft.com/office/drawing/2014/main" id="{00000000-0008-0000-1200-000006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10</xdr:row>
          <xdr:rowOff>165100</xdr:rowOff>
        </xdr:from>
        <xdr:to>
          <xdr:col>5</xdr:col>
          <xdr:colOff>184150</xdr:colOff>
          <xdr:row>12</xdr:row>
          <xdr:rowOff>38100</xdr:rowOff>
        </xdr:to>
        <xdr:sp macro="" textlink="">
          <xdr:nvSpPr>
            <xdr:cNvPr id="31751" name="Check Box 7" hidden="1">
              <a:extLst>
                <a:ext uri="{63B3BB69-23CF-44E3-9099-C40C66FF867C}">
                  <a14:compatExt spid="_x0000_s31751"/>
                </a:ext>
                <a:ext uri="{FF2B5EF4-FFF2-40B4-BE49-F238E27FC236}">
                  <a16:creationId xmlns:a16="http://schemas.microsoft.com/office/drawing/2014/main" id="{00000000-0008-0000-1200-000007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38100</xdr:rowOff>
        </xdr:to>
        <xdr:sp macro="" textlink="">
          <xdr:nvSpPr>
            <xdr:cNvPr id="31752" name="Check Box 8" hidden="1">
              <a:extLst>
                <a:ext uri="{63B3BB69-23CF-44E3-9099-C40C66FF867C}">
                  <a14:compatExt spid="_x0000_s31752"/>
                </a:ext>
                <a:ext uri="{FF2B5EF4-FFF2-40B4-BE49-F238E27FC236}">
                  <a16:creationId xmlns:a16="http://schemas.microsoft.com/office/drawing/2014/main" id="{00000000-0008-0000-1200-000008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219807</xdr:colOff>
      <xdr:row>1</xdr:row>
      <xdr:rowOff>87923</xdr:rowOff>
    </xdr:from>
    <xdr:to>
      <xdr:col>1</xdr:col>
      <xdr:colOff>1709386</xdr:colOff>
      <xdr:row>4</xdr:row>
      <xdr:rowOff>87044</xdr:rowOff>
    </xdr:to>
    <xdr:pic>
      <xdr:nvPicPr>
        <xdr:cNvPr id="10" name="Picture 9">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807" y="259373"/>
          <a:ext cx="1730879" cy="55157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50800</xdr:rowOff>
        </xdr:to>
        <xdr:sp macro="" textlink="">
          <xdr:nvSpPr>
            <xdr:cNvPr id="31753" name="Check Box 9" hidden="1">
              <a:extLst>
                <a:ext uri="{63B3BB69-23CF-44E3-9099-C40C66FF867C}">
                  <a14:compatExt spid="_x0000_s31753"/>
                </a:ext>
                <a:ext uri="{FF2B5EF4-FFF2-40B4-BE49-F238E27FC236}">
                  <a16:creationId xmlns:a16="http://schemas.microsoft.com/office/drawing/2014/main" id="{00000000-0008-0000-1200-000009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38100</xdr:rowOff>
        </xdr:to>
        <xdr:sp macro="" textlink="">
          <xdr:nvSpPr>
            <xdr:cNvPr id="31754" name="Check Box 10" hidden="1">
              <a:extLst>
                <a:ext uri="{63B3BB69-23CF-44E3-9099-C40C66FF867C}">
                  <a14:compatExt spid="_x0000_s31754"/>
                </a:ext>
                <a:ext uri="{FF2B5EF4-FFF2-40B4-BE49-F238E27FC236}">
                  <a16:creationId xmlns:a16="http://schemas.microsoft.com/office/drawing/2014/main" id="{00000000-0008-0000-1200-00000A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31750</xdr:rowOff>
        </xdr:to>
        <xdr:sp macro="" textlink="">
          <xdr:nvSpPr>
            <xdr:cNvPr id="31755" name="Check Box 11" hidden="1">
              <a:extLst>
                <a:ext uri="{63B3BB69-23CF-44E3-9099-C40C66FF867C}">
                  <a14:compatExt spid="_x0000_s31755"/>
                </a:ext>
                <a:ext uri="{FF2B5EF4-FFF2-40B4-BE49-F238E27FC236}">
                  <a16:creationId xmlns:a16="http://schemas.microsoft.com/office/drawing/2014/main" id="{00000000-0008-0000-1200-00000B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31750</xdr:rowOff>
        </xdr:to>
        <xdr:sp macro="" textlink="">
          <xdr:nvSpPr>
            <xdr:cNvPr id="31756" name="Check Box 12" hidden="1">
              <a:extLst>
                <a:ext uri="{63B3BB69-23CF-44E3-9099-C40C66FF867C}">
                  <a14:compatExt spid="_x0000_s31756"/>
                </a:ext>
                <a:ext uri="{FF2B5EF4-FFF2-40B4-BE49-F238E27FC236}">
                  <a16:creationId xmlns:a16="http://schemas.microsoft.com/office/drawing/2014/main" id="{00000000-0008-0000-1200-00000C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50800</xdr:rowOff>
        </xdr:to>
        <xdr:sp macro="" textlink="">
          <xdr:nvSpPr>
            <xdr:cNvPr id="31757" name="Check Box 13" hidden="1">
              <a:extLst>
                <a:ext uri="{63B3BB69-23CF-44E3-9099-C40C66FF867C}">
                  <a14:compatExt spid="_x0000_s31757"/>
                </a:ext>
                <a:ext uri="{FF2B5EF4-FFF2-40B4-BE49-F238E27FC236}">
                  <a16:creationId xmlns:a16="http://schemas.microsoft.com/office/drawing/2014/main" id="{00000000-0008-0000-1200-00000D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1758" name="Check Box 14" hidden="1">
              <a:extLst>
                <a:ext uri="{63B3BB69-23CF-44E3-9099-C40C66FF867C}">
                  <a14:compatExt spid="_x0000_s31758"/>
                </a:ext>
                <a:ext uri="{FF2B5EF4-FFF2-40B4-BE49-F238E27FC236}">
                  <a16:creationId xmlns:a16="http://schemas.microsoft.com/office/drawing/2014/main" id="{00000000-0008-0000-1200-00000E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31750</xdr:rowOff>
        </xdr:to>
        <xdr:sp macro="" textlink="">
          <xdr:nvSpPr>
            <xdr:cNvPr id="31759" name="Check Box 15" hidden="1">
              <a:extLst>
                <a:ext uri="{63B3BB69-23CF-44E3-9099-C40C66FF867C}">
                  <a14:compatExt spid="_x0000_s31759"/>
                </a:ext>
                <a:ext uri="{FF2B5EF4-FFF2-40B4-BE49-F238E27FC236}">
                  <a16:creationId xmlns:a16="http://schemas.microsoft.com/office/drawing/2014/main" id="{00000000-0008-0000-1200-00000F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1760" name="Check Box 16" hidden="1">
              <a:extLst>
                <a:ext uri="{63B3BB69-23CF-44E3-9099-C40C66FF867C}">
                  <a14:compatExt spid="_x0000_s31760"/>
                </a:ext>
                <a:ext uri="{FF2B5EF4-FFF2-40B4-BE49-F238E27FC236}">
                  <a16:creationId xmlns:a16="http://schemas.microsoft.com/office/drawing/2014/main" id="{00000000-0008-0000-1200-000010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38100</xdr:rowOff>
        </xdr:to>
        <xdr:sp macro="" textlink="">
          <xdr:nvSpPr>
            <xdr:cNvPr id="31761" name="Check Box 17" hidden="1">
              <a:extLst>
                <a:ext uri="{63B3BB69-23CF-44E3-9099-C40C66FF867C}">
                  <a14:compatExt spid="_x0000_s31761"/>
                </a:ext>
                <a:ext uri="{FF2B5EF4-FFF2-40B4-BE49-F238E27FC236}">
                  <a16:creationId xmlns:a16="http://schemas.microsoft.com/office/drawing/2014/main" id="{00000000-0008-0000-1200-00001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1762" name="Check Box 18" hidden="1">
              <a:extLst>
                <a:ext uri="{63B3BB69-23CF-44E3-9099-C40C66FF867C}">
                  <a14:compatExt spid="_x0000_s31762"/>
                </a:ext>
                <a:ext uri="{FF2B5EF4-FFF2-40B4-BE49-F238E27FC236}">
                  <a16:creationId xmlns:a16="http://schemas.microsoft.com/office/drawing/2014/main" id="{00000000-0008-0000-1200-00001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38100</xdr:rowOff>
        </xdr:to>
        <xdr:sp macro="" textlink="">
          <xdr:nvSpPr>
            <xdr:cNvPr id="31763" name="Check Box 19" hidden="1">
              <a:extLst>
                <a:ext uri="{63B3BB69-23CF-44E3-9099-C40C66FF867C}">
                  <a14:compatExt spid="_x0000_s31763"/>
                </a:ext>
                <a:ext uri="{FF2B5EF4-FFF2-40B4-BE49-F238E27FC236}">
                  <a16:creationId xmlns:a16="http://schemas.microsoft.com/office/drawing/2014/main" id="{00000000-0008-0000-1200-000013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14</xdr:col>
      <xdr:colOff>1390426</xdr:colOff>
      <xdr:row>73</xdr:row>
      <xdr:rowOff>0</xdr:rowOff>
    </xdr:from>
    <xdr:to>
      <xdr:col>14</xdr:col>
      <xdr:colOff>1390786</xdr:colOff>
      <xdr:row>73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2" name="Ink 21">
              <a:extLst>
                <a:ext uri="{FF2B5EF4-FFF2-40B4-BE49-F238E27FC236}">
                  <a16:creationId xmlns:a16="http://schemas.microsoft.com/office/drawing/2014/main" id="{00000000-0008-0000-1200-000016000000}"/>
                </a:ext>
              </a:extLst>
            </xdr14:cNvPr>
            <xdr14:cNvContentPartPr/>
          </xdr14:nvContentPartPr>
          <xdr14:nvPr macro=""/>
          <xdr14:xfrm>
            <a:off x="12212640" y="12324023"/>
            <a:ext cx="360" cy="360"/>
          </xdr14:xfrm>
        </xdr:contentPart>
      </mc:Choice>
      <mc:Fallback xmlns="">
        <xdr:pic>
          <xdr:nvPicPr>
            <xdr:cNvPr id="55" name="Ink 54">
              <a:extLst>
                <a:ext uri="{FF2B5EF4-FFF2-40B4-BE49-F238E27FC236}">
                  <a16:creationId xmlns:a16="http://schemas.microsoft.com/office/drawing/2014/main" id="{AAF6E720-DB5E-4AB0-BC74-91FF9EE70E27}"/>
                </a:ext>
              </a:extLst>
            </xdr:cNvPr>
            <xdr:cNvPicPr/>
          </xdr:nvPicPr>
          <xdr:blipFill>
            <a:blip xmlns:r="http://schemas.openxmlformats.org/officeDocument/2006/relationships" r:embed="rId3"/>
            <a:stretch>
              <a:fillRect/>
            </a:stretch>
          </xdr:blipFill>
          <xdr:spPr>
            <a:xfrm>
              <a:off x="12204000" y="12315023"/>
              <a:ext cx="18000" cy="18000"/>
            </a:xfrm>
            <a:prstGeom prst="rect">
              <a:avLst/>
            </a:prstGeom>
          </xdr:spPr>
        </xdr:pic>
      </mc:Fallback>
    </mc:AlternateContent>
    <xdr:clientData/>
  </xdr:twoCellAnchor>
  <xdr:twoCellAnchor editAs="oneCell">
    <xdr:from>
      <xdr:col>14</xdr:col>
      <xdr:colOff>1916386</xdr:colOff>
      <xdr:row>74</xdr:row>
      <xdr:rowOff>67923</xdr:rowOff>
    </xdr:from>
    <xdr:to>
      <xdr:col>14</xdr:col>
      <xdr:colOff>1916746</xdr:colOff>
      <xdr:row>74</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23" name="Ink 22">
              <a:extLst>
                <a:ext uri="{FF2B5EF4-FFF2-40B4-BE49-F238E27FC236}">
                  <a16:creationId xmlns:a16="http://schemas.microsoft.com/office/drawing/2014/main" id="{00000000-0008-0000-1200-000017000000}"/>
                </a:ext>
              </a:extLst>
            </xdr14:cNvPr>
            <xdr14:cNvContentPartPr/>
          </xdr14:nvContentPartPr>
          <xdr14:nvPr macro=""/>
          <xdr14:xfrm>
            <a:off x="12738600" y="13085423"/>
            <a:ext cx="360" cy="360"/>
          </xdr14:xfrm>
        </xdr:contentPart>
      </mc:Choice>
      <mc:Fallback xmlns="">
        <xdr:pic>
          <xdr:nvPicPr>
            <xdr:cNvPr id="56" name="Ink 55">
              <a:extLst>
                <a:ext uri="{FF2B5EF4-FFF2-40B4-BE49-F238E27FC236}">
                  <a16:creationId xmlns:a16="http://schemas.microsoft.com/office/drawing/2014/main" id="{D771F580-66E4-4A0E-B0C3-B5490F51F4DD}"/>
                </a:ext>
              </a:extLst>
            </xdr:cNvPr>
            <xdr:cNvPicPr/>
          </xdr:nvPicPr>
          <xdr:blipFill>
            <a:blip xmlns:r="http://schemas.openxmlformats.org/officeDocument/2006/relationships" r:embed="rId3"/>
            <a:stretch>
              <a:fillRect/>
            </a:stretch>
          </xdr:blipFill>
          <xdr:spPr>
            <a:xfrm>
              <a:off x="12729600" y="13076423"/>
              <a:ext cx="18000" cy="18000"/>
            </a:xfrm>
            <a:prstGeom prst="rect">
              <a:avLst/>
            </a:prstGeom>
          </xdr:spPr>
        </xdr:pic>
      </mc:Fallback>
    </mc:AlternateContent>
    <xdr:clientData/>
  </xdr:twoCellAnchor>
  <xdr:twoCellAnchor editAs="oneCell">
    <xdr:from>
      <xdr:col>14</xdr:col>
      <xdr:colOff>1190986</xdr:colOff>
      <xdr:row>74</xdr:row>
      <xdr:rowOff>67923</xdr:rowOff>
    </xdr:from>
    <xdr:to>
      <xdr:col>14</xdr:col>
      <xdr:colOff>1191346</xdr:colOff>
      <xdr:row>74</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4" name="Ink 23">
              <a:extLst>
                <a:ext uri="{FF2B5EF4-FFF2-40B4-BE49-F238E27FC236}">
                  <a16:creationId xmlns:a16="http://schemas.microsoft.com/office/drawing/2014/main" id="{00000000-0008-0000-1200-000018000000}"/>
                </a:ext>
              </a:extLst>
            </xdr14:cNvPr>
            <xdr14:cNvContentPartPr/>
          </xdr14:nvContentPartPr>
          <xdr14:nvPr macro=""/>
          <xdr14:xfrm>
            <a:off x="12013200" y="13085423"/>
            <a:ext cx="360" cy="360"/>
          </xdr14:xfrm>
        </xdr:contentPart>
      </mc:Choice>
      <mc:Fallback xmlns="">
        <xdr:pic>
          <xdr:nvPicPr>
            <xdr:cNvPr id="57" name="Ink 56">
              <a:extLst>
                <a:ext uri="{FF2B5EF4-FFF2-40B4-BE49-F238E27FC236}">
                  <a16:creationId xmlns:a16="http://schemas.microsoft.com/office/drawing/2014/main" id="{A31DD869-51CD-4452-BD19-E72BF7717FC3}"/>
                </a:ext>
              </a:extLst>
            </xdr:cNvPr>
            <xdr:cNvPicPr/>
          </xdr:nvPicPr>
          <xdr:blipFill>
            <a:blip xmlns:r="http://schemas.openxmlformats.org/officeDocument/2006/relationships" r:embed="rId3"/>
            <a:stretch>
              <a:fillRect/>
            </a:stretch>
          </xdr:blipFill>
          <xdr:spPr>
            <a:xfrm>
              <a:off x="12004200" y="13076423"/>
              <a:ext cx="18000" cy="18000"/>
            </a:xfrm>
            <a:prstGeom prst="rect">
              <a:avLst/>
            </a:prstGeom>
          </xdr:spPr>
        </xdr:pic>
      </mc:Fallback>
    </mc:AlternateContent>
    <xdr:clientData/>
  </xdr:twoCellAnchor>
  <xdr:twoCellAnchor editAs="oneCell">
    <xdr:from>
      <xdr:col>14</xdr:col>
      <xdr:colOff>1260466</xdr:colOff>
      <xdr:row>73</xdr:row>
      <xdr:rowOff>162520</xdr:rowOff>
    </xdr:from>
    <xdr:to>
      <xdr:col>14</xdr:col>
      <xdr:colOff>1270186</xdr:colOff>
      <xdr:row>73</xdr:row>
      <xdr:rowOff>162880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5" name="Ink 24">
              <a:extLst>
                <a:ext uri="{FF2B5EF4-FFF2-40B4-BE49-F238E27FC236}">
                  <a16:creationId xmlns:a16="http://schemas.microsoft.com/office/drawing/2014/main" id="{00000000-0008-0000-1200-000019000000}"/>
                </a:ext>
              </a:extLst>
            </xdr14:cNvPr>
            <xdr14:cNvContentPartPr/>
          </xdr14:nvContentPartPr>
          <xdr14:nvPr macro=""/>
          <xdr14:xfrm>
            <a:off x="12082680" y="13007663"/>
            <a:ext cx="9720" cy="360"/>
          </xdr14:xfrm>
        </xdr:contentPart>
      </mc:Choice>
      <mc:Fallback xmlns="">
        <xdr:pic>
          <xdr:nvPicPr>
            <xdr:cNvPr id="60" name="Ink 59">
              <a:extLst>
                <a:ext uri="{FF2B5EF4-FFF2-40B4-BE49-F238E27FC236}">
                  <a16:creationId xmlns:a16="http://schemas.microsoft.com/office/drawing/2014/main" id="{1B32C097-0494-4089-A5F1-C345B822D687}"/>
                </a:ext>
              </a:extLst>
            </xdr:cNvPr>
            <xdr:cNvPicPr/>
          </xdr:nvPicPr>
          <xdr:blipFill>
            <a:blip xmlns:r="http://schemas.openxmlformats.org/officeDocument/2006/relationships" r:embed="rId7"/>
            <a:stretch>
              <a:fillRect/>
            </a:stretch>
          </xdr:blipFill>
          <xdr:spPr>
            <a:xfrm>
              <a:off x="12074040" y="12999023"/>
              <a:ext cx="27360" cy="18000"/>
            </a:xfrm>
            <a:prstGeom prst="rect">
              <a:avLst/>
            </a:prstGeom>
          </xdr:spPr>
        </xdr:pic>
      </mc:Fallback>
    </mc:AlternateContent>
    <xdr:clientData/>
  </xdr:twoCellAnchor>
  <xdr:twoCellAnchor editAs="oneCell">
    <xdr:from>
      <xdr:col>14</xdr:col>
      <xdr:colOff>1124746</xdr:colOff>
      <xdr:row>75</xdr:row>
      <xdr:rowOff>162757</xdr:rowOff>
    </xdr:from>
    <xdr:to>
      <xdr:col>14</xdr:col>
      <xdr:colOff>1125106</xdr:colOff>
      <xdr:row>76</xdr:row>
      <xdr:rowOff>1479</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6" name="Ink 25">
              <a:extLst>
                <a:ext uri="{FF2B5EF4-FFF2-40B4-BE49-F238E27FC236}">
                  <a16:creationId xmlns:a16="http://schemas.microsoft.com/office/drawing/2014/main" id="{00000000-0008-0000-1200-00001A000000}"/>
                </a:ext>
              </a:extLst>
            </xdr14:cNvPr>
            <xdr14:cNvContentPartPr/>
          </xdr14:nvContentPartPr>
          <xdr14:nvPr macro=""/>
          <xdr14:xfrm>
            <a:off x="11946960" y="13343543"/>
            <a:ext cx="360" cy="360"/>
          </xdr14:xfrm>
        </xdr:contentPart>
      </mc:Choice>
      <mc:Fallback xmlns="">
        <xdr:pic>
          <xdr:nvPicPr>
            <xdr:cNvPr id="61" name="Ink 60">
              <a:extLst>
                <a:ext uri="{FF2B5EF4-FFF2-40B4-BE49-F238E27FC236}">
                  <a16:creationId xmlns:a16="http://schemas.microsoft.com/office/drawing/2014/main" id="{5E2258B0-FF78-4563-8D84-A1F9BC7EC167}"/>
                </a:ext>
              </a:extLst>
            </xdr:cNvPr>
            <xdr:cNvPicPr/>
          </xdr:nvPicPr>
          <xdr:blipFill>
            <a:blip xmlns:r="http://schemas.openxmlformats.org/officeDocument/2006/relationships" r:embed="rId3"/>
            <a:stretch>
              <a:fillRect/>
            </a:stretch>
          </xdr:blipFill>
          <xdr:spPr>
            <a:xfrm>
              <a:off x="11937960" y="13334903"/>
              <a:ext cx="18000" cy="18000"/>
            </a:xfrm>
            <a:prstGeom prst="rect">
              <a:avLst/>
            </a:prstGeom>
          </xdr:spPr>
        </xdr:pic>
      </mc:Fallback>
    </mc:AlternateContent>
    <xdr:clientData/>
  </xdr:twoCellAnchor>
  <xdr:twoCellAnchor editAs="oneCell">
    <xdr:from>
      <xdr:col>14</xdr:col>
      <xdr:colOff>534706</xdr:colOff>
      <xdr:row>77</xdr:row>
      <xdr:rowOff>135706</xdr:rowOff>
    </xdr:from>
    <xdr:to>
      <xdr:col>14</xdr:col>
      <xdr:colOff>535066</xdr:colOff>
      <xdr:row>77</xdr:row>
      <xdr:rowOff>136066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7" name="Ink 26">
              <a:extLst>
                <a:ext uri="{FF2B5EF4-FFF2-40B4-BE49-F238E27FC236}">
                  <a16:creationId xmlns:a16="http://schemas.microsoft.com/office/drawing/2014/main" id="{00000000-0008-0000-1200-00001B000000}"/>
                </a:ext>
              </a:extLst>
            </xdr14:cNvPr>
            <xdr14:cNvContentPartPr/>
          </xdr14:nvContentPartPr>
          <xdr14:nvPr macro=""/>
          <xdr14:xfrm>
            <a:off x="11356920" y="13643063"/>
            <a:ext cx="360" cy="360"/>
          </xdr14:xfrm>
        </xdr:contentPart>
      </mc:Choice>
      <mc:Fallback xmlns="">
        <xdr:pic>
          <xdr:nvPicPr>
            <xdr:cNvPr id="62" name="Ink 61">
              <a:extLst>
                <a:ext uri="{FF2B5EF4-FFF2-40B4-BE49-F238E27FC236}">
                  <a16:creationId xmlns:a16="http://schemas.microsoft.com/office/drawing/2014/main" id="{C0411D02-D9B6-4602-828F-30B72217B05D}"/>
                </a:ext>
              </a:extLst>
            </xdr:cNvPr>
            <xdr:cNvPicPr/>
          </xdr:nvPicPr>
          <xdr:blipFill>
            <a:blip xmlns:r="http://schemas.openxmlformats.org/officeDocument/2006/relationships" r:embed="rId3"/>
            <a:stretch>
              <a:fillRect/>
            </a:stretch>
          </xdr:blipFill>
          <xdr:spPr>
            <a:xfrm>
              <a:off x="11348280" y="13634063"/>
              <a:ext cx="18000" cy="18000"/>
            </a:xfrm>
            <a:prstGeom prst="rect">
              <a:avLst/>
            </a:prstGeom>
          </xdr:spPr>
        </xdr:pic>
      </mc:Fallback>
    </mc:AlternateContent>
    <xdr:clientData/>
  </xdr:twoCellAnchor>
  <xdr:twoCellAnchor editAs="oneCell">
    <xdr:from>
      <xdr:col>1</xdr:col>
      <xdr:colOff>2024530</xdr:colOff>
      <xdr:row>78</xdr:row>
      <xdr:rowOff>138111</xdr:rowOff>
    </xdr:from>
    <xdr:to>
      <xdr:col>5</xdr:col>
      <xdr:colOff>261471</xdr:colOff>
      <xdr:row>99</xdr:row>
      <xdr:rowOff>113414</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0"/>
        <a:stretch>
          <a:fillRect/>
        </a:stretch>
      </xdr:blipFill>
      <xdr:spPr>
        <a:xfrm>
          <a:off x="2263589" y="13786876"/>
          <a:ext cx="2711823" cy="342671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260350</xdr:colOff>
          <xdr:row>74</xdr:row>
          <xdr:rowOff>146050</xdr:rowOff>
        </xdr:from>
        <xdr:to>
          <xdr:col>4</xdr:col>
          <xdr:colOff>0</xdr:colOff>
          <xdr:row>76</xdr:row>
          <xdr:rowOff>38100</xdr:rowOff>
        </xdr:to>
        <xdr:sp macro="" textlink="">
          <xdr:nvSpPr>
            <xdr:cNvPr id="32769" name="Check Box 1" hidden="1">
              <a:extLst>
                <a:ext uri="{63B3BB69-23CF-44E3-9099-C40C66FF867C}">
                  <a14:compatExt spid="_x0000_s32769"/>
                </a:ext>
                <a:ext uri="{FF2B5EF4-FFF2-40B4-BE49-F238E27FC236}">
                  <a16:creationId xmlns:a16="http://schemas.microsoft.com/office/drawing/2014/main" id="{00000000-0008-0000-1300-000001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79</xdr:row>
          <xdr:rowOff>0</xdr:rowOff>
        </xdr:from>
        <xdr:to>
          <xdr:col>4</xdr:col>
          <xdr:colOff>0</xdr:colOff>
          <xdr:row>80</xdr:row>
          <xdr:rowOff>25400</xdr:rowOff>
        </xdr:to>
        <xdr:sp macro="" textlink="">
          <xdr:nvSpPr>
            <xdr:cNvPr id="32770" name="Check Box 2" hidden="1">
              <a:extLst>
                <a:ext uri="{63B3BB69-23CF-44E3-9099-C40C66FF867C}">
                  <a14:compatExt spid="_x0000_s32770"/>
                </a:ext>
                <a:ext uri="{FF2B5EF4-FFF2-40B4-BE49-F238E27FC236}">
                  <a16:creationId xmlns:a16="http://schemas.microsoft.com/office/drawing/2014/main" id="{00000000-0008-0000-1300-000002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77</xdr:row>
          <xdr:rowOff>146050</xdr:rowOff>
        </xdr:from>
        <xdr:to>
          <xdr:col>4</xdr:col>
          <xdr:colOff>0</xdr:colOff>
          <xdr:row>79</xdr:row>
          <xdr:rowOff>12700</xdr:rowOff>
        </xdr:to>
        <xdr:sp macro="" textlink="">
          <xdr:nvSpPr>
            <xdr:cNvPr id="32771" name="Check Box 3" hidden="1">
              <a:extLst>
                <a:ext uri="{63B3BB69-23CF-44E3-9099-C40C66FF867C}">
                  <a14:compatExt spid="_x0000_s32771"/>
                </a:ext>
                <a:ext uri="{FF2B5EF4-FFF2-40B4-BE49-F238E27FC236}">
                  <a16:creationId xmlns:a16="http://schemas.microsoft.com/office/drawing/2014/main" id="{00000000-0008-0000-1300-000003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76</xdr:row>
          <xdr:rowOff>146050</xdr:rowOff>
        </xdr:from>
        <xdr:to>
          <xdr:col>4</xdr:col>
          <xdr:colOff>0</xdr:colOff>
          <xdr:row>78</xdr:row>
          <xdr:rowOff>12700</xdr:rowOff>
        </xdr:to>
        <xdr:sp macro="" textlink="">
          <xdr:nvSpPr>
            <xdr:cNvPr id="32772" name="Check Box 4" hidden="1">
              <a:extLst>
                <a:ext uri="{63B3BB69-23CF-44E3-9099-C40C66FF867C}">
                  <a14:compatExt spid="_x0000_s32772"/>
                </a:ext>
                <a:ext uri="{FF2B5EF4-FFF2-40B4-BE49-F238E27FC236}">
                  <a16:creationId xmlns:a16="http://schemas.microsoft.com/office/drawing/2014/main" id="{00000000-0008-0000-1300-000004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10</xdr:row>
          <xdr:rowOff>165100</xdr:rowOff>
        </xdr:from>
        <xdr:to>
          <xdr:col>2</xdr:col>
          <xdr:colOff>450850</xdr:colOff>
          <xdr:row>12</xdr:row>
          <xdr:rowOff>12700</xdr:rowOff>
        </xdr:to>
        <xdr:sp macro="" textlink="">
          <xdr:nvSpPr>
            <xdr:cNvPr id="32773" name="Check Box 5" hidden="1">
              <a:extLst>
                <a:ext uri="{63B3BB69-23CF-44E3-9099-C40C66FF867C}">
                  <a14:compatExt spid="_x0000_s32773"/>
                </a:ext>
                <a:ext uri="{FF2B5EF4-FFF2-40B4-BE49-F238E27FC236}">
                  <a16:creationId xmlns:a16="http://schemas.microsoft.com/office/drawing/2014/main" id="{00000000-0008-0000-1300-000005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10</xdr:row>
          <xdr:rowOff>184150</xdr:rowOff>
        </xdr:from>
        <xdr:to>
          <xdr:col>7</xdr:col>
          <xdr:colOff>419100</xdr:colOff>
          <xdr:row>12</xdr:row>
          <xdr:rowOff>38100</xdr:rowOff>
        </xdr:to>
        <xdr:sp macro="" textlink="">
          <xdr:nvSpPr>
            <xdr:cNvPr id="32774" name="Check Box 6" hidden="1">
              <a:extLst>
                <a:ext uri="{63B3BB69-23CF-44E3-9099-C40C66FF867C}">
                  <a14:compatExt spid="_x0000_s32774"/>
                </a:ext>
                <a:ext uri="{FF2B5EF4-FFF2-40B4-BE49-F238E27FC236}">
                  <a16:creationId xmlns:a16="http://schemas.microsoft.com/office/drawing/2014/main" id="{00000000-0008-0000-1300-000006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10</xdr:row>
          <xdr:rowOff>165100</xdr:rowOff>
        </xdr:from>
        <xdr:to>
          <xdr:col>5</xdr:col>
          <xdr:colOff>146050</xdr:colOff>
          <xdr:row>12</xdr:row>
          <xdr:rowOff>38100</xdr:rowOff>
        </xdr:to>
        <xdr:sp macro="" textlink="">
          <xdr:nvSpPr>
            <xdr:cNvPr id="32775" name="Check Box 7" hidden="1">
              <a:extLst>
                <a:ext uri="{63B3BB69-23CF-44E3-9099-C40C66FF867C}">
                  <a14:compatExt spid="_x0000_s32775"/>
                </a:ext>
                <a:ext uri="{FF2B5EF4-FFF2-40B4-BE49-F238E27FC236}">
                  <a16:creationId xmlns:a16="http://schemas.microsoft.com/office/drawing/2014/main" id="{00000000-0008-0000-1300-000007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75</xdr:row>
          <xdr:rowOff>146050</xdr:rowOff>
        </xdr:from>
        <xdr:to>
          <xdr:col>4</xdr:col>
          <xdr:colOff>0</xdr:colOff>
          <xdr:row>77</xdr:row>
          <xdr:rowOff>38100</xdr:rowOff>
        </xdr:to>
        <xdr:sp macro="" textlink="">
          <xdr:nvSpPr>
            <xdr:cNvPr id="32776" name="Check Box 8" hidden="1">
              <a:extLst>
                <a:ext uri="{63B3BB69-23CF-44E3-9099-C40C66FF867C}">
                  <a14:compatExt spid="_x0000_s32776"/>
                </a:ext>
                <a:ext uri="{FF2B5EF4-FFF2-40B4-BE49-F238E27FC236}">
                  <a16:creationId xmlns:a16="http://schemas.microsoft.com/office/drawing/2014/main" id="{00000000-0008-0000-1300-000008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219807</xdr:colOff>
      <xdr:row>1</xdr:row>
      <xdr:rowOff>87923</xdr:rowOff>
    </xdr:from>
    <xdr:to>
      <xdr:col>1</xdr:col>
      <xdr:colOff>1709386</xdr:colOff>
      <xdr:row>4</xdr:row>
      <xdr:rowOff>87044</xdr:rowOff>
    </xdr:to>
    <xdr:pic>
      <xdr:nvPicPr>
        <xdr:cNvPr id="10" name="Picture 9">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807" y="259373"/>
          <a:ext cx="1730879" cy="5325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74</xdr:row>
          <xdr:rowOff>146050</xdr:rowOff>
        </xdr:from>
        <xdr:to>
          <xdr:col>4</xdr:col>
          <xdr:colOff>666750</xdr:colOff>
          <xdr:row>76</xdr:row>
          <xdr:rowOff>38100</xdr:rowOff>
        </xdr:to>
        <xdr:sp macro="" textlink="">
          <xdr:nvSpPr>
            <xdr:cNvPr id="32777" name="Check Box 9" hidden="1">
              <a:extLst>
                <a:ext uri="{63B3BB69-23CF-44E3-9099-C40C66FF867C}">
                  <a14:compatExt spid="_x0000_s32777"/>
                </a:ext>
                <a:ext uri="{FF2B5EF4-FFF2-40B4-BE49-F238E27FC236}">
                  <a16:creationId xmlns:a16="http://schemas.microsoft.com/office/drawing/2014/main" id="{00000000-0008-0000-1300-000009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79</xdr:row>
          <xdr:rowOff>0</xdr:rowOff>
        </xdr:from>
        <xdr:to>
          <xdr:col>4</xdr:col>
          <xdr:colOff>666750</xdr:colOff>
          <xdr:row>80</xdr:row>
          <xdr:rowOff>31750</xdr:rowOff>
        </xdr:to>
        <xdr:sp macro="" textlink="">
          <xdr:nvSpPr>
            <xdr:cNvPr id="32778" name="Check Box 10" hidden="1">
              <a:extLst>
                <a:ext uri="{63B3BB69-23CF-44E3-9099-C40C66FF867C}">
                  <a14:compatExt spid="_x0000_s32778"/>
                </a:ext>
                <a:ext uri="{FF2B5EF4-FFF2-40B4-BE49-F238E27FC236}">
                  <a16:creationId xmlns:a16="http://schemas.microsoft.com/office/drawing/2014/main" id="{00000000-0008-0000-1300-00000A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77</xdr:row>
          <xdr:rowOff>146050</xdr:rowOff>
        </xdr:from>
        <xdr:to>
          <xdr:col>4</xdr:col>
          <xdr:colOff>666750</xdr:colOff>
          <xdr:row>79</xdr:row>
          <xdr:rowOff>12700</xdr:rowOff>
        </xdr:to>
        <xdr:sp macro="" textlink="">
          <xdr:nvSpPr>
            <xdr:cNvPr id="32779" name="Check Box 11" hidden="1">
              <a:extLst>
                <a:ext uri="{63B3BB69-23CF-44E3-9099-C40C66FF867C}">
                  <a14:compatExt spid="_x0000_s32779"/>
                </a:ext>
                <a:ext uri="{FF2B5EF4-FFF2-40B4-BE49-F238E27FC236}">
                  <a16:creationId xmlns:a16="http://schemas.microsoft.com/office/drawing/2014/main" id="{00000000-0008-0000-1300-00000B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76</xdr:row>
          <xdr:rowOff>146050</xdr:rowOff>
        </xdr:from>
        <xdr:to>
          <xdr:col>4</xdr:col>
          <xdr:colOff>666750</xdr:colOff>
          <xdr:row>78</xdr:row>
          <xdr:rowOff>12700</xdr:rowOff>
        </xdr:to>
        <xdr:sp macro="" textlink="">
          <xdr:nvSpPr>
            <xdr:cNvPr id="32780" name="Check Box 12" hidden="1">
              <a:extLst>
                <a:ext uri="{63B3BB69-23CF-44E3-9099-C40C66FF867C}">
                  <a14:compatExt spid="_x0000_s32780"/>
                </a:ext>
                <a:ext uri="{FF2B5EF4-FFF2-40B4-BE49-F238E27FC236}">
                  <a16:creationId xmlns:a16="http://schemas.microsoft.com/office/drawing/2014/main" id="{00000000-0008-0000-1300-00000C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75</xdr:row>
          <xdr:rowOff>146050</xdr:rowOff>
        </xdr:from>
        <xdr:to>
          <xdr:col>4</xdr:col>
          <xdr:colOff>666750</xdr:colOff>
          <xdr:row>77</xdr:row>
          <xdr:rowOff>38100</xdr:rowOff>
        </xdr:to>
        <xdr:sp macro="" textlink="">
          <xdr:nvSpPr>
            <xdr:cNvPr id="32781" name="Check Box 13" hidden="1">
              <a:extLst>
                <a:ext uri="{63B3BB69-23CF-44E3-9099-C40C66FF867C}">
                  <a14:compatExt spid="_x0000_s32781"/>
                </a:ext>
                <a:ext uri="{FF2B5EF4-FFF2-40B4-BE49-F238E27FC236}">
                  <a16:creationId xmlns:a16="http://schemas.microsoft.com/office/drawing/2014/main" id="{00000000-0008-0000-1300-00000D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79</xdr:row>
          <xdr:rowOff>152400</xdr:rowOff>
        </xdr:from>
        <xdr:to>
          <xdr:col>4</xdr:col>
          <xdr:colOff>0</xdr:colOff>
          <xdr:row>81</xdr:row>
          <xdr:rowOff>0</xdr:rowOff>
        </xdr:to>
        <xdr:sp macro="" textlink="">
          <xdr:nvSpPr>
            <xdr:cNvPr id="32784" name="Check Box 16" hidden="1">
              <a:extLst>
                <a:ext uri="{63B3BB69-23CF-44E3-9099-C40C66FF867C}">
                  <a14:compatExt spid="_x0000_s32784"/>
                </a:ext>
                <a:ext uri="{FF2B5EF4-FFF2-40B4-BE49-F238E27FC236}">
                  <a16:creationId xmlns:a16="http://schemas.microsoft.com/office/drawing/2014/main" id="{00000000-0008-0000-1300-000010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79</xdr:row>
          <xdr:rowOff>146050</xdr:rowOff>
        </xdr:from>
        <xdr:to>
          <xdr:col>4</xdr:col>
          <xdr:colOff>666750</xdr:colOff>
          <xdr:row>81</xdr:row>
          <xdr:rowOff>0</xdr:rowOff>
        </xdr:to>
        <xdr:sp macro="" textlink="">
          <xdr:nvSpPr>
            <xdr:cNvPr id="32785" name="Check Box 17" hidden="1">
              <a:extLst>
                <a:ext uri="{63B3BB69-23CF-44E3-9099-C40C66FF867C}">
                  <a14:compatExt spid="_x0000_s32785"/>
                </a:ext>
                <a:ext uri="{FF2B5EF4-FFF2-40B4-BE49-F238E27FC236}">
                  <a16:creationId xmlns:a16="http://schemas.microsoft.com/office/drawing/2014/main" id="{00000000-0008-0000-1300-000011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81</xdr:row>
          <xdr:rowOff>0</xdr:rowOff>
        </xdr:from>
        <xdr:to>
          <xdr:col>4</xdr:col>
          <xdr:colOff>0</xdr:colOff>
          <xdr:row>82</xdr:row>
          <xdr:rowOff>31750</xdr:rowOff>
        </xdr:to>
        <xdr:sp macro="" textlink="">
          <xdr:nvSpPr>
            <xdr:cNvPr id="32786" name="Check Box 18" hidden="1">
              <a:extLst>
                <a:ext uri="{63B3BB69-23CF-44E3-9099-C40C66FF867C}">
                  <a14:compatExt spid="_x0000_s32786"/>
                </a:ext>
                <a:ext uri="{FF2B5EF4-FFF2-40B4-BE49-F238E27FC236}">
                  <a16:creationId xmlns:a16="http://schemas.microsoft.com/office/drawing/2014/main" id="{00000000-0008-0000-1300-000012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81</xdr:row>
          <xdr:rowOff>0</xdr:rowOff>
        </xdr:from>
        <xdr:to>
          <xdr:col>4</xdr:col>
          <xdr:colOff>666750</xdr:colOff>
          <xdr:row>82</xdr:row>
          <xdr:rowOff>31750</xdr:rowOff>
        </xdr:to>
        <xdr:sp macro="" textlink="">
          <xdr:nvSpPr>
            <xdr:cNvPr id="32787" name="Check Box 19" hidden="1">
              <a:extLst>
                <a:ext uri="{63B3BB69-23CF-44E3-9099-C40C66FF867C}">
                  <a14:compatExt spid="_x0000_s32787"/>
                </a:ext>
                <a:ext uri="{FF2B5EF4-FFF2-40B4-BE49-F238E27FC236}">
                  <a16:creationId xmlns:a16="http://schemas.microsoft.com/office/drawing/2014/main" id="{00000000-0008-0000-1300-000013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14</xdr:col>
      <xdr:colOff>1390426</xdr:colOff>
      <xdr:row>79</xdr:row>
      <xdr:rowOff>23166</xdr:rowOff>
    </xdr:from>
    <xdr:to>
      <xdr:col>14</xdr:col>
      <xdr:colOff>1390786</xdr:colOff>
      <xdr:row>79</xdr:row>
      <xdr:rowOff>23526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2" name="Ink 21">
              <a:extLst>
                <a:ext uri="{FF2B5EF4-FFF2-40B4-BE49-F238E27FC236}">
                  <a16:creationId xmlns:a16="http://schemas.microsoft.com/office/drawing/2014/main" id="{00000000-0008-0000-1300-000016000000}"/>
                </a:ext>
              </a:extLst>
            </xdr14:cNvPr>
            <xdr14:cNvContentPartPr/>
          </xdr14:nvContentPartPr>
          <xdr14:nvPr macro=""/>
          <xdr14:xfrm>
            <a:off x="12212640" y="12324023"/>
            <a:ext cx="360" cy="360"/>
          </xdr14:xfrm>
        </xdr:contentPart>
      </mc:Choice>
      <mc:Fallback xmlns="">
        <xdr:pic>
          <xdr:nvPicPr>
            <xdr:cNvPr id="55" name="Ink 54">
              <a:extLst>
                <a:ext uri="{FF2B5EF4-FFF2-40B4-BE49-F238E27FC236}">
                  <a16:creationId xmlns:a16="http://schemas.microsoft.com/office/drawing/2014/main" id="{AAF6E720-DB5E-4AB0-BC74-91FF9EE70E27}"/>
                </a:ext>
              </a:extLst>
            </xdr:cNvPr>
            <xdr:cNvPicPr/>
          </xdr:nvPicPr>
          <xdr:blipFill>
            <a:blip xmlns:r="http://schemas.openxmlformats.org/officeDocument/2006/relationships" r:embed="rId3"/>
            <a:stretch>
              <a:fillRect/>
            </a:stretch>
          </xdr:blipFill>
          <xdr:spPr>
            <a:xfrm>
              <a:off x="12204000" y="12315023"/>
              <a:ext cx="18000" cy="18000"/>
            </a:xfrm>
            <a:prstGeom prst="rect">
              <a:avLst/>
            </a:prstGeom>
          </xdr:spPr>
        </xdr:pic>
      </mc:Fallback>
    </mc:AlternateContent>
    <xdr:clientData/>
  </xdr:twoCellAnchor>
  <xdr:twoCellAnchor editAs="oneCell">
    <xdr:from>
      <xdr:col>14</xdr:col>
      <xdr:colOff>1916386</xdr:colOff>
      <xdr:row>83</xdr:row>
      <xdr:rowOff>67923</xdr:rowOff>
    </xdr:from>
    <xdr:to>
      <xdr:col>14</xdr:col>
      <xdr:colOff>1916746</xdr:colOff>
      <xdr:row>83</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23" name="Ink 22">
              <a:extLst>
                <a:ext uri="{FF2B5EF4-FFF2-40B4-BE49-F238E27FC236}">
                  <a16:creationId xmlns:a16="http://schemas.microsoft.com/office/drawing/2014/main" id="{00000000-0008-0000-1300-000017000000}"/>
                </a:ext>
              </a:extLst>
            </xdr14:cNvPr>
            <xdr14:cNvContentPartPr/>
          </xdr14:nvContentPartPr>
          <xdr14:nvPr macro=""/>
          <xdr14:xfrm>
            <a:off x="12738600" y="13085423"/>
            <a:ext cx="360" cy="360"/>
          </xdr14:xfrm>
        </xdr:contentPart>
      </mc:Choice>
      <mc:Fallback xmlns="">
        <xdr:pic>
          <xdr:nvPicPr>
            <xdr:cNvPr id="56" name="Ink 55">
              <a:extLst>
                <a:ext uri="{FF2B5EF4-FFF2-40B4-BE49-F238E27FC236}">
                  <a16:creationId xmlns:a16="http://schemas.microsoft.com/office/drawing/2014/main" id="{D771F580-66E4-4A0E-B0C3-B5490F51F4DD}"/>
                </a:ext>
              </a:extLst>
            </xdr:cNvPr>
            <xdr:cNvPicPr/>
          </xdr:nvPicPr>
          <xdr:blipFill>
            <a:blip xmlns:r="http://schemas.openxmlformats.org/officeDocument/2006/relationships" r:embed="rId3"/>
            <a:stretch>
              <a:fillRect/>
            </a:stretch>
          </xdr:blipFill>
          <xdr:spPr>
            <a:xfrm>
              <a:off x="12729600" y="13076423"/>
              <a:ext cx="18000" cy="18000"/>
            </a:xfrm>
            <a:prstGeom prst="rect">
              <a:avLst/>
            </a:prstGeom>
          </xdr:spPr>
        </xdr:pic>
      </mc:Fallback>
    </mc:AlternateContent>
    <xdr:clientData/>
  </xdr:twoCellAnchor>
  <xdr:twoCellAnchor editAs="oneCell">
    <xdr:from>
      <xdr:col>14</xdr:col>
      <xdr:colOff>1190986</xdr:colOff>
      <xdr:row>83</xdr:row>
      <xdr:rowOff>67923</xdr:rowOff>
    </xdr:from>
    <xdr:to>
      <xdr:col>14</xdr:col>
      <xdr:colOff>1191346</xdr:colOff>
      <xdr:row>83</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4" name="Ink 23">
              <a:extLst>
                <a:ext uri="{FF2B5EF4-FFF2-40B4-BE49-F238E27FC236}">
                  <a16:creationId xmlns:a16="http://schemas.microsoft.com/office/drawing/2014/main" id="{00000000-0008-0000-1300-000018000000}"/>
                </a:ext>
              </a:extLst>
            </xdr14:cNvPr>
            <xdr14:cNvContentPartPr/>
          </xdr14:nvContentPartPr>
          <xdr14:nvPr macro=""/>
          <xdr14:xfrm>
            <a:off x="12013200" y="13085423"/>
            <a:ext cx="360" cy="360"/>
          </xdr14:xfrm>
        </xdr:contentPart>
      </mc:Choice>
      <mc:Fallback xmlns="">
        <xdr:pic>
          <xdr:nvPicPr>
            <xdr:cNvPr id="57" name="Ink 56">
              <a:extLst>
                <a:ext uri="{FF2B5EF4-FFF2-40B4-BE49-F238E27FC236}">
                  <a16:creationId xmlns:a16="http://schemas.microsoft.com/office/drawing/2014/main" id="{A31DD869-51CD-4452-BD19-E72BF7717FC3}"/>
                </a:ext>
              </a:extLst>
            </xdr:cNvPr>
            <xdr:cNvPicPr/>
          </xdr:nvPicPr>
          <xdr:blipFill>
            <a:blip xmlns:r="http://schemas.openxmlformats.org/officeDocument/2006/relationships" r:embed="rId3"/>
            <a:stretch>
              <a:fillRect/>
            </a:stretch>
          </xdr:blipFill>
          <xdr:spPr>
            <a:xfrm>
              <a:off x="12004200" y="13076423"/>
              <a:ext cx="18000" cy="18000"/>
            </a:xfrm>
            <a:prstGeom prst="rect">
              <a:avLst/>
            </a:prstGeom>
          </xdr:spPr>
        </xdr:pic>
      </mc:Fallback>
    </mc:AlternateContent>
    <xdr:clientData/>
  </xdr:twoCellAnchor>
  <xdr:twoCellAnchor editAs="oneCell">
    <xdr:from>
      <xdr:col>14</xdr:col>
      <xdr:colOff>1260466</xdr:colOff>
      <xdr:row>82</xdr:row>
      <xdr:rowOff>162520</xdr:rowOff>
    </xdr:from>
    <xdr:to>
      <xdr:col>14</xdr:col>
      <xdr:colOff>1270186</xdr:colOff>
      <xdr:row>82</xdr:row>
      <xdr:rowOff>162880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5" name="Ink 24">
              <a:extLst>
                <a:ext uri="{FF2B5EF4-FFF2-40B4-BE49-F238E27FC236}">
                  <a16:creationId xmlns:a16="http://schemas.microsoft.com/office/drawing/2014/main" id="{00000000-0008-0000-1300-000019000000}"/>
                </a:ext>
              </a:extLst>
            </xdr14:cNvPr>
            <xdr14:cNvContentPartPr/>
          </xdr14:nvContentPartPr>
          <xdr14:nvPr macro=""/>
          <xdr14:xfrm>
            <a:off x="12082680" y="13007663"/>
            <a:ext cx="9720" cy="360"/>
          </xdr14:xfrm>
        </xdr:contentPart>
      </mc:Choice>
      <mc:Fallback xmlns="">
        <xdr:pic>
          <xdr:nvPicPr>
            <xdr:cNvPr id="60" name="Ink 59">
              <a:extLst>
                <a:ext uri="{FF2B5EF4-FFF2-40B4-BE49-F238E27FC236}">
                  <a16:creationId xmlns:a16="http://schemas.microsoft.com/office/drawing/2014/main" id="{1B32C097-0494-4089-A5F1-C345B822D687}"/>
                </a:ext>
              </a:extLst>
            </xdr:cNvPr>
            <xdr:cNvPicPr/>
          </xdr:nvPicPr>
          <xdr:blipFill>
            <a:blip xmlns:r="http://schemas.openxmlformats.org/officeDocument/2006/relationships" r:embed="rId7"/>
            <a:stretch>
              <a:fillRect/>
            </a:stretch>
          </xdr:blipFill>
          <xdr:spPr>
            <a:xfrm>
              <a:off x="12074040" y="12999023"/>
              <a:ext cx="27360" cy="18000"/>
            </a:xfrm>
            <a:prstGeom prst="rect">
              <a:avLst/>
            </a:prstGeom>
          </xdr:spPr>
        </xdr:pic>
      </mc:Fallback>
    </mc:AlternateContent>
    <xdr:clientData/>
  </xdr:twoCellAnchor>
  <xdr:twoCellAnchor editAs="oneCell">
    <xdr:from>
      <xdr:col>14</xdr:col>
      <xdr:colOff>1124746</xdr:colOff>
      <xdr:row>84</xdr:row>
      <xdr:rowOff>162757</xdr:rowOff>
    </xdr:from>
    <xdr:to>
      <xdr:col>14</xdr:col>
      <xdr:colOff>1125106</xdr:colOff>
      <xdr:row>85</xdr:row>
      <xdr:rowOff>1479</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6" name="Ink 25">
              <a:extLst>
                <a:ext uri="{FF2B5EF4-FFF2-40B4-BE49-F238E27FC236}">
                  <a16:creationId xmlns:a16="http://schemas.microsoft.com/office/drawing/2014/main" id="{00000000-0008-0000-1300-00001A000000}"/>
                </a:ext>
              </a:extLst>
            </xdr14:cNvPr>
            <xdr14:cNvContentPartPr/>
          </xdr14:nvContentPartPr>
          <xdr14:nvPr macro=""/>
          <xdr14:xfrm>
            <a:off x="11946960" y="13343543"/>
            <a:ext cx="360" cy="360"/>
          </xdr14:xfrm>
        </xdr:contentPart>
      </mc:Choice>
      <mc:Fallback xmlns="">
        <xdr:pic>
          <xdr:nvPicPr>
            <xdr:cNvPr id="61" name="Ink 60">
              <a:extLst>
                <a:ext uri="{FF2B5EF4-FFF2-40B4-BE49-F238E27FC236}">
                  <a16:creationId xmlns:a16="http://schemas.microsoft.com/office/drawing/2014/main" id="{5E2258B0-FF78-4563-8D84-A1F9BC7EC167}"/>
                </a:ext>
              </a:extLst>
            </xdr:cNvPr>
            <xdr:cNvPicPr/>
          </xdr:nvPicPr>
          <xdr:blipFill>
            <a:blip xmlns:r="http://schemas.openxmlformats.org/officeDocument/2006/relationships" r:embed="rId3"/>
            <a:stretch>
              <a:fillRect/>
            </a:stretch>
          </xdr:blipFill>
          <xdr:spPr>
            <a:xfrm>
              <a:off x="11937960" y="13334903"/>
              <a:ext cx="18000" cy="18000"/>
            </a:xfrm>
            <a:prstGeom prst="rect">
              <a:avLst/>
            </a:prstGeom>
          </xdr:spPr>
        </xdr:pic>
      </mc:Fallback>
    </mc:AlternateContent>
    <xdr:clientData/>
  </xdr:twoCellAnchor>
  <xdr:twoCellAnchor editAs="oneCell">
    <xdr:from>
      <xdr:col>14</xdr:col>
      <xdr:colOff>534706</xdr:colOff>
      <xdr:row>86</xdr:row>
      <xdr:rowOff>135706</xdr:rowOff>
    </xdr:from>
    <xdr:to>
      <xdr:col>14</xdr:col>
      <xdr:colOff>535066</xdr:colOff>
      <xdr:row>86</xdr:row>
      <xdr:rowOff>136066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7" name="Ink 26">
              <a:extLst>
                <a:ext uri="{FF2B5EF4-FFF2-40B4-BE49-F238E27FC236}">
                  <a16:creationId xmlns:a16="http://schemas.microsoft.com/office/drawing/2014/main" id="{00000000-0008-0000-1300-00001B000000}"/>
                </a:ext>
              </a:extLst>
            </xdr14:cNvPr>
            <xdr14:cNvContentPartPr/>
          </xdr14:nvContentPartPr>
          <xdr14:nvPr macro=""/>
          <xdr14:xfrm>
            <a:off x="11356920" y="13643063"/>
            <a:ext cx="360" cy="360"/>
          </xdr14:xfrm>
        </xdr:contentPart>
      </mc:Choice>
      <mc:Fallback xmlns="">
        <xdr:pic>
          <xdr:nvPicPr>
            <xdr:cNvPr id="62" name="Ink 61">
              <a:extLst>
                <a:ext uri="{FF2B5EF4-FFF2-40B4-BE49-F238E27FC236}">
                  <a16:creationId xmlns:a16="http://schemas.microsoft.com/office/drawing/2014/main" id="{C0411D02-D9B6-4602-828F-30B72217B05D}"/>
                </a:ext>
              </a:extLst>
            </xdr:cNvPr>
            <xdr:cNvPicPr/>
          </xdr:nvPicPr>
          <xdr:blipFill>
            <a:blip xmlns:r="http://schemas.openxmlformats.org/officeDocument/2006/relationships" r:embed="rId3"/>
            <a:stretch>
              <a:fillRect/>
            </a:stretch>
          </xdr:blipFill>
          <xdr:spPr>
            <a:xfrm>
              <a:off x="11348280" y="13634063"/>
              <a:ext cx="18000" cy="18000"/>
            </a:xfrm>
            <a:prstGeom prst="rect">
              <a:avLst/>
            </a:prstGeom>
          </xdr:spPr>
        </xdr:pic>
      </mc:Fallback>
    </mc:AlternateContent>
    <xdr:clientData/>
  </xdr:twoCellAnchor>
  <mc:AlternateContent xmlns:mc="http://schemas.openxmlformats.org/markup-compatibility/2006">
    <mc:Choice xmlns:a14="http://schemas.microsoft.com/office/drawing/2010/main" Requires="a14">
      <xdr:twoCellAnchor editAs="oneCell">
        <xdr:from>
          <xdr:col>3</xdr:col>
          <xdr:colOff>19050</xdr:colOff>
          <xdr:row>45</xdr:row>
          <xdr:rowOff>146050</xdr:rowOff>
        </xdr:from>
        <xdr:to>
          <xdr:col>3</xdr:col>
          <xdr:colOff>438150</xdr:colOff>
          <xdr:row>47</xdr:row>
          <xdr:rowOff>12700</xdr:rowOff>
        </xdr:to>
        <xdr:sp macro="" textlink="">
          <xdr:nvSpPr>
            <xdr:cNvPr id="32788" name="Check Box 20" hidden="1">
              <a:extLst>
                <a:ext uri="{63B3BB69-23CF-44E3-9099-C40C66FF867C}">
                  <a14:compatExt spid="_x0000_s32788"/>
                </a:ext>
                <a:ext uri="{FF2B5EF4-FFF2-40B4-BE49-F238E27FC236}">
                  <a16:creationId xmlns:a16="http://schemas.microsoft.com/office/drawing/2014/main" id="{00000000-0008-0000-1300-000014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63500</xdr:colOff>
          <xdr:row>45</xdr:row>
          <xdr:rowOff>139700</xdr:rowOff>
        </xdr:from>
        <xdr:to>
          <xdr:col>4</xdr:col>
          <xdr:colOff>488950</xdr:colOff>
          <xdr:row>47</xdr:row>
          <xdr:rowOff>6350</xdr:rowOff>
        </xdr:to>
        <xdr:sp macro="" textlink="">
          <xdr:nvSpPr>
            <xdr:cNvPr id="32789" name="Check Box 21" hidden="1">
              <a:extLst>
                <a:ext uri="{63B3BB69-23CF-44E3-9099-C40C66FF867C}">
                  <a14:compatExt spid="_x0000_s32789"/>
                </a:ext>
                <a:ext uri="{FF2B5EF4-FFF2-40B4-BE49-F238E27FC236}">
                  <a16:creationId xmlns:a16="http://schemas.microsoft.com/office/drawing/2014/main" id="{00000000-0008-0000-1300-000015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50800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1400-00000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14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1400-00000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1400-00000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10</xdr:row>
          <xdr:rowOff>165100</xdr:rowOff>
        </xdr:from>
        <xdr:to>
          <xdr:col>2</xdr:col>
          <xdr:colOff>450850</xdr:colOff>
          <xdr:row>12</xdr:row>
          <xdr:rowOff>12700</xdr:rowOff>
        </xdr:to>
        <xdr:sp macro="" textlink="">
          <xdr:nvSpPr>
            <xdr:cNvPr id="33797" name="Check Box 5" hidden="1">
              <a:extLst>
                <a:ext uri="{63B3BB69-23CF-44E3-9099-C40C66FF867C}">
                  <a14:compatExt spid="_x0000_s33797"/>
                </a:ext>
                <a:ext uri="{FF2B5EF4-FFF2-40B4-BE49-F238E27FC236}">
                  <a16:creationId xmlns:a16="http://schemas.microsoft.com/office/drawing/2014/main" id="{00000000-0008-0000-1400-00000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10</xdr:row>
          <xdr:rowOff>184150</xdr:rowOff>
        </xdr:from>
        <xdr:to>
          <xdr:col>7</xdr:col>
          <xdr:colOff>419100</xdr:colOff>
          <xdr:row>12</xdr:row>
          <xdr:rowOff>38100</xdr:rowOff>
        </xdr:to>
        <xdr:sp macro="" textlink="">
          <xdr:nvSpPr>
            <xdr:cNvPr id="33798" name="Check Box 6" hidden="1">
              <a:extLst>
                <a:ext uri="{63B3BB69-23CF-44E3-9099-C40C66FF867C}">
                  <a14:compatExt spid="_x0000_s33798"/>
                </a:ext>
                <a:ext uri="{FF2B5EF4-FFF2-40B4-BE49-F238E27FC236}">
                  <a16:creationId xmlns:a16="http://schemas.microsoft.com/office/drawing/2014/main" id="{00000000-0008-0000-1400-000006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10</xdr:row>
          <xdr:rowOff>165100</xdr:rowOff>
        </xdr:from>
        <xdr:to>
          <xdr:col>5</xdr:col>
          <xdr:colOff>184150</xdr:colOff>
          <xdr:row>12</xdr:row>
          <xdr:rowOff>38100</xdr:rowOff>
        </xdr:to>
        <xdr:sp macro="" textlink="">
          <xdr:nvSpPr>
            <xdr:cNvPr id="33799" name="Check Box 7" hidden="1">
              <a:extLst>
                <a:ext uri="{63B3BB69-23CF-44E3-9099-C40C66FF867C}">
                  <a14:compatExt spid="_x0000_s33799"/>
                </a:ext>
                <a:ext uri="{FF2B5EF4-FFF2-40B4-BE49-F238E27FC236}">
                  <a16:creationId xmlns:a16="http://schemas.microsoft.com/office/drawing/2014/main" id="{00000000-0008-0000-1400-000007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38100</xdr:rowOff>
        </xdr:to>
        <xdr:sp macro="" textlink="">
          <xdr:nvSpPr>
            <xdr:cNvPr id="33800" name="Check Box 8" hidden="1">
              <a:extLst>
                <a:ext uri="{63B3BB69-23CF-44E3-9099-C40C66FF867C}">
                  <a14:compatExt spid="_x0000_s33800"/>
                </a:ext>
                <a:ext uri="{FF2B5EF4-FFF2-40B4-BE49-F238E27FC236}">
                  <a16:creationId xmlns:a16="http://schemas.microsoft.com/office/drawing/2014/main" id="{00000000-0008-0000-1400-00000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219807</xdr:colOff>
      <xdr:row>1</xdr:row>
      <xdr:rowOff>87923</xdr:rowOff>
    </xdr:from>
    <xdr:to>
      <xdr:col>1</xdr:col>
      <xdr:colOff>1709386</xdr:colOff>
      <xdr:row>4</xdr:row>
      <xdr:rowOff>87044</xdr:rowOff>
    </xdr:to>
    <xdr:pic>
      <xdr:nvPicPr>
        <xdr:cNvPr id="10" name="Picture 9">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807" y="259373"/>
          <a:ext cx="1730879" cy="5325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50800</xdr:rowOff>
        </xdr:to>
        <xdr:sp macro="" textlink="">
          <xdr:nvSpPr>
            <xdr:cNvPr id="33801" name="Check Box 9" hidden="1">
              <a:extLst>
                <a:ext uri="{63B3BB69-23CF-44E3-9099-C40C66FF867C}">
                  <a14:compatExt spid="_x0000_s33801"/>
                </a:ext>
                <a:ext uri="{FF2B5EF4-FFF2-40B4-BE49-F238E27FC236}">
                  <a16:creationId xmlns:a16="http://schemas.microsoft.com/office/drawing/2014/main" id="{00000000-0008-0000-1400-000009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38100</xdr:rowOff>
        </xdr:to>
        <xdr:sp macro="" textlink="">
          <xdr:nvSpPr>
            <xdr:cNvPr id="33802" name="Check Box 10" hidden="1">
              <a:extLst>
                <a:ext uri="{63B3BB69-23CF-44E3-9099-C40C66FF867C}">
                  <a14:compatExt spid="_x0000_s33802"/>
                </a:ext>
                <a:ext uri="{FF2B5EF4-FFF2-40B4-BE49-F238E27FC236}">
                  <a16:creationId xmlns:a16="http://schemas.microsoft.com/office/drawing/2014/main" id="{00000000-0008-0000-1400-00000A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31750</xdr:rowOff>
        </xdr:to>
        <xdr:sp macro="" textlink="">
          <xdr:nvSpPr>
            <xdr:cNvPr id="33803" name="Check Box 11" hidden="1">
              <a:extLst>
                <a:ext uri="{63B3BB69-23CF-44E3-9099-C40C66FF867C}">
                  <a14:compatExt spid="_x0000_s33803"/>
                </a:ext>
                <a:ext uri="{FF2B5EF4-FFF2-40B4-BE49-F238E27FC236}">
                  <a16:creationId xmlns:a16="http://schemas.microsoft.com/office/drawing/2014/main" id="{00000000-0008-0000-1400-00000B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31750</xdr:rowOff>
        </xdr:to>
        <xdr:sp macro="" textlink="">
          <xdr:nvSpPr>
            <xdr:cNvPr id="33804" name="Check Box 12" hidden="1">
              <a:extLst>
                <a:ext uri="{63B3BB69-23CF-44E3-9099-C40C66FF867C}">
                  <a14:compatExt spid="_x0000_s33804"/>
                </a:ext>
                <a:ext uri="{FF2B5EF4-FFF2-40B4-BE49-F238E27FC236}">
                  <a16:creationId xmlns:a16="http://schemas.microsoft.com/office/drawing/2014/main" id="{00000000-0008-0000-1400-00000C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50800</xdr:rowOff>
        </xdr:to>
        <xdr:sp macro="" textlink="">
          <xdr:nvSpPr>
            <xdr:cNvPr id="33805" name="Check Box 13" hidden="1">
              <a:extLst>
                <a:ext uri="{63B3BB69-23CF-44E3-9099-C40C66FF867C}">
                  <a14:compatExt spid="_x0000_s33805"/>
                </a:ext>
                <a:ext uri="{FF2B5EF4-FFF2-40B4-BE49-F238E27FC236}">
                  <a16:creationId xmlns:a16="http://schemas.microsoft.com/office/drawing/2014/main" id="{00000000-0008-0000-1400-00000D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3806" name="Check Box 14" hidden="1">
              <a:extLst>
                <a:ext uri="{63B3BB69-23CF-44E3-9099-C40C66FF867C}">
                  <a14:compatExt spid="_x0000_s33806"/>
                </a:ext>
                <a:ext uri="{FF2B5EF4-FFF2-40B4-BE49-F238E27FC236}">
                  <a16:creationId xmlns:a16="http://schemas.microsoft.com/office/drawing/2014/main" id="{00000000-0008-0000-1400-00000E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31750</xdr:rowOff>
        </xdr:to>
        <xdr:sp macro="" textlink="">
          <xdr:nvSpPr>
            <xdr:cNvPr id="33807" name="Check Box 15" hidden="1">
              <a:extLst>
                <a:ext uri="{63B3BB69-23CF-44E3-9099-C40C66FF867C}">
                  <a14:compatExt spid="_x0000_s33807"/>
                </a:ext>
                <a:ext uri="{FF2B5EF4-FFF2-40B4-BE49-F238E27FC236}">
                  <a16:creationId xmlns:a16="http://schemas.microsoft.com/office/drawing/2014/main" id="{00000000-0008-0000-1400-00000F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3808" name="Check Box 16" hidden="1">
              <a:extLst>
                <a:ext uri="{63B3BB69-23CF-44E3-9099-C40C66FF867C}">
                  <a14:compatExt spid="_x0000_s33808"/>
                </a:ext>
                <a:ext uri="{FF2B5EF4-FFF2-40B4-BE49-F238E27FC236}">
                  <a16:creationId xmlns:a16="http://schemas.microsoft.com/office/drawing/2014/main" id="{00000000-0008-0000-1400-000010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38100</xdr:rowOff>
        </xdr:to>
        <xdr:sp macro="" textlink="">
          <xdr:nvSpPr>
            <xdr:cNvPr id="33809" name="Check Box 17" hidden="1">
              <a:extLst>
                <a:ext uri="{63B3BB69-23CF-44E3-9099-C40C66FF867C}">
                  <a14:compatExt spid="_x0000_s33809"/>
                </a:ext>
                <a:ext uri="{FF2B5EF4-FFF2-40B4-BE49-F238E27FC236}">
                  <a16:creationId xmlns:a16="http://schemas.microsoft.com/office/drawing/2014/main" id="{00000000-0008-0000-1400-00001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3810" name="Check Box 18" hidden="1">
              <a:extLst>
                <a:ext uri="{63B3BB69-23CF-44E3-9099-C40C66FF867C}">
                  <a14:compatExt spid="_x0000_s33810"/>
                </a:ext>
                <a:ext uri="{FF2B5EF4-FFF2-40B4-BE49-F238E27FC236}">
                  <a16:creationId xmlns:a16="http://schemas.microsoft.com/office/drawing/2014/main" id="{00000000-0008-0000-1400-00001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38100</xdr:rowOff>
        </xdr:to>
        <xdr:sp macro="" textlink="">
          <xdr:nvSpPr>
            <xdr:cNvPr id="33811" name="Check Box 19" hidden="1">
              <a:extLst>
                <a:ext uri="{63B3BB69-23CF-44E3-9099-C40C66FF867C}">
                  <a14:compatExt spid="_x0000_s33811"/>
                </a:ext>
                <a:ext uri="{FF2B5EF4-FFF2-40B4-BE49-F238E27FC236}">
                  <a16:creationId xmlns:a16="http://schemas.microsoft.com/office/drawing/2014/main" id="{00000000-0008-0000-1400-00001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14</xdr:col>
      <xdr:colOff>1390426</xdr:colOff>
      <xdr:row>73</xdr:row>
      <xdr:rowOff>0</xdr:rowOff>
    </xdr:from>
    <xdr:to>
      <xdr:col>14</xdr:col>
      <xdr:colOff>1390786</xdr:colOff>
      <xdr:row>73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2" name="Ink 21">
              <a:extLst>
                <a:ext uri="{FF2B5EF4-FFF2-40B4-BE49-F238E27FC236}">
                  <a16:creationId xmlns:a16="http://schemas.microsoft.com/office/drawing/2014/main" id="{00000000-0008-0000-1400-000016000000}"/>
                </a:ext>
              </a:extLst>
            </xdr14:cNvPr>
            <xdr14:cNvContentPartPr/>
          </xdr14:nvContentPartPr>
          <xdr14:nvPr macro=""/>
          <xdr14:xfrm>
            <a:off x="12212640" y="12324023"/>
            <a:ext cx="360" cy="360"/>
          </xdr14:xfrm>
        </xdr:contentPart>
      </mc:Choice>
      <mc:Fallback xmlns="">
        <xdr:pic>
          <xdr:nvPicPr>
            <xdr:cNvPr id="55" name="Ink 54">
              <a:extLst>
                <a:ext uri="{FF2B5EF4-FFF2-40B4-BE49-F238E27FC236}">
                  <a16:creationId xmlns:a16="http://schemas.microsoft.com/office/drawing/2014/main" id="{AAF6E720-DB5E-4AB0-BC74-91FF9EE70E27}"/>
                </a:ext>
              </a:extLst>
            </xdr:cNvPr>
            <xdr:cNvPicPr/>
          </xdr:nvPicPr>
          <xdr:blipFill>
            <a:blip xmlns:r="http://schemas.openxmlformats.org/officeDocument/2006/relationships" r:embed="rId3"/>
            <a:stretch>
              <a:fillRect/>
            </a:stretch>
          </xdr:blipFill>
          <xdr:spPr>
            <a:xfrm>
              <a:off x="12204000" y="12315023"/>
              <a:ext cx="18000" cy="18000"/>
            </a:xfrm>
            <a:prstGeom prst="rect">
              <a:avLst/>
            </a:prstGeom>
          </xdr:spPr>
        </xdr:pic>
      </mc:Fallback>
    </mc:AlternateContent>
    <xdr:clientData/>
  </xdr:twoCellAnchor>
  <xdr:twoCellAnchor editAs="oneCell">
    <xdr:from>
      <xdr:col>14</xdr:col>
      <xdr:colOff>1916386</xdr:colOff>
      <xdr:row>74</xdr:row>
      <xdr:rowOff>67923</xdr:rowOff>
    </xdr:from>
    <xdr:to>
      <xdr:col>14</xdr:col>
      <xdr:colOff>1916746</xdr:colOff>
      <xdr:row>74</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23" name="Ink 22">
              <a:extLst>
                <a:ext uri="{FF2B5EF4-FFF2-40B4-BE49-F238E27FC236}">
                  <a16:creationId xmlns:a16="http://schemas.microsoft.com/office/drawing/2014/main" id="{00000000-0008-0000-1400-000017000000}"/>
                </a:ext>
              </a:extLst>
            </xdr14:cNvPr>
            <xdr14:cNvContentPartPr/>
          </xdr14:nvContentPartPr>
          <xdr14:nvPr macro=""/>
          <xdr14:xfrm>
            <a:off x="12738600" y="13085423"/>
            <a:ext cx="360" cy="360"/>
          </xdr14:xfrm>
        </xdr:contentPart>
      </mc:Choice>
      <mc:Fallback xmlns="">
        <xdr:pic>
          <xdr:nvPicPr>
            <xdr:cNvPr id="56" name="Ink 55">
              <a:extLst>
                <a:ext uri="{FF2B5EF4-FFF2-40B4-BE49-F238E27FC236}">
                  <a16:creationId xmlns:a16="http://schemas.microsoft.com/office/drawing/2014/main" id="{D771F580-66E4-4A0E-B0C3-B5490F51F4DD}"/>
                </a:ext>
              </a:extLst>
            </xdr:cNvPr>
            <xdr:cNvPicPr/>
          </xdr:nvPicPr>
          <xdr:blipFill>
            <a:blip xmlns:r="http://schemas.openxmlformats.org/officeDocument/2006/relationships" r:embed="rId3"/>
            <a:stretch>
              <a:fillRect/>
            </a:stretch>
          </xdr:blipFill>
          <xdr:spPr>
            <a:xfrm>
              <a:off x="12729600" y="13076423"/>
              <a:ext cx="18000" cy="18000"/>
            </a:xfrm>
            <a:prstGeom prst="rect">
              <a:avLst/>
            </a:prstGeom>
          </xdr:spPr>
        </xdr:pic>
      </mc:Fallback>
    </mc:AlternateContent>
    <xdr:clientData/>
  </xdr:twoCellAnchor>
  <xdr:twoCellAnchor editAs="oneCell">
    <xdr:from>
      <xdr:col>14</xdr:col>
      <xdr:colOff>1190986</xdr:colOff>
      <xdr:row>74</xdr:row>
      <xdr:rowOff>67923</xdr:rowOff>
    </xdr:from>
    <xdr:to>
      <xdr:col>14</xdr:col>
      <xdr:colOff>1191346</xdr:colOff>
      <xdr:row>74</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4" name="Ink 23">
              <a:extLst>
                <a:ext uri="{FF2B5EF4-FFF2-40B4-BE49-F238E27FC236}">
                  <a16:creationId xmlns:a16="http://schemas.microsoft.com/office/drawing/2014/main" id="{00000000-0008-0000-1400-000018000000}"/>
                </a:ext>
              </a:extLst>
            </xdr14:cNvPr>
            <xdr14:cNvContentPartPr/>
          </xdr14:nvContentPartPr>
          <xdr14:nvPr macro=""/>
          <xdr14:xfrm>
            <a:off x="12013200" y="13085423"/>
            <a:ext cx="360" cy="360"/>
          </xdr14:xfrm>
        </xdr:contentPart>
      </mc:Choice>
      <mc:Fallback xmlns="">
        <xdr:pic>
          <xdr:nvPicPr>
            <xdr:cNvPr id="57" name="Ink 56">
              <a:extLst>
                <a:ext uri="{FF2B5EF4-FFF2-40B4-BE49-F238E27FC236}">
                  <a16:creationId xmlns:a16="http://schemas.microsoft.com/office/drawing/2014/main" id="{A31DD869-51CD-4452-BD19-E72BF7717FC3}"/>
                </a:ext>
              </a:extLst>
            </xdr:cNvPr>
            <xdr:cNvPicPr/>
          </xdr:nvPicPr>
          <xdr:blipFill>
            <a:blip xmlns:r="http://schemas.openxmlformats.org/officeDocument/2006/relationships" r:embed="rId3"/>
            <a:stretch>
              <a:fillRect/>
            </a:stretch>
          </xdr:blipFill>
          <xdr:spPr>
            <a:xfrm>
              <a:off x="12004200" y="13076423"/>
              <a:ext cx="18000" cy="18000"/>
            </a:xfrm>
            <a:prstGeom prst="rect">
              <a:avLst/>
            </a:prstGeom>
          </xdr:spPr>
        </xdr:pic>
      </mc:Fallback>
    </mc:AlternateContent>
    <xdr:clientData/>
  </xdr:twoCellAnchor>
  <xdr:twoCellAnchor editAs="oneCell">
    <xdr:from>
      <xdr:col>14</xdr:col>
      <xdr:colOff>1260466</xdr:colOff>
      <xdr:row>73</xdr:row>
      <xdr:rowOff>162520</xdr:rowOff>
    </xdr:from>
    <xdr:to>
      <xdr:col>14</xdr:col>
      <xdr:colOff>1270186</xdr:colOff>
      <xdr:row>73</xdr:row>
      <xdr:rowOff>162880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5" name="Ink 24">
              <a:extLst>
                <a:ext uri="{FF2B5EF4-FFF2-40B4-BE49-F238E27FC236}">
                  <a16:creationId xmlns:a16="http://schemas.microsoft.com/office/drawing/2014/main" id="{00000000-0008-0000-1400-000019000000}"/>
                </a:ext>
              </a:extLst>
            </xdr14:cNvPr>
            <xdr14:cNvContentPartPr/>
          </xdr14:nvContentPartPr>
          <xdr14:nvPr macro=""/>
          <xdr14:xfrm>
            <a:off x="12082680" y="13007663"/>
            <a:ext cx="9720" cy="360"/>
          </xdr14:xfrm>
        </xdr:contentPart>
      </mc:Choice>
      <mc:Fallback xmlns="">
        <xdr:pic>
          <xdr:nvPicPr>
            <xdr:cNvPr id="60" name="Ink 59">
              <a:extLst>
                <a:ext uri="{FF2B5EF4-FFF2-40B4-BE49-F238E27FC236}">
                  <a16:creationId xmlns:a16="http://schemas.microsoft.com/office/drawing/2014/main" id="{1B32C097-0494-4089-A5F1-C345B822D687}"/>
                </a:ext>
              </a:extLst>
            </xdr:cNvPr>
            <xdr:cNvPicPr/>
          </xdr:nvPicPr>
          <xdr:blipFill>
            <a:blip xmlns:r="http://schemas.openxmlformats.org/officeDocument/2006/relationships" r:embed="rId7"/>
            <a:stretch>
              <a:fillRect/>
            </a:stretch>
          </xdr:blipFill>
          <xdr:spPr>
            <a:xfrm>
              <a:off x="12074040" y="12999023"/>
              <a:ext cx="27360" cy="18000"/>
            </a:xfrm>
            <a:prstGeom prst="rect">
              <a:avLst/>
            </a:prstGeom>
          </xdr:spPr>
        </xdr:pic>
      </mc:Fallback>
    </mc:AlternateContent>
    <xdr:clientData/>
  </xdr:twoCellAnchor>
  <xdr:twoCellAnchor editAs="oneCell">
    <xdr:from>
      <xdr:col>14</xdr:col>
      <xdr:colOff>1124746</xdr:colOff>
      <xdr:row>75</xdr:row>
      <xdr:rowOff>162757</xdr:rowOff>
    </xdr:from>
    <xdr:to>
      <xdr:col>14</xdr:col>
      <xdr:colOff>1125106</xdr:colOff>
      <xdr:row>76</xdr:row>
      <xdr:rowOff>1479</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6" name="Ink 25">
              <a:extLst>
                <a:ext uri="{FF2B5EF4-FFF2-40B4-BE49-F238E27FC236}">
                  <a16:creationId xmlns:a16="http://schemas.microsoft.com/office/drawing/2014/main" id="{00000000-0008-0000-1400-00001A000000}"/>
                </a:ext>
              </a:extLst>
            </xdr14:cNvPr>
            <xdr14:cNvContentPartPr/>
          </xdr14:nvContentPartPr>
          <xdr14:nvPr macro=""/>
          <xdr14:xfrm>
            <a:off x="11946960" y="13343543"/>
            <a:ext cx="360" cy="360"/>
          </xdr14:xfrm>
        </xdr:contentPart>
      </mc:Choice>
      <mc:Fallback xmlns="">
        <xdr:pic>
          <xdr:nvPicPr>
            <xdr:cNvPr id="61" name="Ink 60">
              <a:extLst>
                <a:ext uri="{FF2B5EF4-FFF2-40B4-BE49-F238E27FC236}">
                  <a16:creationId xmlns:a16="http://schemas.microsoft.com/office/drawing/2014/main" id="{5E2258B0-FF78-4563-8D84-A1F9BC7EC167}"/>
                </a:ext>
              </a:extLst>
            </xdr:cNvPr>
            <xdr:cNvPicPr/>
          </xdr:nvPicPr>
          <xdr:blipFill>
            <a:blip xmlns:r="http://schemas.openxmlformats.org/officeDocument/2006/relationships" r:embed="rId3"/>
            <a:stretch>
              <a:fillRect/>
            </a:stretch>
          </xdr:blipFill>
          <xdr:spPr>
            <a:xfrm>
              <a:off x="11937960" y="13334903"/>
              <a:ext cx="18000" cy="18000"/>
            </a:xfrm>
            <a:prstGeom prst="rect">
              <a:avLst/>
            </a:prstGeom>
          </xdr:spPr>
        </xdr:pic>
      </mc:Fallback>
    </mc:AlternateContent>
    <xdr:clientData/>
  </xdr:twoCellAnchor>
  <xdr:twoCellAnchor editAs="oneCell">
    <xdr:from>
      <xdr:col>14</xdr:col>
      <xdr:colOff>534706</xdr:colOff>
      <xdr:row>77</xdr:row>
      <xdr:rowOff>135706</xdr:rowOff>
    </xdr:from>
    <xdr:to>
      <xdr:col>14</xdr:col>
      <xdr:colOff>535066</xdr:colOff>
      <xdr:row>77</xdr:row>
      <xdr:rowOff>136066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7" name="Ink 26">
              <a:extLst>
                <a:ext uri="{FF2B5EF4-FFF2-40B4-BE49-F238E27FC236}">
                  <a16:creationId xmlns:a16="http://schemas.microsoft.com/office/drawing/2014/main" id="{00000000-0008-0000-1400-00001B000000}"/>
                </a:ext>
              </a:extLst>
            </xdr14:cNvPr>
            <xdr14:cNvContentPartPr/>
          </xdr14:nvContentPartPr>
          <xdr14:nvPr macro=""/>
          <xdr14:xfrm>
            <a:off x="11356920" y="13643063"/>
            <a:ext cx="360" cy="360"/>
          </xdr14:xfrm>
        </xdr:contentPart>
      </mc:Choice>
      <mc:Fallback xmlns="">
        <xdr:pic>
          <xdr:nvPicPr>
            <xdr:cNvPr id="62" name="Ink 61">
              <a:extLst>
                <a:ext uri="{FF2B5EF4-FFF2-40B4-BE49-F238E27FC236}">
                  <a16:creationId xmlns:a16="http://schemas.microsoft.com/office/drawing/2014/main" id="{C0411D02-D9B6-4602-828F-30B72217B05D}"/>
                </a:ext>
              </a:extLst>
            </xdr:cNvPr>
            <xdr:cNvPicPr/>
          </xdr:nvPicPr>
          <xdr:blipFill>
            <a:blip xmlns:r="http://schemas.openxmlformats.org/officeDocument/2006/relationships" r:embed="rId3"/>
            <a:stretch>
              <a:fillRect/>
            </a:stretch>
          </xdr:blipFill>
          <xdr:spPr>
            <a:xfrm>
              <a:off x="11348280" y="13634063"/>
              <a:ext cx="18000" cy="18000"/>
            </a:xfrm>
            <a:prstGeom prst="rect">
              <a:avLst/>
            </a:prstGeom>
          </xdr:spPr>
        </xdr:pic>
      </mc:Fallback>
    </mc:AlternateContent>
    <xdr:clientData/>
  </xdr:twoCellAnchor>
  <xdr:twoCellAnchor editAs="oneCell">
    <xdr:from>
      <xdr:col>1</xdr:col>
      <xdr:colOff>2024530</xdr:colOff>
      <xdr:row>78</xdr:row>
      <xdr:rowOff>138111</xdr:rowOff>
    </xdr:from>
    <xdr:to>
      <xdr:col>5</xdr:col>
      <xdr:colOff>261471</xdr:colOff>
      <xdr:row>99</xdr:row>
      <xdr:rowOff>113414</xdr:rowOff>
    </xdr:to>
    <xdr:pic>
      <xdr:nvPicPr>
        <xdr:cNvPr id="28" name="Picture 27">
          <a:extLst>
            <a:ext uri="{FF2B5EF4-FFF2-40B4-BE49-F238E27FC236}">
              <a16:creationId xmlns:a16="http://schemas.microsoft.com/office/drawing/2014/main" id="{00000000-0008-0000-1400-00001C000000}"/>
            </a:ext>
          </a:extLst>
        </xdr:cNvPr>
        <xdr:cNvPicPr>
          <a:picLocks noChangeAspect="1"/>
        </xdr:cNvPicPr>
      </xdr:nvPicPr>
      <xdr:blipFill>
        <a:blip xmlns:r="http://schemas.openxmlformats.org/officeDocument/2006/relationships" r:embed="rId10"/>
        <a:stretch>
          <a:fillRect/>
        </a:stretch>
      </xdr:blipFill>
      <xdr:spPr>
        <a:xfrm>
          <a:off x="2265830" y="13708061"/>
          <a:ext cx="2713691" cy="3442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95</xdr:col>
      <xdr:colOff>670034</xdr:colOff>
      <xdr:row>6</xdr:row>
      <xdr:rowOff>162994</xdr:rowOff>
    </xdr:from>
    <xdr:to>
      <xdr:col>96</xdr:col>
      <xdr:colOff>0</xdr:colOff>
      <xdr:row>6</xdr:row>
      <xdr:rowOff>163354</xdr:rowOff>
    </xdr:to>
    <xdr:pic>
      <xdr:nvPicPr>
        <xdr:cNvPr id="13" name="Ink 12">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1"/>
        <a:stretch>
          <a:fillRect/>
        </a:stretch>
      </xdr:blipFill>
      <xdr:spPr>
        <a:xfrm>
          <a:off x="9990360" y="1079640"/>
          <a:ext cx="18000" cy="18000"/>
        </a:xfrm>
        <a:prstGeom prst="rect">
          <a:avLst/>
        </a:prstGeom>
      </xdr:spPr>
    </xdr:pic>
    <xdr:clientData/>
  </xdr:twoCellAnchor>
  <xdr:oneCellAnchor>
    <xdr:from>
      <xdr:col>114</xdr:col>
      <xdr:colOff>0</xdr:colOff>
      <xdr:row>6</xdr:row>
      <xdr:rowOff>162994</xdr:rowOff>
    </xdr:from>
    <xdr:ext cx="0" cy="360"/>
    <xdr:pic>
      <xdr:nvPicPr>
        <xdr:cNvPr id="3" name="Ink 1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a:fillRect/>
        </a:stretch>
      </xdr:blipFill>
      <xdr:spPr>
        <a:xfrm>
          <a:off x="72420238" y="1463232"/>
          <a:ext cx="0" cy="360"/>
        </a:xfrm>
        <a:prstGeom prst="rect">
          <a:avLst/>
        </a:prstGeom>
      </xdr:spPr>
    </xdr:pic>
    <xdr:clientData/>
  </xdr:oneCellAnchor>
  <xdr:oneCellAnchor>
    <xdr:from>
      <xdr:col>102</xdr:col>
      <xdr:colOff>0</xdr:colOff>
      <xdr:row>6</xdr:row>
      <xdr:rowOff>162994</xdr:rowOff>
    </xdr:from>
    <xdr:ext cx="0" cy="360"/>
    <xdr:pic>
      <xdr:nvPicPr>
        <xdr:cNvPr id="4" name="Ink 12">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a:stretch>
          <a:fillRect/>
        </a:stretch>
      </xdr:blipFill>
      <xdr:spPr>
        <a:xfrm>
          <a:off x="76910595" y="1463232"/>
          <a:ext cx="0" cy="360"/>
        </a:xfrm>
        <a:prstGeom prst="rect">
          <a:avLst/>
        </a:prstGeom>
      </xdr:spPr>
    </xdr:pic>
    <xdr:clientData/>
  </xdr:oneCellAnchor>
  <xdr:oneCellAnchor>
    <xdr:from>
      <xdr:col>108</xdr:col>
      <xdr:colOff>0</xdr:colOff>
      <xdr:row>6</xdr:row>
      <xdr:rowOff>162994</xdr:rowOff>
    </xdr:from>
    <xdr:ext cx="0" cy="360"/>
    <xdr:pic>
      <xdr:nvPicPr>
        <xdr:cNvPr id="5" name="Ink 12">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a:stretch>
          <a:fillRect/>
        </a:stretch>
      </xdr:blipFill>
      <xdr:spPr>
        <a:xfrm>
          <a:off x="76910595" y="1463232"/>
          <a:ext cx="0" cy="360"/>
        </a:xfrm>
        <a:prstGeom prst="rect">
          <a:avLst/>
        </a:prstGeom>
      </xdr:spPr>
    </xdr:pic>
    <xdr:clientData/>
  </xdr:oneCellAnchor>
  <xdr:oneCellAnchor>
    <xdr:from>
      <xdr:col>1</xdr:col>
      <xdr:colOff>9525</xdr:colOff>
      <xdr:row>114</xdr:row>
      <xdr:rowOff>19050</xdr:rowOff>
    </xdr:from>
    <xdr:ext cx="1143000" cy="457200"/>
    <xdr:pic>
      <xdr:nvPicPr>
        <xdr:cNvPr id="19" name="image3.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xfrm>
          <a:off x="9525" y="13608050"/>
          <a:ext cx="1143000" cy="457200"/>
        </a:xfrm>
        <a:prstGeom prst="rect">
          <a:avLst/>
        </a:prstGeom>
        <a:noFill/>
      </xdr:spPr>
    </xdr:pic>
    <xdr:clientData fLocksWithSheet="0"/>
  </xdr:oneCellAnchor>
  <xdr:oneCellAnchor>
    <xdr:from>
      <xdr:col>1</xdr:col>
      <xdr:colOff>57150</xdr:colOff>
      <xdr:row>118</xdr:row>
      <xdr:rowOff>9525</xdr:rowOff>
    </xdr:from>
    <xdr:ext cx="1171575" cy="485775"/>
    <xdr:pic>
      <xdr:nvPicPr>
        <xdr:cNvPr id="20" name="image1.png" title="Image">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3" cstate="print"/>
        <a:stretch>
          <a:fillRect/>
        </a:stretch>
      </xdr:blipFill>
      <xdr:spPr>
        <a:xfrm>
          <a:off x="57150" y="14239875"/>
          <a:ext cx="1171575" cy="485775"/>
        </a:xfrm>
        <a:prstGeom prst="rect">
          <a:avLst/>
        </a:prstGeom>
        <a:noFill/>
      </xdr:spPr>
    </xdr:pic>
    <xdr:clientData fLocksWithSheet="0"/>
  </xdr:oneCellAnchor>
  <xdr:oneCellAnchor>
    <xdr:from>
      <xdr:col>1</xdr:col>
      <xdr:colOff>66675</xdr:colOff>
      <xdr:row>122</xdr:row>
      <xdr:rowOff>9525</xdr:rowOff>
    </xdr:from>
    <xdr:ext cx="1171575" cy="504825"/>
    <xdr:pic>
      <xdr:nvPicPr>
        <xdr:cNvPr id="21" name="image2.png" title="Image">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4" cstate="print"/>
        <a:stretch>
          <a:fillRect/>
        </a:stretch>
      </xdr:blipFill>
      <xdr:spPr>
        <a:xfrm>
          <a:off x="66675" y="14881225"/>
          <a:ext cx="1171575" cy="504825"/>
        </a:xfrm>
        <a:prstGeom prst="rect">
          <a:avLst/>
        </a:prstGeom>
        <a:noFill/>
      </xdr:spPr>
    </xdr:pic>
    <xdr:clientData fLocksWithSheet="0"/>
  </xdr:oneCellAnchor>
  <xdr:oneCellAnchor>
    <xdr:from>
      <xdr:col>1</xdr:col>
      <xdr:colOff>57150</xdr:colOff>
      <xdr:row>128</xdr:row>
      <xdr:rowOff>57150</xdr:rowOff>
    </xdr:from>
    <xdr:ext cx="1181100" cy="409575"/>
    <xdr:pic>
      <xdr:nvPicPr>
        <xdr:cNvPr id="22" name="image4.png" title="Image">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5" cstate="print"/>
        <a:stretch>
          <a:fillRect/>
        </a:stretch>
      </xdr:blipFill>
      <xdr:spPr>
        <a:xfrm>
          <a:off x="57150" y="15728950"/>
          <a:ext cx="1181100" cy="409575"/>
        </a:xfrm>
        <a:prstGeom prst="rect">
          <a:avLst/>
        </a:prstGeom>
        <a:noFill/>
      </xdr:spPr>
    </xdr:pic>
    <xdr:clientData fLocksWithSheet="0"/>
  </xdr:oneCellAnchor>
  <xdr:oneCellAnchor>
    <xdr:from>
      <xdr:col>1</xdr:col>
      <xdr:colOff>19050</xdr:colOff>
      <xdr:row>131</xdr:row>
      <xdr:rowOff>161925</xdr:rowOff>
    </xdr:from>
    <xdr:ext cx="1143000" cy="542925"/>
    <xdr:pic>
      <xdr:nvPicPr>
        <xdr:cNvPr id="23" name="image11.png" title="Image">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6" cstate="print"/>
        <a:stretch>
          <a:fillRect/>
        </a:stretch>
      </xdr:blipFill>
      <xdr:spPr>
        <a:xfrm>
          <a:off x="19050" y="16309975"/>
          <a:ext cx="1143000" cy="542925"/>
        </a:xfrm>
        <a:prstGeom prst="rect">
          <a:avLst/>
        </a:prstGeom>
        <a:noFill/>
      </xdr:spPr>
    </xdr:pic>
    <xdr:clientData fLocksWithSheet="0"/>
  </xdr:oneCellAnchor>
  <xdr:oneCellAnchor>
    <xdr:from>
      <xdr:col>1</xdr:col>
      <xdr:colOff>28575</xdr:colOff>
      <xdr:row>138</xdr:row>
      <xdr:rowOff>19050</xdr:rowOff>
    </xdr:from>
    <xdr:ext cx="1123950" cy="447675"/>
    <xdr:pic>
      <xdr:nvPicPr>
        <xdr:cNvPr id="24" name="image5.png" title="Image">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7" cstate="print"/>
        <a:stretch>
          <a:fillRect/>
        </a:stretch>
      </xdr:blipFill>
      <xdr:spPr>
        <a:xfrm>
          <a:off x="28575" y="17132300"/>
          <a:ext cx="1123950" cy="447675"/>
        </a:xfrm>
        <a:prstGeom prst="rect">
          <a:avLst/>
        </a:prstGeom>
        <a:noFill/>
      </xdr:spPr>
    </xdr:pic>
    <xdr:clientData fLocksWithSheet="0"/>
  </xdr:oneCellAnchor>
  <xdr:oneCellAnchor>
    <xdr:from>
      <xdr:col>1</xdr:col>
      <xdr:colOff>38100</xdr:colOff>
      <xdr:row>142</xdr:row>
      <xdr:rowOff>19050</xdr:rowOff>
    </xdr:from>
    <xdr:ext cx="1152525" cy="447675"/>
    <xdr:pic>
      <xdr:nvPicPr>
        <xdr:cNvPr id="25" name="image6.png" title="Image">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8" cstate="print"/>
        <a:stretch>
          <a:fillRect/>
        </a:stretch>
      </xdr:blipFill>
      <xdr:spPr>
        <a:xfrm>
          <a:off x="38100" y="17773650"/>
          <a:ext cx="1152525" cy="447675"/>
        </a:xfrm>
        <a:prstGeom prst="rect">
          <a:avLst/>
        </a:prstGeom>
        <a:noFill/>
      </xdr:spPr>
    </xdr:pic>
    <xdr:clientData fLocksWithSheet="0"/>
  </xdr:oneCellAnchor>
  <xdr:oneCellAnchor>
    <xdr:from>
      <xdr:col>1</xdr:col>
      <xdr:colOff>66675</xdr:colOff>
      <xdr:row>146</xdr:row>
      <xdr:rowOff>0</xdr:rowOff>
    </xdr:from>
    <xdr:ext cx="1171575" cy="504825"/>
    <xdr:pic>
      <xdr:nvPicPr>
        <xdr:cNvPr id="26" name="image7.png" title="Image">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9" cstate="print"/>
        <a:stretch>
          <a:fillRect/>
        </a:stretch>
      </xdr:blipFill>
      <xdr:spPr>
        <a:xfrm>
          <a:off x="66675" y="18395950"/>
          <a:ext cx="1171575" cy="504825"/>
        </a:xfrm>
        <a:prstGeom prst="rect">
          <a:avLst/>
        </a:prstGeom>
        <a:noFill/>
      </xdr:spPr>
    </xdr:pic>
    <xdr:clientData fLocksWithSheet="0"/>
  </xdr:oneCellAnchor>
  <xdr:oneCellAnchor>
    <xdr:from>
      <xdr:col>1</xdr:col>
      <xdr:colOff>47625</xdr:colOff>
      <xdr:row>151</xdr:row>
      <xdr:rowOff>19050</xdr:rowOff>
    </xdr:from>
    <xdr:ext cx="885825" cy="523875"/>
    <xdr:pic>
      <xdr:nvPicPr>
        <xdr:cNvPr id="27" name="image8.png" title="Image">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10" cstate="print"/>
        <a:stretch>
          <a:fillRect/>
        </a:stretch>
      </xdr:blipFill>
      <xdr:spPr>
        <a:xfrm>
          <a:off x="47625" y="19215100"/>
          <a:ext cx="885825" cy="523875"/>
        </a:xfrm>
        <a:prstGeom prst="rect">
          <a:avLst/>
        </a:prstGeom>
        <a:noFill/>
      </xdr:spPr>
    </xdr:pic>
    <xdr:clientData fLocksWithSheet="0"/>
  </xdr:oneCellAnchor>
  <xdr:oneCellAnchor>
    <xdr:from>
      <xdr:col>1</xdr:col>
      <xdr:colOff>38100</xdr:colOff>
      <xdr:row>154</xdr:row>
      <xdr:rowOff>190500</xdr:rowOff>
    </xdr:from>
    <xdr:ext cx="771525" cy="590550"/>
    <xdr:pic>
      <xdr:nvPicPr>
        <xdr:cNvPr id="28" name="image12.png" title="Image">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1" cstate="print"/>
        <a:stretch>
          <a:fillRect/>
        </a:stretch>
      </xdr:blipFill>
      <xdr:spPr>
        <a:xfrm>
          <a:off x="38100" y="19837400"/>
          <a:ext cx="771525" cy="590550"/>
        </a:xfrm>
        <a:prstGeom prst="rect">
          <a:avLst/>
        </a:prstGeom>
        <a:noFill/>
      </xdr:spPr>
    </xdr:pic>
    <xdr:clientData fLocksWithSheet="0"/>
  </xdr:oneCellAnchor>
  <xdr:oneCellAnchor>
    <xdr:from>
      <xdr:col>1</xdr:col>
      <xdr:colOff>152400</xdr:colOff>
      <xdr:row>159</xdr:row>
      <xdr:rowOff>28575</xdr:rowOff>
    </xdr:from>
    <xdr:ext cx="762000" cy="485775"/>
    <xdr:pic>
      <xdr:nvPicPr>
        <xdr:cNvPr id="29" name="image9.png" title="Image">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12" cstate="print"/>
        <a:stretch>
          <a:fillRect/>
        </a:stretch>
      </xdr:blipFill>
      <xdr:spPr>
        <a:xfrm>
          <a:off x="152400" y="20507325"/>
          <a:ext cx="762000" cy="485775"/>
        </a:xfrm>
        <a:prstGeom prst="rect">
          <a:avLst/>
        </a:prstGeom>
        <a:noFill/>
      </xdr:spPr>
    </xdr:pic>
    <xdr:clientData fLocksWithSheet="0"/>
  </xdr:oneCellAnchor>
  <xdr:oneCellAnchor>
    <xdr:from>
      <xdr:col>1</xdr:col>
      <xdr:colOff>28575</xdr:colOff>
      <xdr:row>162</xdr:row>
      <xdr:rowOff>161925</xdr:rowOff>
    </xdr:from>
    <xdr:ext cx="723900" cy="619125"/>
    <xdr:pic>
      <xdr:nvPicPr>
        <xdr:cNvPr id="30" name="image10.png" title="Image">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13" cstate="print"/>
        <a:stretch>
          <a:fillRect/>
        </a:stretch>
      </xdr:blipFill>
      <xdr:spPr>
        <a:xfrm>
          <a:off x="28575" y="21116925"/>
          <a:ext cx="723900" cy="619125"/>
        </a:xfrm>
        <a:prstGeom prst="rect">
          <a:avLst/>
        </a:prstGeom>
        <a:noFill/>
      </xdr:spPr>
    </xdr:pic>
    <xdr:clientData fLocksWithSheet="0"/>
  </xdr:oneCellAnchor>
  <xdr:oneCellAnchor>
    <xdr:from>
      <xdr:col>120</xdr:col>
      <xdr:colOff>0</xdr:colOff>
      <xdr:row>6</xdr:row>
      <xdr:rowOff>162994</xdr:rowOff>
    </xdr:from>
    <xdr:ext cx="0" cy="360"/>
    <xdr:pic>
      <xdr:nvPicPr>
        <xdr:cNvPr id="18" name="Ink 12">
          <a:extLst>
            <a:ext uri="{FF2B5EF4-FFF2-40B4-BE49-F238E27FC236}">
              <a16:creationId xmlns:a16="http://schemas.microsoft.com/office/drawing/2014/main" id="{00000000-0008-0000-0100-000012000000}"/>
            </a:ext>
          </a:extLst>
        </xdr:cNvPr>
        <xdr:cNvPicPr/>
      </xdr:nvPicPr>
      <xdr:blipFill>
        <a:blip xmlns:r="http://schemas.openxmlformats.org/officeDocument/2006/relationships" r:embed="rId1"/>
        <a:stretch>
          <a:fillRect/>
        </a:stretch>
      </xdr:blipFill>
      <xdr:spPr>
        <a:xfrm>
          <a:off x="85677375" y="1496494"/>
          <a:ext cx="0" cy="360"/>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50800</xdr:rowOff>
        </xdr:to>
        <xdr:sp macro="" textlink="">
          <xdr:nvSpPr>
            <xdr:cNvPr id="37889" name="Check Box 1" hidden="1">
              <a:extLst>
                <a:ext uri="{63B3BB69-23CF-44E3-9099-C40C66FF867C}">
                  <a14:compatExt spid="_x0000_s37889"/>
                </a:ext>
                <a:ext uri="{FF2B5EF4-FFF2-40B4-BE49-F238E27FC236}">
                  <a16:creationId xmlns:a16="http://schemas.microsoft.com/office/drawing/2014/main" id="{00000000-0008-0000-1500-000001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7890" name="Check Box 2" hidden="1">
              <a:extLst>
                <a:ext uri="{63B3BB69-23CF-44E3-9099-C40C66FF867C}">
                  <a14:compatExt spid="_x0000_s37890"/>
                </a:ext>
                <a:ext uri="{FF2B5EF4-FFF2-40B4-BE49-F238E27FC236}">
                  <a16:creationId xmlns:a16="http://schemas.microsoft.com/office/drawing/2014/main" id="{00000000-0008-0000-1500-000002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7891" name="Check Box 3" hidden="1">
              <a:extLst>
                <a:ext uri="{63B3BB69-23CF-44E3-9099-C40C66FF867C}">
                  <a14:compatExt spid="_x0000_s37891"/>
                </a:ext>
                <a:ext uri="{FF2B5EF4-FFF2-40B4-BE49-F238E27FC236}">
                  <a16:creationId xmlns:a16="http://schemas.microsoft.com/office/drawing/2014/main" id="{00000000-0008-0000-1500-000003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7892" name="Check Box 4" hidden="1">
              <a:extLst>
                <a:ext uri="{63B3BB69-23CF-44E3-9099-C40C66FF867C}">
                  <a14:compatExt spid="_x0000_s37892"/>
                </a:ext>
                <a:ext uri="{FF2B5EF4-FFF2-40B4-BE49-F238E27FC236}">
                  <a16:creationId xmlns:a16="http://schemas.microsoft.com/office/drawing/2014/main" id="{00000000-0008-0000-1500-000004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10</xdr:row>
          <xdr:rowOff>165100</xdr:rowOff>
        </xdr:from>
        <xdr:to>
          <xdr:col>2</xdr:col>
          <xdr:colOff>450850</xdr:colOff>
          <xdr:row>12</xdr:row>
          <xdr:rowOff>12700</xdr:rowOff>
        </xdr:to>
        <xdr:sp macro="" textlink="">
          <xdr:nvSpPr>
            <xdr:cNvPr id="37893" name="Check Box 5" hidden="1">
              <a:extLst>
                <a:ext uri="{63B3BB69-23CF-44E3-9099-C40C66FF867C}">
                  <a14:compatExt spid="_x0000_s37893"/>
                </a:ext>
                <a:ext uri="{FF2B5EF4-FFF2-40B4-BE49-F238E27FC236}">
                  <a16:creationId xmlns:a16="http://schemas.microsoft.com/office/drawing/2014/main" id="{00000000-0008-0000-1500-000005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10</xdr:row>
          <xdr:rowOff>184150</xdr:rowOff>
        </xdr:from>
        <xdr:to>
          <xdr:col>7</xdr:col>
          <xdr:colOff>419100</xdr:colOff>
          <xdr:row>12</xdr:row>
          <xdr:rowOff>38100</xdr:rowOff>
        </xdr:to>
        <xdr:sp macro="" textlink="">
          <xdr:nvSpPr>
            <xdr:cNvPr id="37894" name="Check Box 6" hidden="1">
              <a:extLst>
                <a:ext uri="{63B3BB69-23CF-44E3-9099-C40C66FF867C}">
                  <a14:compatExt spid="_x0000_s37894"/>
                </a:ext>
                <a:ext uri="{FF2B5EF4-FFF2-40B4-BE49-F238E27FC236}">
                  <a16:creationId xmlns:a16="http://schemas.microsoft.com/office/drawing/2014/main" id="{00000000-0008-0000-1500-000006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10</xdr:row>
          <xdr:rowOff>165100</xdr:rowOff>
        </xdr:from>
        <xdr:to>
          <xdr:col>5</xdr:col>
          <xdr:colOff>184150</xdr:colOff>
          <xdr:row>12</xdr:row>
          <xdr:rowOff>38100</xdr:rowOff>
        </xdr:to>
        <xdr:sp macro="" textlink="">
          <xdr:nvSpPr>
            <xdr:cNvPr id="37895" name="Check Box 7" hidden="1">
              <a:extLst>
                <a:ext uri="{63B3BB69-23CF-44E3-9099-C40C66FF867C}">
                  <a14:compatExt spid="_x0000_s37895"/>
                </a:ext>
                <a:ext uri="{FF2B5EF4-FFF2-40B4-BE49-F238E27FC236}">
                  <a16:creationId xmlns:a16="http://schemas.microsoft.com/office/drawing/2014/main" id="{00000000-0008-0000-1500-000007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38100</xdr:rowOff>
        </xdr:to>
        <xdr:sp macro="" textlink="">
          <xdr:nvSpPr>
            <xdr:cNvPr id="37896" name="Check Box 8" hidden="1">
              <a:extLst>
                <a:ext uri="{63B3BB69-23CF-44E3-9099-C40C66FF867C}">
                  <a14:compatExt spid="_x0000_s37896"/>
                </a:ext>
                <a:ext uri="{FF2B5EF4-FFF2-40B4-BE49-F238E27FC236}">
                  <a16:creationId xmlns:a16="http://schemas.microsoft.com/office/drawing/2014/main" id="{00000000-0008-0000-1500-000008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219807</xdr:colOff>
      <xdr:row>1</xdr:row>
      <xdr:rowOff>87923</xdr:rowOff>
    </xdr:from>
    <xdr:to>
      <xdr:col>1</xdr:col>
      <xdr:colOff>1709386</xdr:colOff>
      <xdr:row>4</xdr:row>
      <xdr:rowOff>87044</xdr:rowOff>
    </xdr:to>
    <xdr:pic>
      <xdr:nvPicPr>
        <xdr:cNvPr id="10" name="Picture 9">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807" y="259373"/>
          <a:ext cx="1730879" cy="5325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50800</xdr:rowOff>
        </xdr:to>
        <xdr:sp macro="" textlink="">
          <xdr:nvSpPr>
            <xdr:cNvPr id="37897" name="Check Box 9" hidden="1">
              <a:extLst>
                <a:ext uri="{63B3BB69-23CF-44E3-9099-C40C66FF867C}">
                  <a14:compatExt spid="_x0000_s37897"/>
                </a:ext>
                <a:ext uri="{FF2B5EF4-FFF2-40B4-BE49-F238E27FC236}">
                  <a16:creationId xmlns:a16="http://schemas.microsoft.com/office/drawing/2014/main" id="{00000000-0008-0000-1500-000009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38100</xdr:rowOff>
        </xdr:to>
        <xdr:sp macro="" textlink="">
          <xdr:nvSpPr>
            <xdr:cNvPr id="37898" name="Check Box 10" hidden="1">
              <a:extLst>
                <a:ext uri="{63B3BB69-23CF-44E3-9099-C40C66FF867C}">
                  <a14:compatExt spid="_x0000_s37898"/>
                </a:ext>
                <a:ext uri="{FF2B5EF4-FFF2-40B4-BE49-F238E27FC236}">
                  <a16:creationId xmlns:a16="http://schemas.microsoft.com/office/drawing/2014/main" id="{00000000-0008-0000-1500-00000A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31750</xdr:rowOff>
        </xdr:to>
        <xdr:sp macro="" textlink="">
          <xdr:nvSpPr>
            <xdr:cNvPr id="37899" name="Check Box 11" hidden="1">
              <a:extLst>
                <a:ext uri="{63B3BB69-23CF-44E3-9099-C40C66FF867C}">
                  <a14:compatExt spid="_x0000_s37899"/>
                </a:ext>
                <a:ext uri="{FF2B5EF4-FFF2-40B4-BE49-F238E27FC236}">
                  <a16:creationId xmlns:a16="http://schemas.microsoft.com/office/drawing/2014/main" id="{00000000-0008-0000-1500-00000B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31750</xdr:rowOff>
        </xdr:to>
        <xdr:sp macro="" textlink="">
          <xdr:nvSpPr>
            <xdr:cNvPr id="37900" name="Check Box 12" hidden="1">
              <a:extLst>
                <a:ext uri="{63B3BB69-23CF-44E3-9099-C40C66FF867C}">
                  <a14:compatExt spid="_x0000_s37900"/>
                </a:ext>
                <a:ext uri="{FF2B5EF4-FFF2-40B4-BE49-F238E27FC236}">
                  <a16:creationId xmlns:a16="http://schemas.microsoft.com/office/drawing/2014/main" id="{00000000-0008-0000-1500-00000C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50800</xdr:rowOff>
        </xdr:to>
        <xdr:sp macro="" textlink="">
          <xdr:nvSpPr>
            <xdr:cNvPr id="37901" name="Check Box 13" hidden="1">
              <a:extLst>
                <a:ext uri="{63B3BB69-23CF-44E3-9099-C40C66FF867C}">
                  <a14:compatExt spid="_x0000_s37901"/>
                </a:ext>
                <a:ext uri="{FF2B5EF4-FFF2-40B4-BE49-F238E27FC236}">
                  <a16:creationId xmlns:a16="http://schemas.microsoft.com/office/drawing/2014/main" id="{00000000-0008-0000-1500-00000D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7902" name="Check Box 14" hidden="1">
              <a:extLst>
                <a:ext uri="{63B3BB69-23CF-44E3-9099-C40C66FF867C}">
                  <a14:compatExt spid="_x0000_s37902"/>
                </a:ext>
                <a:ext uri="{FF2B5EF4-FFF2-40B4-BE49-F238E27FC236}">
                  <a16:creationId xmlns:a16="http://schemas.microsoft.com/office/drawing/2014/main" id="{00000000-0008-0000-1500-00000E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31750</xdr:rowOff>
        </xdr:to>
        <xdr:sp macro="" textlink="">
          <xdr:nvSpPr>
            <xdr:cNvPr id="37903" name="Check Box 15" hidden="1">
              <a:extLst>
                <a:ext uri="{63B3BB69-23CF-44E3-9099-C40C66FF867C}">
                  <a14:compatExt spid="_x0000_s37903"/>
                </a:ext>
                <a:ext uri="{FF2B5EF4-FFF2-40B4-BE49-F238E27FC236}">
                  <a16:creationId xmlns:a16="http://schemas.microsoft.com/office/drawing/2014/main" id="{00000000-0008-0000-1500-00000F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7904" name="Check Box 16" hidden="1">
              <a:extLst>
                <a:ext uri="{63B3BB69-23CF-44E3-9099-C40C66FF867C}">
                  <a14:compatExt spid="_x0000_s37904"/>
                </a:ext>
                <a:ext uri="{FF2B5EF4-FFF2-40B4-BE49-F238E27FC236}">
                  <a16:creationId xmlns:a16="http://schemas.microsoft.com/office/drawing/2014/main" id="{00000000-0008-0000-1500-000010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38100</xdr:rowOff>
        </xdr:to>
        <xdr:sp macro="" textlink="">
          <xdr:nvSpPr>
            <xdr:cNvPr id="37905" name="Check Box 17" hidden="1">
              <a:extLst>
                <a:ext uri="{63B3BB69-23CF-44E3-9099-C40C66FF867C}">
                  <a14:compatExt spid="_x0000_s37905"/>
                </a:ext>
                <a:ext uri="{FF2B5EF4-FFF2-40B4-BE49-F238E27FC236}">
                  <a16:creationId xmlns:a16="http://schemas.microsoft.com/office/drawing/2014/main" id="{00000000-0008-0000-1500-000011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73</xdr:row>
          <xdr:rowOff>0</xdr:rowOff>
        </xdr:from>
        <xdr:to>
          <xdr:col>4</xdr:col>
          <xdr:colOff>0</xdr:colOff>
          <xdr:row>74</xdr:row>
          <xdr:rowOff>31750</xdr:rowOff>
        </xdr:to>
        <xdr:sp macro="" textlink="">
          <xdr:nvSpPr>
            <xdr:cNvPr id="37906" name="Check Box 18" hidden="1">
              <a:extLst>
                <a:ext uri="{63B3BB69-23CF-44E3-9099-C40C66FF867C}">
                  <a14:compatExt spid="_x0000_s37906"/>
                </a:ext>
                <a:ext uri="{FF2B5EF4-FFF2-40B4-BE49-F238E27FC236}">
                  <a16:creationId xmlns:a16="http://schemas.microsoft.com/office/drawing/2014/main" id="{00000000-0008-0000-1500-000012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73</xdr:row>
          <xdr:rowOff>0</xdr:rowOff>
        </xdr:from>
        <xdr:to>
          <xdr:col>5</xdr:col>
          <xdr:colOff>0</xdr:colOff>
          <xdr:row>74</xdr:row>
          <xdr:rowOff>38100</xdr:rowOff>
        </xdr:to>
        <xdr:sp macro="" textlink="">
          <xdr:nvSpPr>
            <xdr:cNvPr id="37907" name="Check Box 19" hidden="1">
              <a:extLst>
                <a:ext uri="{63B3BB69-23CF-44E3-9099-C40C66FF867C}">
                  <a14:compatExt spid="_x0000_s37907"/>
                </a:ext>
                <a:ext uri="{FF2B5EF4-FFF2-40B4-BE49-F238E27FC236}">
                  <a16:creationId xmlns:a16="http://schemas.microsoft.com/office/drawing/2014/main" id="{00000000-0008-0000-1500-0000139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14</xdr:col>
      <xdr:colOff>1390426</xdr:colOff>
      <xdr:row>73</xdr:row>
      <xdr:rowOff>0</xdr:rowOff>
    </xdr:from>
    <xdr:to>
      <xdr:col>14</xdr:col>
      <xdr:colOff>1390786</xdr:colOff>
      <xdr:row>73</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2" name="Ink 21">
              <a:extLst>
                <a:ext uri="{FF2B5EF4-FFF2-40B4-BE49-F238E27FC236}">
                  <a16:creationId xmlns:a16="http://schemas.microsoft.com/office/drawing/2014/main" id="{00000000-0008-0000-1500-000016000000}"/>
                </a:ext>
              </a:extLst>
            </xdr14:cNvPr>
            <xdr14:cNvContentPartPr/>
          </xdr14:nvContentPartPr>
          <xdr14:nvPr macro=""/>
          <xdr14:xfrm>
            <a:off x="12212640" y="12324023"/>
            <a:ext cx="360" cy="360"/>
          </xdr14:xfrm>
        </xdr:contentPart>
      </mc:Choice>
      <mc:Fallback xmlns="">
        <xdr:pic>
          <xdr:nvPicPr>
            <xdr:cNvPr id="55" name="Ink 54">
              <a:extLst>
                <a:ext uri="{FF2B5EF4-FFF2-40B4-BE49-F238E27FC236}">
                  <a16:creationId xmlns:a16="http://schemas.microsoft.com/office/drawing/2014/main" id="{AAF6E720-DB5E-4AB0-BC74-91FF9EE70E27}"/>
                </a:ext>
              </a:extLst>
            </xdr:cNvPr>
            <xdr:cNvPicPr/>
          </xdr:nvPicPr>
          <xdr:blipFill>
            <a:blip xmlns:r="http://schemas.openxmlformats.org/officeDocument/2006/relationships" r:embed="rId3"/>
            <a:stretch>
              <a:fillRect/>
            </a:stretch>
          </xdr:blipFill>
          <xdr:spPr>
            <a:xfrm>
              <a:off x="12204000" y="12315023"/>
              <a:ext cx="18000" cy="18000"/>
            </a:xfrm>
            <a:prstGeom prst="rect">
              <a:avLst/>
            </a:prstGeom>
          </xdr:spPr>
        </xdr:pic>
      </mc:Fallback>
    </mc:AlternateContent>
    <xdr:clientData/>
  </xdr:twoCellAnchor>
  <xdr:twoCellAnchor editAs="oneCell">
    <xdr:from>
      <xdr:col>14</xdr:col>
      <xdr:colOff>1916386</xdr:colOff>
      <xdr:row>74</xdr:row>
      <xdr:rowOff>67923</xdr:rowOff>
    </xdr:from>
    <xdr:to>
      <xdr:col>14</xdr:col>
      <xdr:colOff>1916746</xdr:colOff>
      <xdr:row>74</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23" name="Ink 22">
              <a:extLst>
                <a:ext uri="{FF2B5EF4-FFF2-40B4-BE49-F238E27FC236}">
                  <a16:creationId xmlns:a16="http://schemas.microsoft.com/office/drawing/2014/main" id="{00000000-0008-0000-1500-000017000000}"/>
                </a:ext>
              </a:extLst>
            </xdr14:cNvPr>
            <xdr14:cNvContentPartPr/>
          </xdr14:nvContentPartPr>
          <xdr14:nvPr macro=""/>
          <xdr14:xfrm>
            <a:off x="12738600" y="13085423"/>
            <a:ext cx="360" cy="360"/>
          </xdr14:xfrm>
        </xdr:contentPart>
      </mc:Choice>
      <mc:Fallback xmlns="">
        <xdr:pic>
          <xdr:nvPicPr>
            <xdr:cNvPr id="56" name="Ink 55">
              <a:extLst>
                <a:ext uri="{FF2B5EF4-FFF2-40B4-BE49-F238E27FC236}">
                  <a16:creationId xmlns:a16="http://schemas.microsoft.com/office/drawing/2014/main" id="{D771F580-66E4-4A0E-B0C3-B5490F51F4DD}"/>
                </a:ext>
              </a:extLst>
            </xdr:cNvPr>
            <xdr:cNvPicPr/>
          </xdr:nvPicPr>
          <xdr:blipFill>
            <a:blip xmlns:r="http://schemas.openxmlformats.org/officeDocument/2006/relationships" r:embed="rId3"/>
            <a:stretch>
              <a:fillRect/>
            </a:stretch>
          </xdr:blipFill>
          <xdr:spPr>
            <a:xfrm>
              <a:off x="12729600" y="13076423"/>
              <a:ext cx="18000" cy="18000"/>
            </a:xfrm>
            <a:prstGeom prst="rect">
              <a:avLst/>
            </a:prstGeom>
          </xdr:spPr>
        </xdr:pic>
      </mc:Fallback>
    </mc:AlternateContent>
    <xdr:clientData/>
  </xdr:twoCellAnchor>
  <xdr:twoCellAnchor editAs="oneCell">
    <xdr:from>
      <xdr:col>14</xdr:col>
      <xdr:colOff>1190986</xdr:colOff>
      <xdr:row>74</xdr:row>
      <xdr:rowOff>67923</xdr:rowOff>
    </xdr:from>
    <xdr:to>
      <xdr:col>14</xdr:col>
      <xdr:colOff>1191346</xdr:colOff>
      <xdr:row>74</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4" name="Ink 23">
              <a:extLst>
                <a:ext uri="{FF2B5EF4-FFF2-40B4-BE49-F238E27FC236}">
                  <a16:creationId xmlns:a16="http://schemas.microsoft.com/office/drawing/2014/main" id="{00000000-0008-0000-1500-000018000000}"/>
                </a:ext>
              </a:extLst>
            </xdr14:cNvPr>
            <xdr14:cNvContentPartPr/>
          </xdr14:nvContentPartPr>
          <xdr14:nvPr macro=""/>
          <xdr14:xfrm>
            <a:off x="12013200" y="13085423"/>
            <a:ext cx="360" cy="360"/>
          </xdr14:xfrm>
        </xdr:contentPart>
      </mc:Choice>
      <mc:Fallback xmlns="">
        <xdr:pic>
          <xdr:nvPicPr>
            <xdr:cNvPr id="57" name="Ink 56">
              <a:extLst>
                <a:ext uri="{FF2B5EF4-FFF2-40B4-BE49-F238E27FC236}">
                  <a16:creationId xmlns:a16="http://schemas.microsoft.com/office/drawing/2014/main" id="{A31DD869-51CD-4452-BD19-E72BF7717FC3}"/>
                </a:ext>
              </a:extLst>
            </xdr:cNvPr>
            <xdr:cNvPicPr/>
          </xdr:nvPicPr>
          <xdr:blipFill>
            <a:blip xmlns:r="http://schemas.openxmlformats.org/officeDocument/2006/relationships" r:embed="rId3"/>
            <a:stretch>
              <a:fillRect/>
            </a:stretch>
          </xdr:blipFill>
          <xdr:spPr>
            <a:xfrm>
              <a:off x="12004200" y="13076423"/>
              <a:ext cx="18000" cy="18000"/>
            </a:xfrm>
            <a:prstGeom prst="rect">
              <a:avLst/>
            </a:prstGeom>
          </xdr:spPr>
        </xdr:pic>
      </mc:Fallback>
    </mc:AlternateContent>
    <xdr:clientData/>
  </xdr:twoCellAnchor>
  <xdr:twoCellAnchor editAs="oneCell">
    <xdr:from>
      <xdr:col>14</xdr:col>
      <xdr:colOff>1260466</xdr:colOff>
      <xdr:row>73</xdr:row>
      <xdr:rowOff>162520</xdr:rowOff>
    </xdr:from>
    <xdr:to>
      <xdr:col>14</xdr:col>
      <xdr:colOff>1270186</xdr:colOff>
      <xdr:row>73</xdr:row>
      <xdr:rowOff>162880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5" name="Ink 24">
              <a:extLst>
                <a:ext uri="{FF2B5EF4-FFF2-40B4-BE49-F238E27FC236}">
                  <a16:creationId xmlns:a16="http://schemas.microsoft.com/office/drawing/2014/main" id="{00000000-0008-0000-1500-000019000000}"/>
                </a:ext>
              </a:extLst>
            </xdr14:cNvPr>
            <xdr14:cNvContentPartPr/>
          </xdr14:nvContentPartPr>
          <xdr14:nvPr macro=""/>
          <xdr14:xfrm>
            <a:off x="12082680" y="13007663"/>
            <a:ext cx="9720" cy="360"/>
          </xdr14:xfrm>
        </xdr:contentPart>
      </mc:Choice>
      <mc:Fallback xmlns="">
        <xdr:pic>
          <xdr:nvPicPr>
            <xdr:cNvPr id="60" name="Ink 59">
              <a:extLst>
                <a:ext uri="{FF2B5EF4-FFF2-40B4-BE49-F238E27FC236}">
                  <a16:creationId xmlns:a16="http://schemas.microsoft.com/office/drawing/2014/main" id="{1B32C097-0494-4089-A5F1-C345B822D687}"/>
                </a:ext>
              </a:extLst>
            </xdr:cNvPr>
            <xdr:cNvPicPr/>
          </xdr:nvPicPr>
          <xdr:blipFill>
            <a:blip xmlns:r="http://schemas.openxmlformats.org/officeDocument/2006/relationships" r:embed="rId7"/>
            <a:stretch>
              <a:fillRect/>
            </a:stretch>
          </xdr:blipFill>
          <xdr:spPr>
            <a:xfrm>
              <a:off x="12074040" y="12999023"/>
              <a:ext cx="27360" cy="18000"/>
            </a:xfrm>
            <a:prstGeom prst="rect">
              <a:avLst/>
            </a:prstGeom>
          </xdr:spPr>
        </xdr:pic>
      </mc:Fallback>
    </mc:AlternateContent>
    <xdr:clientData/>
  </xdr:twoCellAnchor>
  <xdr:twoCellAnchor editAs="oneCell">
    <xdr:from>
      <xdr:col>14</xdr:col>
      <xdr:colOff>1124746</xdr:colOff>
      <xdr:row>75</xdr:row>
      <xdr:rowOff>162757</xdr:rowOff>
    </xdr:from>
    <xdr:to>
      <xdr:col>14</xdr:col>
      <xdr:colOff>1125106</xdr:colOff>
      <xdr:row>76</xdr:row>
      <xdr:rowOff>1479</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6" name="Ink 25">
              <a:extLst>
                <a:ext uri="{FF2B5EF4-FFF2-40B4-BE49-F238E27FC236}">
                  <a16:creationId xmlns:a16="http://schemas.microsoft.com/office/drawing/2014/main" id="{00000000-0008-0000-1500-00001A000000}"/>
                </a:ext>
              </a:extLst>
            </xdr14:cNvPr>
            <xdr14:cNvContentPartPr/>
          </xdr14:nvContentPartPr>
          <xdr14:nvPr macro=""/>
          <xdr14:xfrm>
            <a:off x="11946960" y="13343543"/>
            <a:ext cx="360" cy="360"/>
          </xdr14:xfrm>
        </xdr:contentPart>
      </mc:Choice>
      <mc:Fallback xmlns="">
        <xdr:pic>
          <xdr:nvPicPr>
            <xdr:cNvPr id="61" name="Ink 60">
              <a:extLst>
                <a:ext uri="{FF2B5EF4-FFF2-40B4-BE49-F238E27FC236}">
                  <a16:creationId xmlns:a16="http://schemas.microsoft.com/office/drawing/2014/main" id="{5E2258B0-FF78-4563-8D84-A1F9BC7EC167}"/>
                </a:ext>
              </a:extLst>
            </xdr:cNvPr>
            <xdr:cNvPicPr/>
          </xdr:nvPicPr>
          <xdr:blipFill>
            <a:blip xmlns:r="http://schemas.openxmlformats.org/officeDocument/2006/relationships" r:embed="rId3"/>
            <a:stretch>
              <a:fillRect/>
            </a:stretch>
          </xdr:blipFill>
          <xdr:spPr>
            <a:xfrm>
              <a:off x="11937960" y="13334903"/>
              <a:ext cx="18000" cy="18000"/>
            </a:xfrm>
            <a:prstGeom prst="rect">
              <a:avLst/>
            </a:prstGeom>
          </xdr:spPr>
        </xdr:pic>
      </mc:Fallback>
    </mc:AlternateContent>
    <xdr:clientData/>
  </xdr:twoCellAnchor>
  <xdr:twoCellAnchor editAs="oneCell">
    <xdr:from>
      <xdr:col>14</xdr:col>
      <xdr:colOff>534706</xdr:colOff>
      <xdr:row>77</xdr:row>
      <xdr:rowOff>135706</xdr:rowOff>
    </xdr:from>
    <xdr:to>
      <xdr:col>14</xdr:col>
      <xdr:colOff>535066</xdr:colOff>
      <xdr:row>77</xdr:row>
      <xdr:rowOff>136066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7" name="Ink 26">
              <a:extLst>
                <a:ext uri="{FF2B5EF4-FFF2-40B4-BE49-F238E27FC236}">
                  <a16:creationId xmlns:a16="http://schemas.microsoft.com/office/drawing/2014/main" id="{00000000-0008-0000-1500-00001B000000}"/>
                </a:ext>
              </a:extLst>
            </xdr14:cNvPr>
            <xdr14:cNvContentPartPr/>
          </xdr14:nvContentPartPr>
          <xdr14:nvPr macro=""/>
          <xdr14:xfrm>
            <a:off x="11356920" y="13643063"/>
            <a:ext cx="360" cy="360"/>
          </xdr14:xfrm>
        </xdr:contentPart>
      </mc:Choice>
      <mc:Fallback xmlns="">
        <xdr:pic>
          <xdr:nvPicPr>
            <xdr:cNvPr id="62" name="Ink 61">
              <a:extLst>
                <a:ext uri="{FF2B5EF4-FFF2-40B4-BE49-F238E27FC236}">
                  <a16:creationId xmlns:a16="http://schemas.microsoft.com/office/drawing/2014/main" id="{C0411D02-D9B6-4602-828F-30B72217B05D}"/>
                </a:ext>
              </a:extLst>
            </xdr:cNvPr>
            <xdr:cNvPicPr/>
          </xdr:nvPicPr>
          <xdr:blipFill>
            <a:blip xmlns:r="http://schemas.openxmlformats.org/officeDocument/2006/relationships" r:embed="rId3"/>
            <a:stretch>
              <a:fillRect/>
            </a:stretch>
          </xdr:blipFill>
          <xdr:spPr>
            <a:xfrm>
              <a:off x="11348280" y="13634063"/>
              <a:ext cx="18000" cy="18000"/>
            </a:xfrm>
            <a:prstGeom prst="rect">
              <a:avLst/>
            </a:prstGeom>
          </xdr:spPr>
        </xdr:pic>
      </mc:Fallback>
    </mc:AlternateContent>
    <xdr:clientData/>
  </xdr:twoCellAnchor>
  <xdr:twoCellAnchor editAs="oneCell">
    <xdr:from>
      <xdr:col>1</xdr:col>
      <xdr:colOff>2024530</xdr:colOff>
      <xdr:row>78</xdr:row>
      <xdr:rowOff>138111</xdr:rowOff>
    </xdr:from>
    <xdr:to>
      <xdr:col>5</xdr:col>
      <xdr:colOff>261471</xdr:colOff>
      <xdr:row>99</xdr:row>
      <xdr:rowOff>113414</xdr:rowOff>
    </xdr:to>
    <xdr:pic>
      <xdr:nvPicPr>
        <xdr:cNvPr id="28" name="Picture 27">
          <a:extLst>
            <a:ext uri="{FF2B5EF4-FFF2-40B4-BE49-F238E27FC236}">
              <a16:creationId xmlns:a16="http://schemas.microsoft.com/office/drawing/2014/main" id="{00000000-0008-0000-1500-00001C000000}"/>
            </a:ext>
          </a:extLst>
        </xdr:cNvPr>
        <xdr:cNvPicPr>
          <a:picLocks noChangeAspect="1"/>
        </xdr:cNvPicPr>
      </xdr:nvPicPr>
      <xdr:blipFill>
        <a:blip xmlns:r="http://schemas.openxmlformats.org/officeDocument/2006/relationships" r:embed="rId10"/>
        <a:stretch>
          <a:fillRect/>
        </a:stretch>
      </xdr:blipFill>
      <xdr:spPr>
        <a:xfrm>
          <a:off x="2265830" y="13708061"/>
          <a:ext cx="2713691" cy="34424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260350</xdr:colOff>
          <xdr:row>74</xdr:row>
          <xdr:rowOff>146050</xdr:rowOff>
        </xdr:from>
        <xdr:to>
          <xdr:col>4</xdr:col>
          <xdr:colOff>0</xdr:colOff>
          <xdr:row>76</xdr:row>
          <xdr:rowOff>38100</xdr:rowOff>
        </xdr:to>
        <xdr:sp macro="" textlink="">
          <xdr:nvSpPr>
            <xdr:cNvPr id="38913" name="Check Box 1" hidden="1">
              <a:extLst>
                <a:ext uri="{63B3BB69-23CF-44E3-9099-C40C66FF867C}">
                  <a14:compatExt spid="_x0000_s38913"/>
                </a:ext>
                <a:ext uri="{FF2B5EF4-FFF2-40B4-BE49-F238E27FC236}">
                  <a16:creationId xmlns:a16="http://schemas.microsoft.com/office/drawing/2014/main" id="{00000000-0008-0000-1600-000001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79</xdr:row>
          <xdr:rowOff>0</xdr:rowOff>
        </xdr:from>
        <xdr:to>
          <xdr:col>4</xdr:col>
          <xdr:colOff>0</xdr:colOff>
          <xdr:row>80</xdr:row>
          <xdr:rowOff>25400</xdr:rowOff>
        </xdr:to>
        <xdr:sp macro="" textlink="">
          <xdr:nvSpPr>
            <xdr:cNvPr id="38914" name="Check Box 2" hidden="1">
              <a:extLst>
                <a:ext uri="{63B3BB69-23CF-44E3-9099-C40C66FF867C}">
                  <a14:compatExt spid="_x0000_s38914"/>
                </a:ext>
                <a:ext uri="{FF2B5EF4-FFF2-40B4-BE49-F238E27FC236}">
                  <a16:creationId xmlns:a16="http://schemas.microsoft.com/office/drawing/2014/main" id="{00000000-0008-0000-1600-000002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77</xdr:row>
          <xdr:rowOff>146050</xdr:rowOff>
        </xdr:from>
        <xdr:to>
          <xdr:col>4</xdr:col>
          <xdr:colOff>0</xdr:colOff>
          <xdr:row>79</xdr:row>
          <xdr:rowOff>12700</xdr:rowOff>
        </xdr:to>
        <xdr:sp macro="" textlink="">
          <xdr:nvSpPr>
            <xdr:cNvPr id="38915" name="Check Box 3" hidden="1">
              <a:extLst>
                <a:ext uri="{63B3BB69-23CF-44E3-9099-C40C66FF867C}">
                  <a14:compatExt spid="_x0000_s38915"/>
                </a:ext>
                <a:ext uri="{FF2B5EF4-FFF2-40B4-BE49-F238E27FC236}">
                  <a16:creationId xmlns:a16="http://schemas.microsoft.com/office/drawing/2014/main" id="{00000000-0008-0000-1600-000003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76</xdr:row>
          <xdr:rowOff>146050</xdr:rowOff>
        </xdr:from>
        <xdr:to>
          <xdr:col>4</xdr:col>
          <xdr:colOff>0</xdr:colOff>
          <xdr:row>78</xdr:row>
          <xdr:rowOff>12700</xdr:rowOff>
        </xdr:to>
        <xdr:sp macro="" textlink="">
          <xdr:nvSpPr>
            <xdr:cNvPr id="38916" name="Check Box 4" hidden="1">
              <a:extLst>
                <a:ext uri="{63B3BB69-23CF-44E3-9099-C40C66FF867C}">
                  <a14:compatExt spid="_x0000_s38916"/>
                </a:ext>
                <a:ext uri="{FF2B5EF4-FFF2-40B4-BE49-F238E27FC236}">
                  <a16:creationId xmlns:a16="http://schemas.microsoft.com/office/drawing/2014/main" id="{00000000-0008-0000-1600-000004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10</xdr:row>
          <xdr:rowOff>165100</xdr:rowOff>
        </xdr:from>
        <xdr:to>
          <xdr:col>2</xdr:col>
          <xdr:colOff>450850</xdr:colOff>
          <xdr:row>12</xdr:row>
          <xdr:rowOff>12700</xdr:rowOff>
        </xdr:to>
        <xdr:sp macro="" textlink="">
          <xdr:nvSpPr>
            <xdr:cNvPr id="38917" name="Check Box 5" hidden="1">
              <a:extLst>
                <a:ext uri="{63B3BB69-23CF-44E3-9099-C40C66FF867C}">
                  <a14:compatExt spid="_x0000_s38917"/>
                </a:ext>
                <a:ext uri="{FF2B5EF4-FFF2-40B4-BE49-F238E27FC236}">
                  <a16:creationId xmlns:a16="http://schemas.microsoft.com/office/drawing/2014/main" id="{00000000-0008-0000-1600-000005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10</xdr:row>
          <xdr:rowOff>184150</xdr:rowOff>
        </xdr:from>
        <xdr:to>
          <xdr:col>7</xdr:col>
          <xdr:colOff>419100</xdr:colOff>
          <xdr:row>12</xdr:row>
          <xdr:rowOff>38100</xdr:rowOff>
        </xdr:to>
        <xdr:sp macro="" textlink="">
          <xdr:nvSpPr>
            <xdr:cNvPr id="38918" name="Check Box 6" hidden="1">
              <a:extLst>
                <a:ext uri="{63B3BB69-23CF-44E3-9099-C40C66FF867C}">
                  <a14:compatExt spid="_x0000_s38918"/>
                </a:ext>
                <a:ext uri="{FF2B5EF4-FFF2-40B4-BE49-F238E27FC236}">
                  <a16:creationId xmlns:a16="http://schemas.microsoft.com/office/drawing/2014/main" id="{00000000-0008-0000-1600-000006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10</xdr:row>
          <xdr:rowOff>165100</xdr:rowOff>
        </xdr:from>
        <xdr:to>
          <xdr:col>5</xdr:col>
          <xdr:colOff>146050</xdr:colOff>
          <xdr:row>12</xdr:row>
          <xdr:rowOff>38100</xdr:rowOff>
        </xdr:to>
        <xdr:sp macro="" textlink="">
          <xdr:nvSpPr>
            <xdr:cNvPr id="38919" name="Check Box 7" hidden="1">
              <a:extLst>
                <a:ext uri="{63B3BB69-23CF-44E3-9099-C40C66FF867C}">
                  <a14:compatExt spid="_x0000_s38919"/>
                </a:ext>
                <a:ext uri="{FF2B5EF4-FFF2-40B4-BE49-F238E27FC236}">
                  <a16:creationId xmlns:a16="http://schemas.microsoft.com/office/drawing/2014/main" id="{00000000-0008-0000-1600-000007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75</xdr:row>
          <xdr:rowOff>146050</xdr:rowOff>
        </xdr:from>
        <xdr:to>
          <xdr:col>4</xdr:col>
          <xdr:colOff>0</xdr:colOff>
          <xdr:row>77</xdr:row>
          <xdr:rowOff>38100</xdr:rowOff>
        </xdr:to>
        <xdr:sp macro="" textlink="">
          <xdr:nvSpPr>
            <xdr:cNvPr id="38920" name="Check Box 8" hidden="1">
              <a:extLst>
                <a:ext uri="{63B3BB69-23CF-44E3-9099-C40C66FF867C}">
                  <a14:compatExt spid="_x0000_s38920"/>
                </a:ext>
                <a:ext uri="{FF2B5EF4-FFF2-40B4-BE49-F238E27FC236}">
                  <a16:creationId xmlns:a16="http://schemas.microsoft.com/office/drawing/2014/main" id="{00000000-0008-0000-1600-000008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219807</xdr:colOff>
      <xdr:row>1</xdr:row>
      <xdr:rowOff>87923</xdr:rowOff>
    </xdr:from>
    <xdr:to>
      <xdr:col>1</xdr:col>
      <xdr:colOff>1709386</xdr:colOff>
      <xdr:row>4</xdr:row>
      <xdr:rowOff>87044</xdr:rowOff>
    </xdr:to>
    <xdr:pic>
      <xdr:nvPicPr>
        <xdr:cNvPr id="10" name="Picture 9">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807" y="259373"/>
          <a:ext cx="1730879" cy="5325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241300</xdr:colOff>
          <xdr:row>74</xdr:row>
          <xdr:rowOff>146050</xdr:rowOff>
        </xdr:from>
        <xdr:to>
          <xdr:col>4</xdr:col>
          <xdr:colOff>666750</xdr:colOff>
          <xdr:row>76</xdr:row>
          <xdr:rowOff>38100</xdr:rowOff>
        </xdr:to>
        <xdr:sp macro="" textlink="">
          <xdr:nvSpPr>
            <xdr:cNvPr id="38921" name="Check Box 9" hidden="1">
              <a:extLst>
                <a:ext uri="{63B3BB69-23CF-44E3-9099-C40C66FF867C}">
                  <a14:compatExt spid="_x0000_s38921"/>
                </a:ext>
                <a:ext uri="{FF2B5EF4-FFF2-40B4-BE49-F238E27FC236}">
                  <a16:creationId xmlns:a16="http://schemas.microsoft.com/office/drawing/2014/main" id="{00000000-0008-0000-1600-000009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79</xdr:row>
          <xdr:rowOff>0</xdr:rowOff>
        </xdr:from>
        <xdr:to>
          <xdr:col>4</xdr:col>
          <xdr:colOff>666750</xdr:colOff>
          <xdr:row>80</xdr:row>
          <xdr:rowOff>31750</xdr:rowOff>
        </xdr:to>
        <xdr:sp macro="" textlink="">
          <xdr:nvSpPr>
            <xdr:cNvPr id="38922" name="Check Box 10" hidden="1">
              <a:extLst>
                <a:ext uri="{63B3BB69-23CF-44E3-9099-C40C66FF867C}">
                  <a14:compatExt spid="_x0000_s38922"/>
                </a:ext>
                <a:ext uri="{FF2B5EF4-FFF2-40B4-BE49-F238E27FC236}">
                  <a16:creationId xmlns:a16="http://schemas.microsoft.com/office/drawing/2014/main" id="{00000000-0008-0000-1600-00000A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77</xdr:row>
          <xdr:rowOff>146050</xdr:rowOff>
        </xdr:from>
        <xdr:to>
          <xdr:col>4</xdr:col>
          <xdr:colOff>666750</xdr:colOff>
          <xdr:row>79</xdr:row>
          <xdr:rowOff>12700</xdr:rowOff>
        </xdr:to>
        <xdr:sp macro="" textlink="">
          <xdr:nvSpPr>
            <xdr:cNvPr id="38923" name="Check Box 11" hidden="1">
              <a:extLst>
                <a:ext uri="{63B3BB69-23CF-44E3-9099-C40C66FF867C}">
                  <a14:compatExt spid="_x0000_s38923"/>
                </a:ext>
                <a:ext uri="{FF2B5EF4-FFF2-40B4-BE49-F238E27FC236}">
                  <a16:creationId xmlns:a16="http://schemas.microsoft.com/office/drawing/2014/main" id="{00000000-0008-0000-1600-00000B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76</xdr:row>
          <xdr:rowOff>146050</xdr:rowOff>
        </xdr:from>
        <xdr:to>
          <xdr:col>4</xdr:col>
          <xdr:colOff>666750</xdr:colOff>
          <xdr:row>78</xdr:row>
          <xdr:rowOff>12700</xdr:rowOff>
        </xdr:to>
        <xdr:sp macro="" textlink="">
          <xdr:nvSpPr>
            <xdr:cNvPr id="38924" name="Check Box 12" hidden="1">
              <a:extLst>
                <a:ext uri="{63B3BB69-23CF-44E3-9099-C40C66FF867C}">
                  <a14:compatExt spid="_x0000_s38924"/>
                </a:ext>
                <a:ext uri="{FF2B5EF4-FFF2-40B4-BE49-F238E27FC236}">
                  <a16:creationId xmlns:a16="http://schemas.microsoft.com/office/drawing/2014/main" id="{00000000-0008-0000-1600-00000C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75</xdr:row>
          <xdr:rowOff>146050</xdr:rowOff>
        </xdr:from>
        <xdr:to>
          <xdr:col>4</xdr:col>
          <xdr:colOff>666750</xdr:colOff>
          <xdr:row>77</xdr:row>
          <xdr:rowOff>38100</xdr:rowOff>
        </xdr:to>
        <xdr:sp macro="" textlink="">
          <xdr:nvSpPr>
            <xdr:cNvPr id="38925" name="Check Box 13" hidden="1">
              <a:extLst>
                <a:ext uri="{63B3BB69-23CF-44E3-9099-C40C66FF867C}">
                  <a14:compatExt spid="_x0000_s38925"/>
                </a:ext>
                <a:ext uri="{FF2B5EF4-FFF2-40B4-BE49-F238E27FC236}">
                  <a16:creationId xmlns:a16="http://schemas.microsoft.com/office/drawing/2014/main" id="{00000000-0008-0000-1600-00000D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78</xdr:row>
          <xdr:rowOff>146050</xdr:rowOff>
        </xdr:from>
        <xdr:to>
          <xdr:col>4</xdr:col>
          <xdr:colOff>0</xdr:colOff>
          <xdr:row>80</xdr:row>
          <xdr:rowOff>12700</xdr:rowOff>
        </xdr:to>
        <xdr:sp macro="" textlink="">
          <xdr:nvSpPr>
            <xdr:cNvPr id="38926" name="Check Box 14" hidden="1">
              <a:extLst>
                <a:ext uri="{63B3BB69-23CF-44E3-9099-C40C66FF867C}">
                  <a14:compatExt spid="_x0000_s38926"/>
                </a:ext>
                <a:ext uri="{FF2B5EF4-FFF2-40B4-BE49-F238E27FC236}">
                  <a16:creationId xmlns:a16="http://schemas.microsoft.com/office/drawing/2014/main" id="{00000000-0008-0000-1600-00000E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78</xdr:row>
          <xdr:rowOff>146050</xdr:rowOff>
        </xdr:from>
        <xdr:to>
          <xdr:col>4</xdr:col>
          <xdr:colOff>666750</xdr:colOff>
          <xdr:row>80</xdr:row>
          <xdr:rowOff>12700</xdr:rowOff>
        </xdr:to>
        <xdr:sp macro="" textlink="">
          <xdr:nvSpPr>
            <xdr:cNvPr id="38927" name="Check Box 15" hidden="1">
              <a:extLst>
                <a:ext uri="{63B3BB69-23CF-44E3-9099-C40C66FF867C}">
                  <a14:compatExt spid="_x0000_s38927"/>
                </a:ext>
                <a:ext uri="{FF2B5EF4-FFF2-40B4-BE49-F238E27FC236}">
                  <a16:creationId xmlns:a16="http://schemas.microsoft.com/office/drawing/2014/main" id="{00000000-0008-0000-1600-00000F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79</xdr:row>
          <xdr:rowOff>152400</xdr:rowOff>
        </xdr:from>
        <xdr:to>
          <xdr:col>4</xdr:col>
          <xdr:colOff>0</xdr:colOff>
          <xdr:row>81</xdr:row>
          <xdr:rowOff>0</xdr:rowOff>
        </xdr:to>
        <xdr:sp macro="" textlink="">
          <xdr:nvSpPr>
            <xdr:cNvPr id="38928" name="Check Box 16" hidden="1">
              <a:extLst>
                <a:ext uri="{63B3BB69-23CF-44E3-9099-C40C66FF867C}">
                  <a14:compatExt spid="_x0000_s38928"/>
                </a:ext>
                <a:ext uri="{FF2B5EF4-FFF2-40B4-BE49-F238E27FC236}">
                  <a16:creationId xmlns:a16="http://schemas.microsoft.com/office/drawing/2014/main" id="{00000000-0008-0000-1600-000010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79</xdr:row>
          <xdr:rowOff>146050</xdr:rowOff>
        </xdr:from>
        <xdr:to>
          <xdr:col>4</xdr:col>
          <xdr:colOff>666750</xdr:colOff>
          <xdr:row>81</xdr:row>
          <xdr:rowOff>0</xdr:rowOff>
        </xdr:to>
        <xdr:sp macro="" textlink="">
          <xdr:nvSpPr>
            <xdr:cNvPr id="38929" name="Check Box 17" hidden="1">
              <a:extLst>
                <a:ext uri="{63B3BB69-23CF-44E3-9099-C40C66FF867C}">
                  <a14:compatExt spid="_x0000_s38929"/>
                </a:ext>
                <a:ext uri="{FF2B5EF4-FFF2-40B4-BE49-F238E27FC236}">
                  <a16:creationId xmlns:a16="http://schemas.microsoft.com/office/drawing/2014/main" id="{00000000-0008-0000-1600-000011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81</xdr:row>
          <xdr:rowOff>0</xdr:rowOff>
        </xdr:from>
        <xdr:to>
          <xdr:col>4</xdr:col>
          <xdr:colOff>0</xdr:colOff>
          <xdr:row>82</xdr:row>
          <xdr:rowOff>31750</xdr:rowOff>
        </xdr:to>
        <xdr:sp macro="" textlink="">
          <xdr:nvSpPr>
            <xdr:cNvPr id="38930" name="Check Box 18" hidden="1">
              <a:extLst>
                <a:ext uri="{63B3BB69-23CF-44E3-9099-C40C66FF867C}">
                  <a14:compatExt spid="_x0000_s38930"/>
                </a:ext>
                <a:ext uri="{FF2B5EF4-FFF2-40B4-BE49-F238E27FC236}">
                  <a16:creationId xmlns:a16="http://schemas.microsoft.com/office/drawing/2014/main" id="{00000000-0008-0000-1600-000012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81</xdr:row>
          <xdr:rowOff>0</xdr:rowOff>
        </xdr:from>
        <xdr:to>
          <xdr:col>4</xdr:col>
          <xdr:colOff>666750</xdr:colOff>
          <xdr:row>82</xdr:row>
          <xdr:rowOff>31750</xdr:rowOff>
        </xdr:to>
        <xdr:sp macro="" textlink="">
          <xdr:nvSpPr>
            <xdr:cNvPr id="38931" name="Check Box 19" hidden="1">
              <a:extLst>
                <a:ext uri="{63B3BB69-23CF-44E3-9099-C40C66FF867C}">
                  <a14:compatExt spid="_x0000_s38931"/>
                </a:ext>
                <a:ext uri="{FF2B5EF4-FFF2-40B4-BE49-F238E27FC236}">
                  <a16:creationId xmlns:a16="http://schemas.microsoft.com/office/drawing/2014/main" id="{00000000-0008-0000-1600-000013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14</xdr:col>
      <xdr:colOff>1390426</xdr:colOff>
      <xdr:row>79</xdr:row>
      <xdr:rowOff>23166</xdr:rowOff>
    </xdr:from>
    <xdr:to>
      <xdr:col>14</xdr:col>
      <xdr:colOff>1390786</xdr:colOff>
      <xdr:row>79</xdr:row>
      <xdr:rowOff>23526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2" name="Ink 21">
              <a:extLst>
                <a:ext uri="{FF2B5EF4-FFF2-40B4-BE49-F238E27FC236}">
                  <a16:creationId xmlns:a16="http://schemas.microsoft.com/office/drawing/2014/main" id="{00000000-0008-0000-1600-000016000000}"/>
                </a:ext>
              </a:extLst>
            </xdr14:cNvPr>
            <xdr14:cNvContentPartPr/>
          </xdr14:nvContentPartPr>
          <xdr14:nvPr macro=""/>
          <xdr14:xfrm>
            <a:off x="12212640" y="12324023"/>
            <a:ext cx="360" cy="360"/>
          </xdr14:xfrm>
        </xdr:contentPart>
      </mc:Choice>
      <mc:Fallback xmlns="">
        <xdr:pic>
          <xdr:nvPicPr>
            <xdr:cNvPr id="55" name="Ink 54">
              <a:extLst>
                <a:ext uri="{FF2B5EF4-FFF2-40B4-BE49-F238E27FC236}">
                  <a16:creationId xmlns:a16="http://schemas.microsoft.com/office/drawing/2014/main" id="{AAF6E720-DB5E-4AB0-BC74-91FF9EE70E27}"/>
                </a:ext>
              </a:extLst>
            </xdr:cNvPr>
            <xdr:cNvPicPr/>
          </xdr:nvPicPr>
          <xdr:blipFill>
            <a:blip xmlns:r="http://schemas.openxmlformats.org/officeDocument/2006/relationships" r:embed="rId3"/>
            <a:stretch>
              <a:fillRect/>
            </a:stretch>
          </xdr:blipFill>
          <xdr:spPr>
            <a:xfrm>
              <a:off x="12204000" y="12315023"/>
              <a:ext cx="18000" cy="18000"/>
            </a:xfrm>
            <a:prstGeom prst="rect">
              <a:avLst/>
            </a:prstGeom>
          </xdr:spPr>
        </xdr:pic>
      </mc:Fallback>
    </mc:AlternateContent>
    <xdr:clientData/>
  </xdr:twoCellAnchor>
  <xdr:twoCellAnchor editAs="oneCell">
    <xdr:from>
      <xdr:col>14</xdr:col>
      <xdr:colOff>1916386</xdr:colOff>
      <xdr:row>83</xdr:row>
      <xdr:rowOff>67923</xdr:rowOff>
    </xdr:from>
    <xdr:to>
      <xdr:col>14</xdr:col>
      <xdr:colOff>1916746</xdr:colOff>
      <xdr:row>83</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23" name="Ink 22">
              <a:extLst>
                <a:ext uri="{FF2B5EF4-FFF2-40B4-BE49-F238E27FC236}">
                  <a16:creationId xmlns:a16="http://schemas.microsoft.com/office/drawing/2014/main" id="{00000000-0008-0000-1600-000017000000}"/>
                </a:ext>
              </a:extLst>
            </xdr14:cNvPr>
            <xdr14:cNvContentPartPr/>
          </xdr14:nvContentPartPr>
          <xdr14:nvPr macro=""/>
          <xdr14:xfrm>
            <a:off x="12738600" y="13085423"/>
            <a:ext cx="360" cy="360"/>
          </xdr14:xfrm>
        </xdr:contentPart>
      </mc:Choice>
      <mc:Fallback xmlns="">
        <xdr:pic>
          <xdr:nvPicPr>
            <xdr:cNvPr id="56" name="Ink 55">
              <a:extLst>
                <a:ext uri="{FF2B5EF4-FFF2-40B4-BE49-F238E27FC236}">
                  <a16:creationId xmlns:a16="http://schemas.microsoft.com/office/drawing/2014/main" id="{D771F580-66E4-4A0E-B0C3-B5490F51F4DD}"/>
                </a:ext>
              </a:extLst>
            </xdr:cNvPr>
            <xdr:cNvPicPr/>
          </xdr:nvPicPr>
          <xdr:blipFill>
            <a:blip xmlns:r="http://schemas.openxmlformats.org/officeDocument/2006/relationships" r:embed="rId3"/>
            <a:stretch>
              <a:fillRect/>
            </a:stretch>
          </xdr:blipFill>
          <xdr:spPr>
            <a:xfrm>
              <a:off x="12729600" y="13076423"/>
              <a:ext cx="18000" cy="18000"/>
            </a:xfrm>
            <a:prstGeom prst="rect">
              <a:avLst/>
            </a:prstGeom>
          </xdr:spPr>
        </xdr:pic>
      </mc:Fallback>
    </mc:AlternateContent>
    <xdr:clientData/>
  </xdr:twoCellAnchor>
  <xdr:twoCellAnchor editAs="oneCell">
    <xdr:from>
      <xdr:col>14</xdr:col>
      <xdr:colOff>1190986</xdr:colOff>
      <xdr:row>83</xdr:row>
      <xdr:rowOff>67923</xdr:rowOff>
    </xdr:from>
    <xdr:to>
      <xdr:col>14</xdr:col>
      <xdr:colOff>1191346</xdr:colOff>
      <xdr:row>83</xdr:row>
      <xdr:rowOff>68283</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4" name="Ink 23">
              <a:extLst>
                <a:ext uri="{FF2B5EF4-FFF2-40B4-BE49-F238E27FC236}">
                  <a16:creationId xmlns:a16="http://schemas.microsoft.com/office/drawing/2014/main" id="{00000000-0008-0000-1600-000018000000}"/>
                </a:ext>
              </a:extLst>
            </xdr14:cNvPr>
            <xdr14:cNvContentPartPr/>
          </xdr14:nvContentPartPr>
          <xdr14:nvPr macro=""/>
          <xdr14:xfrm>
            <a:off x="12013200" y="13085423"/>
            <a:ext cx="360" cy="360"/>
          </xdr14:xfrm>
        </xdr:contentPart>
      </mc:Choice>
      <mc:Fallback xmlns="">
        <xdr:pic>
          <xdr:nvPicPr>
            <xdr:cNvPr id="57" name="Ink 56">
              <a:extLst>
                <a:ext uri="{FF2B5EF4-FFF2-40B4-BE49-F238E27FC236}">
                  <a16:creationId xmlns:a16="http://schemas.microsoft.com/office/drawing/2014/main" id="{A31DD869-51CD-4452-BD19-E72BF7717FC3}"/>
                </a:ext>
              </a:extLst>
            </xdr:cNvPr>
            <xdr:cNvPicPr/>
          </xdr:nvPicPr>
          <xdr:blipFill>
            <a:blip xmlns:r="http://schemas.openxmlformats.org/officeDocument/2006/relationships" r:embed="rId3"/>
            <a:stretch>
              <a:fillRect/>
            </a:stretch>
          </xdr:blipFill>
          <xdr:spPr>
            <a:xfrm>
              <a:off x="12004200" y="13076423"/>
              <a:ext cx="18000" cy="18000"/>
            </a:xfrm>
            <a:prstGeom prst="rect">
              <a:avLst/>
            </a:prstGeom>
          </xdr:spPr>
        </xdr:pic>
      </mc:Fallback>
    </mc:AlternateContent>
    <xdr:clientData/>
  </xdr:twoCellAnchor>
  <xdr:twoCellAnchor editAs="oneCell">
    <xdr:from>
      <xdr:col>14</xdr:col>
      <xdr:colOff>1260466</xdr:colOff>
      <xdr:row>82</xdr:row>
      <xdr:rowOff>162520</xdr:rowOff>
    </xdr:from>
    <xdr:to>
      <xdr:col>14</xdr:col>
      <xdr:colOff>1270186</xdr:colOff>
      <xdr:row>82</xdr:row>
      <xdr:rowOff>162880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5" name="Ink 24">
              <a:extLst>
                <a:ext uri="{FF2B5EF4-FFF2-40B4-BE49-F238E27FC236}">
                  <a16:creationId xmlns:a16="http://schemas.microsoft.com/office/drawing/2014/main" id="{00000000-0008-0000-1600-000019000000}"/>
                </a:ext>
              </a:extLst>
            </xdr14:cNvPr>
            <xdr14:cNvContentPartPr/>
          </xdr14:nvContentPartPr>
          <xdr14:nvPr macro=""/>
          <xdr14:xfrm>
            <a:off x="12082680" y="13007663"/>
            <a:ext cx="9720" cy="360"/>
          </xdr14:xfrm>
        </xdr:contentPart>
      </mc:Choice>
      <mc:Fallback xmlns="">
        <xdr:pic>
          <xdr:nvPicPr>
            <xdr:cNvPr id="60" name="Ink 59">
              <a:extLst>
                <a:ext uri="{FF2B5EF4-FFF2-40B4-BE49-F238E27FC236}">
                  <a16:creationId xmlns:a16="http://schemas.microsoft.com/office/drawing/2014/main" id="{1B32C097-0494-4089-A5F1-C345B822D687}"/>
                </a:ext>
              </a:extLst>
            </xdr:cNvPr>
            <xdr:cNvPicPr/>
          </xdr:nvPicPr>
          <xdr:blipFill>
            <a:blip xmlns:r="http://schemas.openxmlformats.org/officeDocument/2006/relationships" r:embed="rId7"/>
            <a:stretch>
              <a:fillRect/>
            </a:stretch>
          </xdr:blipFill>
          <xdr:spPr>
            <a:xfrm>
              <a:off x="12074040" y="12999023"/>
              <a:ext cx="27360" cy="18000"/>
            </a:xfrm>
            <a:prstGeom prst="rect">
              <a:avLst/>
            </a:prstGeom>
          </xdr:spPr>
        </xdr:pic>
      </mc:Fallback>
    </mc:AlternateContent>
    <xdr:clientData/>
  </xdr:twoCellAnchor>
  <xdr:twoCellAnchor editAs="oneCell">
    <xdr:from>
      <xdr:col>14</xdr:col>
      <xdr:colOff>1124746</xdr:colOff>
      <xdr:row>84</xdr:row>
      <xdr:rowOff>162757</xdr:rowOff>
    </xdr:from>
    <xdr:to>
      <xdr:col>14</xdr:col>
      <xdr:colOff>1125106</xdr:colOff>
      <xdr:row>85</xdr:row>
      <xdr:rowOff>1479</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6" name="Ink 25">
              <a:extLst>
                <a:ext uri="{FF2B5EF4-FFF2-40B4-BE49-F238E27FC236}">
                  <a16:creationId xmlns:a16="http://schemas.microsoft.com/office/drawing/2014/main" id="{00000000-0008-0000-1600-00001A000000}"/>
                </a:ext>
              </a:extLst>
            </xdr14:cNvPr>
            <xdr14:cNvContentPartPr/>
          </xdr14:nvContentPartPr>
          <xdr14:nvPr macro=""/>
          <xdr14:xfrm>
            <a:off x="11946960" y="13343543"/>
            <a:ext cx="360" cy="360"/>
          </xdr14:xfrm>
        </xdr:contentPart>
      </mc:Choice>
      <mc:Fallback xmlns="">
        <xdr:pic>
          <xdr:nvPicPr>
            <xdr:cNvPr id="61" name="Ink 60">
              <a:extLst>
                <a:ext uri="{FF2B5EF4-FFF2-40B4-BE49-F238E27FC236}">
                  <a16:creationId xmlns:a16="http://schemas.microsoft.com/office/drawing/2014/main" id="{5E2258B0-FF78-4563-8D84-A1F9BC7EC167}"/>
                </a:ext>
              </a:extLst>
            </xdr:cNvPr>
            <xdr:cNvPicPr/>
          </xdr:nvPicPr>
          <xdr:blipFill>
            <a:blip xmlns:r="http://schemas.openxmlformats.org/officeDocument/2006/relationships" r:embed="rId3"/>
            <a:stretch>
              <a:fillRect/>
            </a:stretch>
          </xdr:blipFill>
          <xdr:spPr>
            <a:xfrm>
              <a:off x="11937960" y="13334903"/>
              <a:ext cx="18000" cy="18000"/>
            </a:xfrm>
            <a:prstGeom prst="rect">
              <a:avLst/>
            </a:prstGeom>
          </xdr:spPr>
        </xdr:pic>
      </mc:Fallback>
    </mc:AlternateContent>
    <xdr:clientData/>
  </xdr:twoCellAnchor>
  <xdr:twoCellAnchor editAs="oneCell">
    <xdr:from>
      <xdr:col>14</xdr:col>
      <xdr:colOff>534706</xdr:colOff>
      <xdr:row>86</xdr:row>
      <xdr:rowOff>135706</xdr:rowOff>
    </xdr:from>
    <xdr:to>
      <xdr:col>14</xdr:col>
      <xdr:colOff>535066</xdr:colOff>
      <xdr:row>86</xdr:row>
      <xdr:rowOff>136066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7" name="Ink 26">
              <a:extLst>
                <a:ext uri="{FF2B5EF4-FFF2-40B4-BE49-F238E27FC236}">
                  <a16:creationId xmlns:a16="http://schemas.microsoft.com/office/drawing/2014/main" id="{00000000-0008-0000-1600-00001B000000}"/>
                </a:ext>
              </a:extLst>
            </xdr14:cNvPr>
            <xdr14:cNvContentPartPr/>
          </xdr14:nvContentPartPr>
          <xdr14:nvPr macro=""/>
          <xdr14:xfrm>
            <a:off x="11356920" y="13643063"/>
            <a:ext cx="360" cy="360"/>
          </xdr14:xfrm>
        </xdr:contentPart>
      </mc:Choice>
      <mc:Fallback xmlns="">
        <xdr:pic>
          <xdr:nvPicPr>
            <xdr:cNvPr id="62" name="Ink 61">
              <a:extLst>
                <a:ext uri="{FF2B5EF4-FFF2-40B4-BE49-F238E27FC236}">
                  <a16:creationId xmlns:a16="http://schemas.microsoft.com/office/drawing/2014/main" id="{C0411D02-D9B6-4602-828F-30B72217B05D}"/>
                </a:ext>
              </a:extLst>
            </xdr:cNvPr>
            <xdr:cNvPicPr/>
          </xdr:nvPicPr>
          <xdr:blipFill>
            <a:blip xmlns:r="http://schemas.openxmlformats.org/officeDocument/2006/relationships" r:embed="rId3"/>
            <a:stretch>
              <a:fillRect/>
            </a:stretch>
          </xdr:blipFill>
          <xdr:spPr>
            <a:xfrm>
              <a:off x="11348280" y="13634063"/>
              <a:ext cx="18000" cy="18000"/>
            </a:xfrm>
            <a:prstGeom prst="rect">
              <a:avLst/>
            </a:prstGeom>
          </xdr:spPr>
        </xdr:pic>
      </mc:Fallback>
    </mc:AlternateContent>
    <xdr:clientData/>
  </xdr:twoCellAnchor>
  <mc:AlternateContent xmlns:mc="http://schemas.openxmlformats.org/markup-compatibility/2006">
    <mc:Choice xmlns:a14="http://schemas.microsoft.com/office/drawing/2010/main" Requires="a14">
      <xdr:twoCellAnchor editAs="oneCell">
        <xdr:from>
          <xdr:col>3</xdr:col>
          <xdr:colOff>260350</xdr:colOff>
          <xdr:row>45</xdr:row>
          <xdr:rowOff>146050</xdr:rowOff>
        </xdr:from>
        <xdr:to>
          <xdr:col>4</xdr:col>
          <xdr:colOff>0</xdr:colOff>
          <xdr:row>47</xdr:row>
          <xdr:rowOff>12700</xdr:rowOff>
        </xdr:to>
        <xdr:sp macro="" textlink="">
          <xdr:nvSpPr>
            <xdr:cNvPr id="38932" name="Check Box 20" hidden="1">
              <a:extLst>
                <a:ext uri="{63B3BB69-23CF-44E3-9099-C40C66FF867C}">
                  <a14:compatExt spid="_x0000_s38932"/>
                </a:ext>
                <a:ext uri="{FF2B5EF4-FFF2-40B4-BE49-F238E27FC236}">
                  <a16:creationId xmlns:a16="http://schemas.microsoft.com/office/drawing/2014/main" id="{00000000-0008-0000-1600-000014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45</xdr:row>
          <xdr:rowOff>146050</xdr:rowOff>
        </xdr:from>
        <xdr:to>
          <xdr:col>4</xdr:col>
          <xdr:colOff>666750</xdr:colOff>
          <xdr:row>47</xdr:row>
          <xdr:rowOff>12700</xdr:rowOff>
        </xdr:to>
        <xdr:sp macro="" textlink="">
          <xdr:nvSpPr>
            <xdr:cNvPr id="38933" name="Check Box 21" hidden="1">
              <a:extLst>
                <a:ext uri="{63B3BB69-23CF-44E3-9099-C40C66FF867C}">
                  <a14:compatExt spid="_x0000_s38933"/>
                </a:ext>
                <a:ext uri="{FF2B5EF4-FFF2-40B4-BE49-F238E27FC236}">
                  <a16:creationId xmlns:a16="http://schemas.microsoft.com/office/drawing/2014/main" id="{00000000-0008-0000-1600-0000159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102</xdr:col>
      <xdr:colOff>0</xdr:colOff>
      <xdr:row>6</xdr:row>
      <xdr:rowOff>162994</xdr:rowOff>
    </xdr:from>
    <xdr:to>
      <xdr:col>102</xdr:col>
      <xdr:colOff>0</xdr:colOff>
      <xdr:row>6</xdr:row>
      <xdr:rowOff>163354</xdr:rowOff>
    </xdr:to>
    <xdr:pic>
      <xdr:nvPicPr>
        <xdr:cNvPr id="2" name="Ink 12">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a:fillRect/>
        </a:stretch>
      </xdr:blipFill>
      <xdr:spPr>
        <a:xfrm>
          <a:off x="77044550" y="1471094"/>
          <a:ext cx="0" cy="3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844856</xdr:colOff>
      <xdr:row>1</xdr:row>
      <xdr:rowOff>240455</xdr:rowOff>
    </xdr:from>
    <xdr:to>
      <xdr:col>3</xdr:col>
      <xdr:colOff>721932</xdr:colOff>
      <xdr:row>4</xdr:row>
      <xdr:rowOff>140934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133492" y="436728"/>
          <a:ext cx="2890440" cy="801025"/>
        </a:xfrm>
        <a:prstGeom prst="rect">
          <a:avLst/>
        </a:prstGeom>
      </xdr:spPr>
    </xdr:pic>
    <xdr:clientData/>
  </xdr:twoCellAnchor>
  <xdr:twoCellAnchor editAs="oneCell">
    <xdr:from>
      <xdr:col>1</xdr:col>
      <xdr:colOff>187313</xdr:colOff>
      <xdr:row>1</xdr:row>
      <xdr:rowOff>157564</xdr:rowOff>
    </xdr:from>
    <xdr:to>
      <xdr:col>1</xdr:col>
      <xdr:colOff>839424</xdr:colOff>
      <xdr:row>4</xdr:row>
      <xdr:rowOff>110237</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475949" y="353837"/>
          <a:ext cx="652111" cy="8532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95</xdr:col>
      <xdr:colOff>670034</xdr:colOff>
      <xdr:row>6</xdr:row>
      <xdr:rowOff>162994</xdr:rowOff>
    </xdr:from>
    <xdr:to>
      <xdr:col>96</xdr:col>
      <xdr:colOff>0</xdr:colOff>
      <xdr:row>6</xdr:row>
      <xdr:rowOff>163354</xdr:rowOff>
    </xdr:to>
    <xdr:pic>
      <xdr:nvPicPr>
        <xdr:cNvPr id="2" name="Ink 12">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a:fillRect/>
        </a:stretch>
      </xdr:blipFill>
      <xdr:spPr>
        <a:xfrm>
          <a:off x="72342484" y="1471094"/>
          <a:ext cx="28466" cy="360"/>
        </a:xfrm>
        <a:prstGeom prst="rect">
          <a:avLst/>
        </a:prstGeom>
      </xdr:spPr>
    </xdr:pic>
    <xdr:clientData/>
  </xdr:twoCellAnchor>
  <xdr:oneCellAnchor>
    <xdr:from>
      <xdr:col>114</xdr:col>
      <xdr:colOff>0</xdr:colOff>
      <xdr:row>6</xdr:row>
      <xdr:rowOff>162994</xdr:rowOff>
    </xdr:from>
    <xdr:ext cx="0" cy="360"/>
    <xdr:pic>
      <xdr:nvPicPr>
        <xdr:cNvPr id="3" name="Ink 1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stretch>
          <a:fillRect/>
        </a:stretch>
      </xdr:blipFill>
      <xdr:spPr>
        <a:xfrm>
          <a:off x="85648800" y="1471094"/>
          <a:ext cx="0" cy="360"/>
        </a:xfrm>
        <a:prstGeom prst="rect">
          <a:avLst/>
        </a:prstGeom>
      </xdr:spPr>
    </xdr:pic>
    <xdr:clientData/>
  </xdr:oneCellAnchor>
  <xdr:oneCellAnchor>
    <xdr:from>
      <xdr:col>102</xdr:col>
      <xdr:colOff>0</xdr:colOff>
      <xdr:row>6</xdr:row>
      <xdr:rowOff>162994</xdr:rowOff>
    </xdr:from>
    <xdr:ext cx="0" cy="360"/>
    <xdr:pic>
      <xdr:nvPicPr>
        <xdr:cNvPr id="4" name="Ink 12">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a:stretch>
          <a:fillRect/>
        </a:stretch>
      </xdr:blipFill>
      <xdr:spPr>
        <a:xfrm>
          <a:off x="76796900" y="1471094"/>
          <a:ext cx="0" cy="360"/>
        </a:xfrm>
        <a:prstGeom prst="rect">
          <a:avLst/>
        </a:prstGeom>
      </xdr:spPr>
    </xdr:pic>
    <xdr:clientData/>
  </xdr:oneCellAnchor>
  <xdr:oneCellAnchor>
    <xdr:from>
      <xdr:col>108</xdr:col>
      <xdr:colOff>0</xdr:colOff>
      <xdr:row>6</xdr:row>
      <xdr:rowOff>162994</xdr:rowOff>
    </xdr:from>
    <xdr:ext cx="0" cy="360"/>
    <xdr:pic>
      <xdr:nvPicPr>
        <xdr:cNvPr id="5" name="Ink 12">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1"/>
        <a:stretch>
          <a:fillRect/>
        </a:stretch>
      </xdr:blipFill>
      <xdr:spPr>
        <a:xfrm>
          <a:off x="81222850" y="1471094"/>
          <a:ext cx="0" cy="360"/>
        </a:xfrm>
        <a:prstGeom prst="rect">
          <a:avLst/>
        </a:prstGeom>
      </xdr:spPr>
    </xdr:pic>
    <xdr:clientData/>
  </xdr:oneCellAnchor>
  <xdr:oneCellAnchor>
    <xdr:from>
      <xdr:col>1</xdr:col>
      <xdr:colOff>9525</xdr:colOff>
      <xdr:row>114</xdr:row>
      <xdr:rowOff>19050</xdr:rowOff>
    </xdr:from>
    <xdr:ext cx="1143000" cy="457200"/>
    <xdr:pic>
      <xdr:nvPicPr>
        <xdr:cNvPr id="6" name="image3.png" title="Image">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2" cstate="print"/>
        <a:stretch>
          <a:fillRect/>
        </a:stretch>
      </xdr:blipFill>
      <xdr:spPr>
        <a:xfrm>
          <a:off x="625475" y="20504150"/>
          <a:ext cx="1143000" cy="457200"/>
        </a:xfrm>
        <a:prstGeom prst="rect">
          <a:avLst/>
        </a:prstGeom>
        <a:noFill/>
      </xdr:spPr>
    </xdr:pic>
    <xdr:clientData fLocksWithSheet="0"/>
  </xdr:oneCellAnchor>
  <xdr:oneCellAnchor>
    <xdr:from>
      <xdr:col>1</xdr:col>
      <xdr:colOff>57150</xdr:colOff>
      <xdr:row>118</xdr:row>
      <xdr:rowOff>9525</xdr:rowOff>
    </xdr:from>
    <xdr:ext cx="1171575" cy="485775"/>
    <xdr:pic>
      <xdr:nvPicPr>
        <xdr:cNvPr id="7" name="image1.png" title="Image">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3" cstate="print"/>
        <a:stretch>
          <a:fillRect/>
        </a:stretch>
      </xdr:blipFill>
      <xdr:spPr>
        <a:xfrm>
          <a:off x="673100" y="21231225"/>
          <a:ext cx="1171575" cy="485775"/>
        </a:xfrm>
        <a:prstGeom prst="rect">
          <a:avLst/>
        </a:prstGeom>
        <a:noFill/>
      </xdr:spPr>
    </xdr:pic>
    <xdr:clientData fLocksWithSheet="0"/>
  </xdr:oneCellAnchor>
  <xdr:oneCellAnchor>
    <xdr:from>
      <xdr:col>1</xdr:col>
      <xdr:colOff>66675</xdr:colOff>
      <xdr:row>122</xdr:row>
      <xdr:rowOff>9525</xdr:rowOff>
    </xdr:from>
    <xdr:ext cx="1171575" cy="504825"/>
    <xdr:pic>
      <xdr:nvPicPr>
        <xdr:cNvPr id="8" name="image2.png" title="Image">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4" cstate="print"/>
        <a:stretch>
          <a:fillRect/>
        </a:stretch>
      </xdr:blipFill>
      <xdr:spPr>
        <a:xfrm>
          <a:off x="682625" y="21967825"/>
          <a:ext cx="1171575" cy="504825"/>
        </a:xfrm>
        <a:prstGeom prst="rect">
          <a:avLst/>
        </a:prstGeom>
        <a:noFill/>
      </xdr:spPr>
    </xdr:pic>
    <xdr:clientData fLocksWithSheet="0"/>
  </xdr:oneCellAnchor>
  <xdr:oneCellAnchor>
    <xdr:from>
      <xdr:col>1</xdr:col>
      <xdr:colOff>57150</xdr:colOff>
      <xdr:row>128</xdr:row>
      <xdr:rowOff>57150</xdr:rowOff>
    </xdr:from>
    <xdr:ext cx="1181100" cy="409575"/>
    <xdr:pic>
      <xdr:nvPicPr>
        <xdr:cNvPr id="9" name="image4.png" title="Image">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5" cstate="print"/>
        <a:stretch>
          <a:fillRect/>
        </a:stretch>
      </xdr:blipFill>
      <xdr:spPr>
        <a:xfrm>
          <a:off x="673100" y="22910800"/>
          <a:ext cx="1181100" cy="409575"/>
        </a:xfrm>
        <a:prstGeom prst="rect">
          <a:avLst/>
        </a:prstGeom>
        <a:noFill/>
      </xdr:spPr>
    </xdr:pic>
    <xdr:clientData fLocksWithSheet="0"/>
  </xdr:oneCellAnchor>
  <xdr:oneCellAnchor>
    <xdr:from>
      <xdr:col>1</xdr:col>
      <xdr:colOff>19050</xdr:colOff>
      <xdr:row>131</xdr:row>
      <xdr:rowOff>161925</xdr:rowOff>
    </xdr:from>
    <xdr:ext cx="1143000" cy="542925"/>
    <xdr:pic>
      <xdr:nvPicPr>
        <xdr:cNvPr id="10" name="image11.png" title="Image">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6" cstate="print"/>
        <a:stretch>
          <a:fillRect/>
        </a:stretch>
      </xdr:blipFill>
      <xdr:spPr>
        <a:xfrm>
          <a:off x="635000" y="23568025"/>
          <a:ext cx="1143000" cy="542925"/>
        </a:xfrm>
        <a:prstGeom prst="rect">
          <a:avLst/>
        </a:prstGeom>
        <a:noFill/>
      </xdr:spPr>
    </xdr:pic>
    <xdr:clientData fLocksWithSheet="0"/>
  </xdr:oneCellAnchor>
  <xdr:oneCellAnchor>
    <xdr:from>
      <xdr:col>1</xdr:col>
      <xdr:colOff>28575</xdr:colOff>
      <xdr:row>138</xdr:row>
      <xdr:rowOff>19050</xdr:rowOff>
    </xdr:from>
    <xdr:ext cx="1123950" cy="447675"/>
    <xdr:pic>
      <xdr:nvPicPr>
        <xdr:cNvPr id="11" name="image5.png" title="Image">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7" cstate="print"/>
        <a:stretch>
          <a:fillRect/>
        </a:stretch>
      </xdr:blipFill>
      <xdr:spPr>
        <a:xfrm>
          <a:off x="644525" y="24530050"/>
          <a:ext cx="1123950" cy="447675"/>
        </a:xfrm>
        <a:prstGeom prst="rect">
          <a:avLst/>
        </a:prstGeom>
        <a:noFill/>
      </xdr:spPr>
    </xdr:pic>
    <xdr:clientData fLocksWithSheet="0"/>
  </xdr:oneCellAnchor>
  <xdr:oneCellAnchor>
    <xdr:from>
      <xdr:col>1</xdr:col>
      <xdr:colOff>38100</xdr:colOff>
      <xdr:row>142</xdr:row>
      <xdr:rowOff>19050</xdr:rowOff>
    </xdr:from>
    <xdr:ext cx="1152525" cy="447675"/>
    <xdr:pic>
      <xdr:nvPicPr>
        <xdr:cNvPr id="12" name="image6.png" title="Image">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8" cstate="print"/>
        <a:stretch>
          <a:fillRect/>
        </a:stretch>
      </xdr:blipFill>
      <xdr:spPr>
        <a:xfrm>
          <a:off x="654050" y="25266650"/>
          <a:ext cx="1152525" cy="447675"/>
        </a:xfrm>
        <a:prstGeom prst="rect">
          <a:avLst/>
        </a:prstGeom>
        <a:noFill/>
      </xdr:spPr>
    </xdr:pic>
    <xdr:clientData fLocksWithSheet="0"/>
  </xdr:oneCellAnchor>
  <xdr:oneCellAnchor>
    <xdr:from>
      <xdr:col>1</xdr:col>
      <xdr:colOff>66675</xdr:colOff>
      <xdr:row>146</xdr:row>
      <xdr:rowOff>0</xdr:rowOff>
    </xdr:from>
    <xdr:ext cx="1171575" cy="504825"/>
    <xdr:pic>
      <xdr:nvPicPr>
        <xdr:cNvPr id="13" name="image7.png" title="Image">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9" cstate="print"/>
        <a:stretch>
          <a:fillRect/>
        </a:stretch>
      </xdr:blipFill>
      <xdr:spPr>
        <a:xfrm>
          <a:off x="682625" y="25984200"/>
          <a:ext cx="1171575" cy="504825"/>
        </a:xfrm>
        <a:prstGeom prst="rect">
          <a:avLst/>
        </a:prstGeom>
        <a:noFill/>
      </xdr:spPr>
    </xdr:pic>
    <xdr:clientData fLocksWithSheet="0"/>
  </xdr:oneCellAnchor>
  <xdr:oneCellAnchor>
    <xdr:from>
      <xdr:col>1</xdr:col>
      <xdr:colOff>47625</xdr:colOff>
      <xdr:row>151</xdr:row>
      <xdr:rowOff>19050</xdr:rowOff>
    </xdr:from>
    <xdr:ext cx="885825" cy="523875"/>
    <xdr:pic>
      <xdr:nvPicPr>
        <xdr:cNvPr id="14" name="image8.png" title="Image">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10" cstate="print"/>
        <a:stretch>
          <a:fillRect/>
        </a:stretch>
      </xdr:blipFill>
      <xdr:spPr>
        <a:xfrm>
          <a:off x="663575" y="26924000"/>
          <a:ext cx="885825" cy="523875"/>
        </a:xfrm>
        <a:prstGeom prst="rect">
          <a:avLst/>
        </a:prstGeom>
        <a:noFill/>
      </xdr:spPr>
    </xdr:pic>
    <xdr:clientData fLocksWithSheet="0"/>
  </xdr:oneCellAnchor>
  <xdr:oneCellAnchor>
    <xdr:from>
      <xdr:col>1</xdr:col>
      <xdr:colOff>38100</xdr:colOff>
      <xdr:row>154</xdr:row>
      <xdr:rowOff>190500</xdr:rowOff>
    </xdr:from>
    <xdr:ext cx="771525" cy="590550"/>
    <xdr:pic>
      <xdr:nvPicPr>
        <xdr:cNvPr id="15" name="image12.png" title="Image">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1" cstate="print"/>
        <a:stretch>
          <a:fillRect/>
        </a:stretch>
      </xdr:blipFill>
      <xdr:spPr>
        <a:xfrm>
          <a:off x="654050" y="27641550"/>
          <a:ext cx="771525" cy="590550"/>
        </a:xfrm>
        <a:prstGeom prst="rect">
          <a:avLst/>
        </a:prstGeom>
        <a:noFill/>
      </xdr:spPr>
    </xdr:pic>
    <xdr:clientData fLocksWithSheet="0"/>
  </xdr:oneCellAnchor>
  <xdr:oneCellAnchor>
    <xdr:from>
      <xdr:col>1</xdr:col>
      <xdr:colOff>152400</xdr:colOff>
      <xdr:row>159</xdr:row>
      <xdr:rowOff>28575</xdr:rowOff>
    </xdr:from>
    <xdr:ext cx="762000" cy="485775"/>
    <xdr:pic>
      <xdr:nvPicPr>
        <xdr:cNvPr id="16" name="image9.png" title="Image">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2" cstate="print"/>
        <a:stretch>
          <a:fillRect/>
        </a:stretch>
      </xdr:blipFill>
      <xdr:spPr>
        <a:xfrm>
          <a:off x="768350" y="28406725"/>
          <a:ext cx="762000" cy="485775"/>
        </a:xfrm>
        <a:prstGeom prst="rect">
          <a:avLst/>
        </a:prstGeom>
        <a:noFill/>
      </xdr:spPr>
    </xdr:pic>
    <xdr:clientData fLocksWithSheet="0"/>
  </xdr:oneCellAnchor>
  <xdr:oneCellAnchor>
    <xdr:from>
      <xdr:col>1</xdr:col>
      <xdr:colOff>28575</xdr:colOff>
      <xdr:row>162</xdr:row>
      <xdr:rowOff>161925</xdr:rowOff>
    </xdr:from>
    <xdr:ext cx="723900" cy="619125"/>
    <xdr:pic>
      <xdr:nvPicPr>
        <xdr:cNvPr id="17" name="image10.png" title="Image">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3" cstate="print"/>
        <a:stretch>
          <a:fillRect/>
        </a:stretch>
      </xdr:blipFill>
      <xdr:spPr>
        <a:xfrm>
          <a:off x="644525" y="29092525"/>
          <a:ext cx="723900" cy="6191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twoCellAnchor editAs="oneCell">
    <xdr:from>
      <xdr:col>1</xdr:col>
      <xdr:colOff>844856</xdr:colOff>
      <xdr:row>1</xdr:row>
      <xdr:rowOff>240455</xdr:rowOff>
    </xdr:from>
    <xdr:to>
      <xdr:col>3</xdr:col>
      <xdr:colOff>721932</xdr:colOff>
      <xdr:row>4</xdr:row>
      <xdr:rowOff>140934</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136956" y="424605"/>
          <a:ext cx="2899676" cy="814879"/>
        </a:xfrm>
        <a:prstGeom prst="rect">
          <a:avLst/>
        </a:prstGeom>
      </xdr:spPr>
    </xdr:pic>
    <xdr:clientData/>
  </xdr:twoCellAnchor>
  <xdr:twoCellAnchor editAs="oneCell">
    <xdr:from>
      <xdr:col>1</xdr:col>
      <xdr:colOff>187313</xdr:colOff>
      <xdr:row>1</xdr:row>
      <xdr:rowOff>157564</xdr:rowOff>
    </xdr:from>
    <xdr:to>
      <xdr:col>1</xdr:col>
      <xdr:colOff>839424</xdr:colOff>
      <xdr:row>4</xdr:row>
      <xdr:rowOff>110237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479413" y="341714"/>
          <a:ext cx="652111" cy="8670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392545</xdr:colOff>
      <xdr:row>1</xdr:row>
      <xdr:rowOff>33316</xdr:rowOff>
    </xdr:from>
    <xdr:to>
      <xdr:col>17</xdr:col>
      <xdr:colOff>581349</xdr:colOff>
      <xdr:row>5</xdr:row>
      <xdr:rowOff>95432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3600545" y="218043"/>
          <a:ext cx="2890440" cy="801025"/>
        </a:xfrm>
        <a:prstGeom prst="rect">
          <a:avLst/>
        </a:prstGeom>
      </xdr:spPr>
    </xdr:pic>
    <xdr:clientData/>
  </xdr:twoCellAnchor>
  <xdr:twoCellAnchor editAs="oneCell">
    <xdr:from>
      <xdr:col>13</xdr:col>
      <xdr:colOff>443170</xdr:colOff>
      <xdr:row>0</xdr:row>
      <xdr:rowOff>72572</xdr:rowOff>
    </xdr:from>
    <xdr:to>
      <xdr:col>14</xdr:col>
      <xdr:colOff>291756</xdr:colOff>
      <xdr:row>5</xdr:row>
      <xdr:rowOff>150675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2705020" y="72572"/>
          <a:ext cx="743936" cy="9988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60326</xdr:colOff>
      <xdr:row>1</xdr:row>
      <xdr:rowOff>73026</xdr:rowOff>
    </xdr:from>
    <xdr:to>
      <xdr:col>1</xdr:col>
      <xdr:colOff>1385388</xdr:colOff>
      <xdr:row>4</xdr:row>
      <xdr:rowOff>100218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9526" y="244476"/>
          <a:ext cx="1602996" cy="57467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12700</xdr:colOff>
          <xdr:row>10</xdr:row>
          <xdr:rowOff>146050</xdr:rowOff>
        </xdr:from>
        <xdr:to>
          <xdr:col>2</xdr:col>
          <xdr:colOff>431800</xdr:colOff>
          <xdr:row>12</xdr:row>
          <xdr:rowOff>38100</xdr:rowOff>
        </xdr:to>
        <xdr:sp macro="" textlink="">
          <xdr:nvSpPr>
            <xdr:cNvPr id="6172" name="Check Box 28" hidden="1">
              <a:extLst>
                <a:ext uri="{63B3BB69-23CF-44E3-9099-C40C66FF867C}">
                  <a14:compatExt spid="_x0000_s6172"/>
                </a:ext>
                <a:ext uri="{FF2B5EF4-FFF2-40B4-BE49-F238E27FC236}">
                  <a16:creationId xmlns:a16="http://schemas.microsoft.com/office/drawing/2014/main" id="{00000000-0008-0000-0900-00001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10</xdr:row>
          <xdr:rowOff>152400</xdr:rowOff>
        </xdr:from>
        <xdr:to>
          <xdr:col>7</xdr:col>
          <xdr:colOff>412750</xdr:colOff>
          <xdr:row>12</xdr:row>
          <xdr:rowOff>38100</xdr:rowOff>
        </xdr:to>
        <xdr:sp macro="" textlink="">
          <xdr:nvSpPr>
            <xdr:cNvPr id="6173" name="Check Box 29" hidden="1">
              <a:extLst>
                <a:ext uri="{63B3BB69-23CF-44E3-9099-C40C66FF867C}">
                  <a14:compatExt spid="_x0000_s6173"/>
                </a:ext>
                <a:ext uri="{FF2B5EF4-FFF2-40B4-BE49-F238E27FC236}">
                  <a16:creationId xmlns:a16="http://schemas.microsoft.com/office/drawing/2014/main" id="{00000000-0008-0000-0900-00001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10</xdr:row>
          <xdr:rowOff>146050</xdr:rowOff>
        </xdr:from>
        <xdr:to>
          <xdr:col>5</xdr:col>
          <xdr:colOff>152400</xdr:colOff>
          <xdr:row>12</xdr:row>
          <xdr:rowOff>31750</xdr:rowOff>
        </xdr:to>
        <xdr:sp macro="" textlink="">
          <xdr:nvSpPr>
            <xdr:cNvPr id="6174" name="Check Box 30" hidden="1">
              <a:extLst>
                <a:ext uri="{63B3BB69-23CF-44E3-9099-C40C66FF867C}">
                  <a14:compatExt spid="_x0000_s6174"/>
                </a:ext>
                <a:ext uri="{FF2B5EF4-FFF2-40B4-BE49-F238E27FC236}">
                  <a16:creationId xmlns:a16="http://schemas.microsoft.com/office/drawing/2014/main" id="{00000000-0008-0000-0900-00001E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12</xdr:col>
      <xdr:colOff>15875</xdr:colOff>
      <xdr:row>26</xdr:row>
      <xdr:rowOff>15875</xdr:rowOff>
    </xdr:from>
    <xdr:to>
      <xdr:col>35</xdr:col>
      <xdr:colOff>132710</xdr:colOff>
      <xdr:row>75</xdr:row>
      <xdr:rowOff>161963</xdr:rowOff>
    </xdr:to>
    <xdr:pic>
      <xdr:nvPicPr>
        <xdr:cNvPr id="18" name="Picture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2"/>
        <a:stretch>
          <a:fillRect/>
        </a:stretch>
      </xdr:blipFill>
      <xdr:spPr>
        <a:xfrm>
          <a:off x="7905750" y="5508625"/>
          <a:ext cx="15039335" cy="945982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31750</xdr:colOff>
          <xdr:row>10</xdr:row>
          <xdr:rowOff>165100</xdr:rowOff>
        </xdr:from>
        <xdr:to>
          <xdr:col>2</xdr:col>
          <xdr:colOff>450850</xdr:colOff>
          <xdr:row>12</xdr:row>
          <xdr:rowOff>38100</xdr:rowOff>
        </xdr:to>
        <xdr:sp macro="" textlink="">
          <xdr:nvSpPr>
            <xdr:cNvPr id="6175" name="Check Box 31" hidden="1">
              <a:extLst>
                <a:ext uri="{63B3BB69-23CF-44E3-9099-C40C66FF867C}">
                  <a14:compatExt spid="_x0000_s6175"/>
                </a:ext>
                <a:ext uri="{FF2B5EF4-FFF2-40B4-BE49-F238E27FC236}">
                  <a16:creationId xmlns:a16="http://schemas.microsoft.com/office/drawing/2014/main" id="{00000000-0008-0000-0900-00001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31750</xdr:colOff>
          <xdr:row>10</xdr:row>
          <xdr:rowOff>165100</xdr:rowOff>
        </xdr:from>
        <xdr:to>
          <xdr:col>7</xdr:col>
          <xdr:colOff>431800</xdr:colOff>
          <xdr:row>12</xdr:row>
          <xdr:rowOff>38100</xdr:rowOff>
        </xdr:to>
        <xdr:sp macro="" textlink="">
          <xdr:nvSpPr>
            <xdr:cNvPr id="6176" name="Check Box 32" hidden="1">
              <a:extLst>
                <a:ext uri="{63B3BB69-23CF-44E3-9099-C40C66FF867C}">
                  <a14:compatExt spid="_x0000_s6176"/>
                </a:ext>
                <a:ext uri="{FF2B5EF4-FFF2-40B4-BE49-F238E27FC236}">
                  <a16:creationId xmlns:a16="http://schemas.microsoft.com/office/drawing/2014/main" id="{00000000-0008-0000-0900-00002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85397</xdr:colOff>
      <xdr:row>1</xdr:row>
      <xdr:rowOff>118241</xdr:rowOff>
    </xdr:from>
    <xdr:to>
      <xdr:col>1</xdr:col>
      <xdr:colOff>1542393</xdr:colOff>
      <xdr:row>4</xdr:row>
      <xdr:rowOff>105983</xdr:rowOff>
    </xdr:to>
    <xdr:pic>
      <xdr:nvPicPr>
        <xdr:cNvPr id="23" name="Picture 22">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397" y="299216"/>
          <a:ext cx="1685596" cy="53066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228600</xdr:colOff>
          <xdr:row>96</xdr:row>
          <xdr:rowOff>317500</xdr:rowOff>
        </xdr:from>
        <xdr:to>
          <xdr:col>3</xdr:col>
          <xdr:colOff>609600</xdr:colOff>
          <xdr:row>98</xdr:row>
          <xdr:rowOff>31750</xdr:rowOff>
        </xdr:to>
        <xdr:sp macro="" textlink="">
          <xdr:nvSpPr>
            <xdr:cNvPr id="6178" name="Check Box 34" hidden="1">
              <a:extLst>
                <a:ext uri="{63B3BB69-23CF-44E3-9099-C40C66FF867C}">
                  <a14:compatExt spid="_x0000_s6178"/>
                </a:ext>
                <a:ext uri="{FF2B5EF4-FFF2-40B4-BE49-F238E27FC236}">
                  <a16:creationId xmlns:a16="http://schemas.microsoft.com/office/drawing/2014/main" id="{00000000-0008-0000-0900-000022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222250</xdr:colOff>
          <xdr:row>96</xdr:row>
          <xdr:rowOff>317500</xdr:rowOff>
        </xdr:from>
        <xdr:to>
          <xdr:col>4</xdr:col>
          <xdr:colOff>603250</xdr:colOff>
          <xdr:row>98</xdr:row>
          <xdr:rowOff>31750</xdr:rowOff>
        </xdr:to>
        <xdr:sp macro="" textlink="">
          <xdr:nvSpPr>
            <xdr:cNvPr id="6179" name="Check Box 35" hidden="1">
              <a:extLst>
                <a:ext uri="{63B3BB69-23CF-44E3-9099-C40C66FF867C}">
                  <a14:compatExt spid="_x0000_s6179"/>
                </a:ext>
                <a:ext uri="{FF2B5EF4-FFF2-40B4-BE49-F238E27FC236}">
                  <a16:creationId xmlns:a16="http://schemas.microsoft.com/office/drawing/2014/main" id="{00000000-0008-0000-0900-000023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101</xdr:row>
          <xdr:rowOff>317500</xdr:rowOff>
        </xdr:from>
        <xdr:to>
          <xdr:col>3</xdr:col>
          <xdr:colOff>641350</xdr:colOff>
          <xdr:row>103</xdr:row>
          <xdr:rowOff>31750</xdr:rowOff>
        </xdr:to>
        <xdr:sp macro="" textlink="">
          <xdr:nvSpPr>
            <xdr:cNvPr id="6180" name="Check Box 36" hidden="1">
              <a:extLst>
                <a:ext uri="{63B3BB69-23CF-44E3-9099-C40C66FF867C}">
                  <a14:compatExt spid="_x0000_s6180"/>
                </a:ext>
                <a:ext uri="{FF2B5EF4-FFF2-40B4-BE49-F238E27FC236}">
                  <a16:creationId xmlns:a16="http://schemas.microsoft.com/office/drawing/2014/main" id="{00000000-0008-0000-0900-000024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101</xdr:row>
          <xdr:rowOff>317500</xdr:rowOff>
        </xdr:from>
        <xdr:to>
          <xdr:col>4</xdr:col>
          <xdr:colOff>622300</xdr:colOff>
          <xdr:row>103</xdr:row>
          <xdr:rowOff>31750</xdr:rowOff>
        </xdr:to>
        <xdr:sp macro="" textlink="">
          <xdr:nvSpPr>
            <xdr:cNvPr id="6181" name="Check Box 37" hidden="1">
              <a:extLst>
                <a:ext uri="{63B3BB69-23CF-44E3-9099-C40C66FF867C}">
                  <a14:compatExt spid="_x0000_s6181"/>
                </a:ext>
                <a:ext uri="{FF2B5EF4-FFF2-40B4-BE49-F238E27FC236}">
                  <a16:creationId xmlns:a16="http://schemas.microsoft.com/office/drawing/2014/main" id="{00000000-0008-0000-0900-000025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241300</xdr:colOff>
          <xdr:row>101</xdr:row>
          <xdr:rowOff>69850</xdr:rowOff>
        </xdr:from>
        <xdr:to>
          <xdr:col>3</xdr:col>
          <xdr:colOff>622300</xdr:colOff>
          <xdr:row>101</xdr:row>
          <xdr:rowOff>279400</xdr:rowOff>
        </xdr:to>
        <xdr:sp macro="" textlink="">
          <xdr:nvSpPr>
            <xdr:cNvPr id="6182" name="Check Box 38" hidden="1">
              <a:extLst>
                <a:ext uri="{63B3BB69-23CF-44E3-9099-C40C66FF867C}">
                  <a14:compatExt spid="_x0000_s6182"/>
                </a:ext>
                <a:ext uri="{FF2B5EF4-FFF2-40B4-BE49-F238E27FC236}">
                  <a16:creationId xmlns:a16="http://schemas.microsoft.com/office/drawing/2014/main" id="{00000000-0008-0000-0900-000026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222250</xdr:colOff>
          <xdr:row>101</xdr:row>
          <xdr:rowOff>69850</xdr:rowOff>
        </xdr:from>
        <xdr:to>
          <xdr:col>4</xdr:col>
          <xdr:colOff>609600</xdr:colOff>
          <xdr:row>101</xdr:row>
          <xdr:rowOff>279400</xdr:rowOff>
        </xdr:to>
        <xdr:sp macro="" textlink="">
          <xdr:nvSpPr>
            <xdr:cNvPr id="6183" name="Check Box 39" hidden="1">
              <a:extLst>
                <a:ext uri="{63B3BB69-23CF-44E3-9099-C40C66FF867C}">
                  <a14:compatExt spid="_x0000_s6183"/>
                </a:ext>
                <a:ext uri="{FF2B5EF4-FFF2-40B4-BE49-F238E27FC236}">
                  <a16:creationId xmlns:a16="http://schemas.microsoft.com/office/drawing/2014/main" id="{00000000-0008-0000-0900-000027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99</xdr:row>
          <xdr:rowOff>184150</xdr:rowOff>
        </xdr:from>
        <xdr:to>
          <xdr:col>3</xdr:col>
          <xdr:colOff>609600</xdr:colOff>
          <xdr:row>101</xdr:row>
          <xdr:rowOff>31750</xdr:rowOff>
        </xdr:to>
        <xdr:sp macro="" textlink="">
          <xdr:nvSpPr>
            <xdr:cNvPr id="6184" name="Check Box 40" hidden="1">
              <a:extLst>
                <a:ext uri="{63B3BB69-23CF-44E3-9099-C40C66FF867C}">
                  <a14:compatExt spid="_x0000_s6184"/>
                </a:ext>
                <a:ext uri="{FF2B5EF4-FFF2-40B4-BE49-F238E27FC236}">
                  <a16:creationId xmlns:a16="http://schemas.microsoft.com/office/drawing/2014/main" id="{00000000-0008-0000-0900-000028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222250</xdr:colOff>
          <xdr:row>99</xdr:row>
          <xdr:rowOff>184150</xdr:rowOff>
        </xdr:from>
        <xdr:to>
          <xdr:col>4</xdr:col>
          <xdr:colOff>603250</xdr:colOff>
          <xdr:row>101</xdr:row>
          <xdr:rowOff>31750</xdr:rowOff>
        </xdr:to>
        <xdr:sp macro="" textlink="">
          <xdr:nvSpPr>
            <xdr:cNvPr id="6185" name="Check Box 41" hidden="1">
              <a:extLst>
                <a:ext uri="{63B3BB69-23CF-44E3-9099-C40C66FF867C}">
                  <a14:compatExt spid="_x0000_s6185"/>
                </a:ext>
                <a:ext uri="{FF2B5EF4-FFF2-40B4-BE49-F238E27FC236}">
                  <a16:creationId xmlns:a16="http://schemas.microsoft.com/office/drawing/2014/main" id="{00000000-0008-0000-0900-000029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241300</xdr:colOff>
          <xdr:row>98</xdr:row>
          <xdr:rowOff>12700</xdr:rowOff>
        </xdr:from>
        <xdr:to>
          <xdr:col>3</xdr:col>
          <xdr:colOff>622300</xdr:colOff>
          <xdr:row>99</xdr:row>
          <xdr:rowOff>38100</xdr:rowOff>
        </xdr:to>
        <xdr:sp macro="" textlink="">
          <xdr:nvSpPr>
            <xdr:cNvPr id="6186" name="Check Box 42" hidden="1">
              <a:extLst>
                <a:ext uri="{63B3BB69-23CF-44E3-9099-C40C66FF867C}">
                  <a14:compatExt spid="_x0000_s6186"/>
                </a:ext>
                <a:ext uri="{FF2B5EF4-FFF2-40B4-BE49-F238E27FC236}">
                  <a16:creationId xmlns:a16="http://schemas.microsoft.com/office/drawing/2014/main" id="{00000000-0008-0000-0900-00002A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222250</xdr:colOff>
          <xdr:row>98</xdr:row>
          <xdr:rowOff>12700</xdr:rowOff>
        </xdr:from>
        <xdr:to>
          <xdr:col>4</xdr:col>
          <xdr:colOff>609600</xdr:colOff>
          <xdr:row>99</xdr:row>
          <xdr:rowOff>38100</xdr:rowOff>
        </xdr:to>
        <xdr:sp macro="" textlink="">
          <xdr:nvSpPr>
            <xdr:cNvPr id="6187" name="Check Box 43" hidden="1">
              <a:extLst>
                <a:ext uri="{63B3BB69-23CF-44E3-9099-C40C66FF867C}">
                  <a14:compatExt spid="_x0000_s6187"/>
                </a:ext>
                <a:ext uri="{FF2B5EF4-FFF2-40B4-BE49-F238E27FC236}">
                  <a16:creationId xmlns:a16="http://schemas.microsoft.com/office/drawing/2014/main" id="{00000000-0008-0000-0900-00002B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228600</xdr:colOff>
          <xdr:row>95</xdr:row>
          <xdr:rowOff>317500</xdr:rowOff>
        </xdr:from>
        <xdr:to>
          <xdr:col>3</xdr:col>
          <xdr:colOff>609600</xdr:colOff>
          <xdr:row>96</xdr:row>
          <xdr:rowOff>222250</xdr:rowOff>
        </xdr:to>
        <xdr:sp macro="" textlink="">
          <xdr:nvSpPr>
            <xdr:cNvPr id="6188" name="Check Box 44" hidden="1">
              <a:extLst>
                <a:ext uri="{63B3BB69-23CF-44E3-9099-C40C66FF867C}">
                  <a14:compatExt spid="_x0000_s6188"/>
                </a:ext>
                <a:ext uri="{FF2B5EF4-FFF2-40B4-BE49-F238E27FC236}">
                  <a16:creationId xmlns:a16="http://schemas.microsoft.com/office/drawing/2014/main" id="{00000000-0008-0000-0900-00002C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222250</xdr:colOff>
          <xdr:row>95</xdr:row>
          <xdr:rowOff>317500</xdr:rowOff>
        </xdr:from>
        <xdr:to>
          <xdr:col>4</xdr:col>
          <xdr:colOff>603250</xdr:colOff>
          <xdr:row>96</xdr:row>
          <xdr:rowOff>222250</xdr:rowOff>
        </xdr:to>
        <xdr:sp macro="" textlink="">
          <xdr:nvSpPr>
            <xdr:cNvPr id="6189" name="Check Box 45" hidden="1">
              <a:extLst>
                <a:ext uri="{63B3BB69-23CF-44E3-9099-C40C66FF867C}">
                  <a14:compatExt spid="_x0000_s6189"/>
                </a:ext>
                <a:ext uri="{FF2B5EF4-FFF2-40B4-BE49-F238E27FC236}">
                  <a16:creationId xmlns:a16="http://schemas.microsoft.com/office/drawing/2014/main" id="{00000000-0008-0000-0900-00002D1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0</xdr:col>
      <xdr:colOff>60326</xdr:colOff>
      <xdr:row>1</xdr:row>
      <xdr:rowOff>73026</xdr:rowOff>
    </xdr:from>
    <xdr:to>
      <xdr:col>1</xdr:col>
      <xdr:colOff>1422022</xdr:colOff>
      <xdr:row>4</xdr:row>
      <xdr:rowOff>100219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9526" y="244476"/>
          <a:ext cx="1602996" cy="5796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260350</xdr:colOff>
          <xdr:row>70</xdr:row>
          <xdr:rowOff>146050</xdr:rowOff>
        </xdr:from>
        <xdr:to>
          <xdr:col>3</xdr:col>
          <xdr:colOff>679450</xdr:colOff>
          <xdr:row>72</xdr:row>
          <xdr:rowOff>38100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A00-00000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78</xdr:row>
          <xdr:rowOff>146050</xdr:rowOff>
        </xdr:from>
        <xdr:to>
          <xdr:col>3</xdr:col>
          <xdr:colOff>679450</xdr:colOff>
          <xdr:row>79</xdr:row>
          <xdr:rowOff>184150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A00-00000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79</xdr:row>
          <xdr:rowOff>146050</xdr:rowOff>
        </xdr:from>
        <xdr:to>
          <xdr:col>3</xdr:col>
          <xdr:colOff>679450</xdr:colOff>
          <xdr:row>80</xdr:row>
          <xdr:rowOff>184150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A00-00000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70</xdr:row>
          <xdr:rowOff>146050</xdr:rowOff>
        </xdr:from>
        <xdr:to>
          <xdr:col>4</xdr:col>
          <xdr:colOff>647700</xdr:colOff>
          <xdr:row>72</xdr:row>
          <xdr:rowOff>38100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A00-00000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78</xdr:row>
          <xdr:rowOff>146050</xdr:rowOff>
        </xdr:from>
        <xdr:to>
          <xdr:col>4</xdr:col>
          <xdr:colOff>647700</xdr:colOff>
          <xdr:row>79</xdr:row>
          <xdr:rowOff>184150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A00-00000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79</xdr:row>
          <xdr:rowOff>146050</xdr:rowOff>
        </xdr:from>
        <xdr:to>
          <xdr:col>4</xdr:col>
          <xdr:colOff>660400</xdr:colOff>
          <xdr:row>80</xdr:row>
          <xdr:rowOff>184150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A00-00000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80</xdr:row>
          <xdr:rowOff>146050</xdr:rowOff>
        </xdr:from>
        <xdr:to>
          <xdr:col>3</xdr:col>
          <xdr:colOff>679450</xdr:colOff>
          <xdr:row>81</xdr:row>
          <xdr:rowOff>184150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A00-00000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80</xdr:row>
          <xdr:rowOff>146050</xdr:rowOff>
        </xdr:from>
        <xdr:to>
          <xdr:col>4</xdr:col>
          <xdr:colOff>647700</xdr:colOff>
          <xdr:row>81</xdr:row>
          <xdr:rowOff>184150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A00-00000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74</xdr:row>
          <xdr:rowOff>152400</xdr:rowOff>
        </xdr:from>
        <xdr:to>
          <xdr:col>3</xdr:col>
          <xdr:colOff>679450</xdr:colOff>
          <xdr:row>75</xdr:row>
          <xdr:rowOff>184150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A00-00001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74</xdr:row>
          <xdr:rowOff>146050</xdr:rowOff>
        </xdr:from>
        <xdr:to>
          <xdr:col>4</xdr:col>
          <xdr:colOff>660400</xdr:colOff>
          <xdr:row>75</xdr:row>
          <xdr:rowOff>184150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A00-00001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76</xdr:row>
          <xdr:rowOff>152400</xdr:rowOff>
        </xdr:from>
        <xdr:to>
          <xdr:col>3</xdr:col>
          <xdr:colOff>679450</xdr:colOff>
          <xdr:row>78</xdr:row>
          <xdr:rowOff>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A00-00001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76</xdr:row>
          <xdr:rowOff>146050</xdr:rowOff>
        </xdr:from>
        <xdr:to>
          <xdr:col>4</xdr:col>
          <xdr:colOff>660400</xdr:colOff>
          <xdr:row>77</xdr:row>
          <xdr:rowOff>184150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A00-00001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72</xdr:row>
          <xdr:rowOff>146050</xdr:rowOff>
        </xdr:from>
        <xdr:to>
          <xdr:col>3</xdr:col>
          <xdr:colOff>679450</xdr:colOff>
          <xdr:row>74</xdr:row>
          <xdr:rowOff>12700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A00-00001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72</xdr:row>
          <xdr:rowOff>146050</xdr:rowOff>
        </xdr:from>
        <xdr:to>
          <xdr:col>4</xdr:col>
          <xdr:colOff>647700</xdr:colOff>
          <xdr:row>74</xdr:row>
          <xdr:rowOff>12700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A00-00001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260350</xdr:colOff>
          <xdr:row>71</xdr:row>
          <xdr:rowOff>146050</xdr:rowOff>
        </xdr:from>
        <xdr:to>
          <xdr:col>3</xdr:col>
          <xdr:colOff>679450</xdr:colOff>
          <xdr:row>73</xdr:row>
          <xdr:rowOff>12700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A00-00001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241300</xdr:colOff>
          <xdr:row>71</xdr:row>
          <xdr:rowOff>146050</xdr:rowOff>
        </xdr:from>
        <xdr:to>
          <xdr:col>4</xdr:col>
          <xdr:colOff>647700</xdr:colOff>
          <xdr:row>73</xdr:row>
          <xdr:rowOff>12700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A00-00001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222250</xdr:colOff>
          <xdr:row>9</xdr:row>
          <xdr:rowOff>184150</xdr:rowOff>
        </xdr:from>
        <xdr:to>
          <xdr:col>2</xdr:col>
          <xdr:colOff>622300</xdr:colOff>
          <xdr:row>11</xdr:row>
          <xdr:rowOff>31750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A00-00001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222250</xdr:colOff>
          <xdr:row>9</xdr:row>
          <xdr:rowOff>184150</xdr:rowOff>
        </xdr:from>
        <xdr:to>
          <xdr:col>6</xdr:col>
          <xdr:colOff>641350</xdr:colOff>
          <xdr:row>11</xdr:row>
          <xdr:rowOff>31750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A00-00001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11</xdr:row>
          <xdr:rowOff>165100</xdr:rowOff>
        </xdr:from>
        <xdr:to>
          <xdr:col>2</xdr:col>
          <xdr:colOff>431800</xdr:colOff>
          <xdr:row>13</xdr:row>
          <xdr:rowOff>12700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A00-00001C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755650</xdr:colOff>
          <xdr:row>11</xdr:row>
          <xdr:rowOff>184150</xdr:rowOff>
        </xdr:from>
        <xdr:to>
          <xdr:col>7</xdr:col>
          <xdr:colOff>412750</xdr:colOff>
          <xdr:row>13</xdr:row>
          <xdr:rowOff>38100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A00-00001F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431800</xdr:colOff>
          <xdr:row>11</xdr:row>
          <xdr:rowOff>165100</xdr:rowOff>
        </xdr:from>
        <xdr:to>
          <xdr:col>5</xdr:col>
          <xdr:colOff>184150</xdr:colOff>
          <xdr:row>13</xdr:row>
          <xdr:rowOff>12700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A00-000020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MB_Original%20Configur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MB_Original%20Configuration%20-%20trw%203%204%202020%20-%20NST%203%2023%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Property Calculation"/>
      <sheetName val="FOR AL HMB Only (Dry Gas)"/>
      <sheetName val="Heat and Mass Balance"/>
      <sheetName val="Heat and Mass for AL"/>
      <sheetName val="Calculation Basis"/>
      <sheetName val="Sheet1"/>
      <sheetName val="AL Datasheet"/>
      <sheetName val="Feed Gas Compressor Datasheet"/>
      <sheetName val="API Datasheet Format"/>
      <sheetName val="Recycle Gas Comp Datasheet"/>
      <sheetName val="Product Gas Comp Datasheet"/>
      <sheetName val="Blower Datasheet"/>
      <sheetName val="HMB_Original Configuration"/>
    </sheetNames>
    <sheetDataSet>
      <sheetData sheetId="0"/>
      <sheetData sheetId="1">
        <row r="2">
          <cell r="E2">
            <v>1</v>
          </cell>
        </row>
      </sheetData>
      <sheetData sheetId="2"/>
      <sheetData sheetId="3">
        <row r="21">
          <cell r="E21">
            <v>60.149759388932488</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Property Calculation"/>
      <sheetName val="FOR AL HMB Only (Dry Gas)"/>
      <sheetName val="Heat and Mass Balance"/>
      <sheetName val="Heat and Mass for AL"/>
      <sheetName val="Calculation Basis"/>
      <sheetName val="Sheet1"/>
      <sheetName val="AL Datasheet"/>
      <sheetName val="Feed Compress_Delete"/>
      <sheetName val="API Datasheet Format"/>
      <sheetName val="Feed Gas Compressor Datasheet"/>
      <sheetName val="Recycle Gas_Delete"/>
      <sheetName val="Recycle Gas Comp Datasheet"/>
      <sheetName val="Product Gas_Delete"/>
      <sheetName val="Product Gas Comp Datasheet"/>
      <sheetName val="Blower Datasheet"/>
      <sheetName val="H2S Gurad Beds"/>
    </sheetNames>
    <sheetDataSet>
      <sheetData sheetId="0">
        <row r="22">
          <cell r="F22">
            <v>95</v>
          </cell>
        </row>
        <row r="23">
          <cell r="F23">
            <v>24</v>
          </cell>
        </row>
        <row r="24">
          <cell r="F24">
            <v>101</v>
          </cell>
        </row>
      </sheetData>
      <sheetData sheetId="1">
        <row r="3">
          <cell r="C3" t="str">
            <v>Stream Name</v>
          </cell>
          <cell r="E3" t="str">
            <v>Raw Gas to H2S Guard Beds</v>
          </cell>
          <cell r="F3"/>
          <cell r="G3"/>
          <cell r="H3"/>
          <cell r="I3"/>
          <cell r="J3"/>
          <cell r="K3" t="str">
            <v xml:space="preserve">Raw Feed to Low Pressure Separator </v>
          </cell>
          <cell r="L3"/>
          <cell r="M3"/>
          <cell r="N3"/>
          <cell r="O3"/>
          <cell r="P3"/>
          <cell r="Q3" t="str">
            <v>Seperator to Feed Gas Compressor</v>
          </cell>
          <cell r="R3"/>
          <cell r="S3"/>
          <cell r="T3"/>
          <cell r="U3"/>
          <cell r="V3"/>
          <cell r="W3" t="str">
            <v>Feed+Recycle to Compressor</v>
          </cell>
          <cell r="X3"/>
          <cell r="Y3"/>
          <cell r="Z3"/>
          <cell r="AA3"/>
          <cell r="AB3"/>
          <cell r="AC3" t="str">
            <v>Compressor Discharge to Membrane Skid HX</v>
          </cell>
          <cell r="AD3"/>
          <cell r="AE3"/>
          <cell r="AF3"/>
          <cell r="AG3"/>
          <cell r="AH3"/>
          <cell r="AI3" t="str">
            <v>Compressed Gas to After Cooler</v>
          </cell>
          <cell r="AJ3"/>
          <cell r="AK3"/>
          <cell r="AL3"/>
          <cell r="AM3"/>
          <cell r="AN3"/>
          <cell r="AO3" t="str">
            <v>Compressed Gas from Air Cooler to Re-heater</v>
          </cell>
          <cell r="AP3"/>
          <cell r="AQ3"/>
          <cell r="AR3"/>
          <cell r="AS3"/>
          <cell r="AT3"/>
          <cell r="AU3" t="str">
            <v>Compressed Gas to Chiller</v>
          </cell>
          <cell r="AV3"/>
          <cell r="AW3"/>
          <cell r="AX3"/>
          <cell r="AY3"/>
          <cell r="AZ3"/>
          <cell r="BA3" t="str">
            <v>Cooled Compressed gas to Re-Heater</v>
          </cell>
          <cell r="BB3"/>
          <cell r="BC3"/>
          <cell r="BD3"/>
          <cell r="BE3"/>
          <cell r="BF3"/>
          <cell r="BG3" t="str">
            <v>Re-Heated Compressed Gas to Activated Carbon Filter</v>
          </cell>
          <cell r="BH3"/>
          <cell r="BI3"/>
          <cell r="BJ3"/>
          <cell r="BK3"/>
          <cell r="BL3"/>
          <cell r="BM3" t="str">
            <v>To AL Skid</v>
          </cell>
          <cell r="BN3"/>
          <cell r="BO3"/>
          <cell r="BP3"/>
          <cell r="BQ3"/>
          <cell r="BR3"/>
          <cell r="BS3" t="str">
            <v>Waste Gas to Thermal Oxidizer</v>
          </cell>
          <cell r="BT3"/>
          <cell r="BU3"/>
          <cell r="BV3"/>
          <cell r="BW3"/>
          <cell r="BX3"/>
          <cell r="BY3" t="str">
            <v>Waste Gas to Thermal Oxidizer</v>
          </cell>
          <cell r="BZ3"/>
          <cell r="CA3"/>
          <cell r="CB3"/>
          <cell r="CC3"/>
          <cell r="CD3"/>
          <cell r="CE3" t="str">
            <v>Recycle Gas to Recycle Gas Compressor</v>
          </cell>
          <cell r="CF3"/>
          <cell r="CG3"/>
          <cell r="CH3"/>
          <cell r="CI3"/>
          <cell r="CJ3"/>
          <cell r="CK3" t="str">
            <v>Compressed Recycle Gas to Recycle Gas Air Cooled  After Cooler</v>
          </cell>
          <cell r="CL3"/>
          <cell r="CM3"/>
          <cell r="CN3"/>
          <cell r="CO3"/>
          <cell r="CP3"/>
          <cell r="CQ3" t="str">
            <v>Compressed Cooled Recycle Gas to Feed Compressor</v>
          </cell>
          <cell r="CR3"/>
          <cell r="CS3"/>
          <cell r="CT3"/>
          <cell r="CU3"/>
          <cell r="CV3"/>
          <cell r="CW3" t="str">
            <v>Product Gas to Polished Beds</v>
          </cell>
          <cell r="CX3"/>
          <cell r="CY3"/>
          <cell r="CZ3"/>
          <cell r="DA3"/>
          <cell r="DB3"/>
          <cell r="DC3" t="str">
            <v>Product Gas to Product Gas Compressor</v>
          </cell>
          <cell r="DD3"/>
          <cell r="DE3"/>
          <cell r="DF3"/>
          <cell r="DG3"/>
          <cell r="DH3"/>
          <cell r="DI3" t="str">
            <v>Compressed Product Gas to Air Cooled Aftercooler</v>
          </cell>
          <cell r="DJ3"/>
          <cell r="DK3"/>
          <cell r="DL3"/>
          <cell r="DM3"/>
          <cell r="DN3"/>
          <cell r="DO3" t="str">
            <v>Product Gas to Chilled Water Cooler</v>
          </cell>
          <cell r="DP3"/>
          <cell r="DQ3"/>
          <cell r="DR3"/>
          <cell r="DS3"/>
          <cell r="DT3"/>
          <cell r="DU3" t="str">
            <v>Compressed Product Gas to PG&amp;E B/L</v>
          </cell>
          <cell r="DV3"/>
          <cell r="DW3"/>
          <cell r="DX3"/>
          <cell r="DY3"/>
          <cell r="DZ3"/>
        </row>
        <row r="4">
          <cell r="C4" t="str">
            <v>Pressure</v>
          </cell>
          <cell r="E4">
            <v>65</v>
          </cell>
          <cell r="F4"/>
          <cell r="G4"/>
          <cell r="H4"/>
          <cell r="I4"/>
          <cell r="J4"/>
          <cell r="K4">
            <v>63</v>
          </cell>
          <cell r="L4"/>
          <cell r="M4"/>
          <cell r="N4"/>
          <cell r="O4"/>
          <cell r="P4"/>
          <cell r="Q4">
            <v>62.5</v>
          </cell>
          <cell r="R4"/>
          <cell r="S4"/>
          <cell r="T4"/>
          <cell r="U4"/>
          <cell r="V4"/>
          <cell r="W4">
            <v>62.5</v>
          </cell>
          <cell r="X4"/>
          <cell r="Y4"/>
          <cell r="Z4"/>
          <cell r="AA4"/>
          <cell r="AB4"/>
          <cell r="AC4">
            <v>200</v>
          </cell>
          <cell r="AD4"/>
          <cell r="AE4"/>
          <cell r="AF4"/>
          <cell r="AG4"/>
          <cell r="AH4"/>
          <cell r="AI4">
            <v>198</v>
          </cell>
          <cell r="AJ4"/>
          <cell r="AK4"/>
          <cell r="AL4"/>
          <cell r="AM4"/>
          <cell r="AN4"/>
          <cell r="AO4">
            <v>196</v>
          </cell>
          <cell r="AP4"/>
          <cell r="AQ4"/>
          <cell r="AR4"/>
          <cell r="AS4"/>
          <cell r="AT4"/>
          <cell r="AU4">
            <v>194</v>
          </cell>
          <cell r="AV4"/>
          <cell r="AW4"/>
          <cell r="AX4"/>
          <cell r="AY4"/>
          <cell r="AZ4"/>
          <cell r="BA4">
            <v>192</v>
          </cell>
          <cell r="BB4"/>
          <cell r="BC4"/>
          <cell r="BD4"/>
          <cell r="BE4"/>
          <cell r="BF4"/>
          <cell r="BG4">
            <v>190</v>
          </cell>
          <cell r="BH4"/>
          <cell r="BI4"/>
          <cell r="BJ4"/>
          <cell r="BK4"/>
          <cell r="BL4"/>
          <cell r="BM4">
            <v>189</v>
          </cell>
          <cell r="BN4"/>
          <cell r="BO4"/>
          <cell r="BP4"/>
          <cell r="BQ4"/>
          <cell r="BR4"/>
          <cell r="BS4">
            <v>2</v>
          </cell>
          <cell r="BT4"/>
          <cell r="BU4"/>
          <cell r="BV4"/>
          <cell r="BW4"/>
          <cell r="BX4"/>
          <cell r="BY4">
            <v>3</v>
          </cell>
          <cell r="BZ4"/>
          <cell r="CA4"/>
          <cell r="CB4"/>
          <cell r="CC4"/>
          <cell r="CD4"/>
          <cell r="CE4">
            <v>5</v>
          </cell>
          <cell r="CF4"/>
          <cell r="CG4"/>
          <cell r="CH4"/>
          <cell r="CI4"/>
          <cell r="CJ4"/>
          <cell r="CK4">
            <v>65</v>
          </cell>
          <cell r="CL4"/>
          <cell r="CM4"/>
          <cell r="CN4"/>
          <cell r="CO4"/>
          <cell r="CP4"/>
          <cell r="CQ4">
            <v>63</v>
          </cell>
          <cell r="CR4"/>
          <cell r="CS4"/>
          <cell r="CT4"/>
          <cell r="CU4"/>
          <cell r="CV4"/>
          <cell r="CW4">
            <v>156.19999999999999</v>
          </cell>
          <cell r="CX4"/>
          <cell r="CY4"/>
          <cell r="CZ4"/>
          <cell r="DA4"/>
          <cell r="DB4"/>
          <cell r="DC4">
            <v>150</v>
          </cell>
          <cell r="DD4"/>
          <cell r="DE4"/>
          <cell r="DF4"/>
          <cell r="DG4"/>
          <cell r="DH4"/>
          <cell r="DI4">
            <v>270</v>
          </cell>
          <cell r="DJ4"/>
          <cell r="DK4"/>
          <cell r="DL4"/>
          <cell r="DM4"/>
          <cell r="DN4"/>
          <cell r="DO4">
            <v>268</v>
          </cell>
          <cell r="DP4"/>
          <cell r="DQ4"/>
          <cell r="DR4"/>
          <cell r="DS4"/>
          <cell r="DT4"/>
          <cell r="DU4">
            <v>265</v>
          </cell>
          <cell r="DV4"/>
          <cell r="DW4"/>
          <cell r="DX4"/>
          <cell r="DY4"/>
          <cell r="DZ4"/>
        </row>
        <row r="5">
          <cell r="C5" t="str">
            <v>Temperature</v>
          </cell>
          <cell r="E5">
            <v>100</v>
          </cell>
          <cell r="F5"/>
          <cell r="G5"/>
          <cell r="H5"/>
          <cell r="I5"/>
          <cell r="J5"/>
          <cell r="K5">
            <v>100</v>
          </cell>
          <cell r="L5"/>
          <cell r="M5"/>
          <cell r="N5"/>
          <cell r="O5"/>
          <cell r="P5"/>
          <cell r="Q5">
            <v>100</v>
          </cell>
          <cell r="R5"/>
          <cell r="S5"/>
          <cell r="T5"/>
          <cell r="U5"/>
          <cell r="V5"/>
          <cell r="W5">
            <v>109.92406645142236</v>
          </cell>
          <cell r="X5"/>
          <cell r="Y5"/>
          <cell r="Z5"/>
          <cell r="AA5"/>
          <cell r="AB5"/>
          <cell r="AC5">
            <v>248</v>
          </cell>
          <cell r="AD5"/>
          <cell r="AE5"/>
          <cell r="AF5"/>
          <cell r="AG5"/>
          <cell r="AH5"/>
          <cell r="AI5">
            <v>220</v>
          </cell>
          <cell r="AJ5"/>
          <cell r="AK5"/>
          <cell r="AL5"/>
          <cell r="AM5"/>
          <cell r="AN5"/>
          <cell r="AO5">
            <v>120</v>
          </cell>
          <cell r="AP5"/>
          <cell r="AQ5"/>
          <cell r="AR5"/>
          <cell r="AS5"/>
          <cell r="AT5"/>
          <cell r="AU5">
            <v>112</v>
          </cell>
          <cell r="AV5"/>
          <cell r="AW5"/>
          <cell r="AX5"/>
          <cell r="AY5"/>
          <cell r="AZ5"/>
          <cell r="BA5">
            <v>40</v>
          </cell>
          <cell r="BB5"/>
          <cell r="BC5"/>
          <cell r="BD5"/>
          <cell r="BE5"/>
          <cell r="BF5"/>
          <cell r="BG5">
            <v>50</v>
          </cell>
          <cell r="BH5"/>
          <cell r="BI5"/>
          <cell r="BJ5"/>
          <cell r="BK5"/>
          <cell r="BL5"/>
          <cell r="BM5">
            <v>50</v>
          </cell>
          <cell r="BN5"/>
          <cell r="BO5"/>
          <cell r="BP5"/>
          <cell r="BQ5"/>
          <cell r="BR5"/>
          <cell r="BS5">
            <v>50</v>
          </cell>
          <cell r="BT5"/>
          <cell r="BU5"/>
          <cell r="BV5"/>
          <cell r="BW5"/>
          <cell r="BX5"/>
          <cell r="BY5">
            <v>90</v>
          </cell>
          <cell r="BZ5"/>
          <cell r="CA5"/>
          <cell r="CB5"/>
          <cell r="CC5"/>
          <cell r="CD5"/>
          <cell r="CE5">
            <v>86</v>
          </cell>
          <cell r="CF5"/>
          <cell r="CG5"/>
          <cell r="CH5"/>
          <cell r="CI5"/>
          <cell r="CJ5"/>
          <cell r="CK5">
            <v>248</v>
          </cell>
          <cell r="CL5"/>
          <cell r="CM5"/>
          <cell r="CN5"/>
          <cell r="CO5"/>
          <cell r="CP5"/>
          <cell r="CQ5">
            <v>120</v>
          </cell>
          <cell r="CR5"/>
          <cell r="CS5"/>
          <cell r="CT5"/>
          <cell r="CU5"/>
          <cell r="CV5"/>
          <cell r="CW5">
            <v>76.099999999999994</v>
          </cell>
          <cell r="CX5"/>
          <cell r="CY5"/>
          <cell r="CZ5"/>
          <cell r="DA5"/>
          <cell r="DB5"/>
          <cell r="DC5">
            <v>76.099999999999994</v>
          </cell>
          <cell r="DD5"/>
          <cell r="DE5"/>
          <cell r="DF5"/>
          <cell r="DG5"/>
          <cell r="DH5"/>
          <cell r="DI5">
            <v>240</v>
          </cell>
          <cell r="DJ5"/>
          <cell r="DK5"/>
          <cell r="DL5"/>
          <cell r="DM5"/>
          <cell r="DN5"/>
          <cell r="DO5">
            <v>120</v>
          </cell>
          <cell r="DP5"/>
          <cell r="DQ5"/>
          <cell r="DR5"/>
          <cell r="DS5"/>
          <cell r="DT5"/>
          <cell r="DU5">
            <v>90</v>
          </cell>
          <cell r="DV5"/>
          <cell r="DW5"/>
          <cell r="DX5"/>
          <cell r="DY5"/>
          <cell r="DZ5"/>
        </row>
        <row r="6">
          <cell r="C6"/>
          <cell r="E6">
            <v>37.777777777777779</v>
          </cell>
          <cell r="F6"/>
          <cell r="G6"/>
          <cell r="H6"/>
          <cell r="I6"/>
          <cell r="J6"/>
          <cell r="K6">
            <v>37.777777777777779</v>
          </cell>
          <cell r="L6"/>
          <cell r="M6"/>
          <cell r="N6"/>
          <cell r="O6"/>
          <cell r="P6"/>
          <cell r="Q6">
            <v>37.777777777777779</v>
          </cell>
          <cell r="R6"/>
          <cell r="S6"/>
          <cell r="T6"/>
          <cell r="U6"/>
          <cell r="V6"/>
          <cell r="W6">
            <v>43.291148028567981</v>
          </cell>
          <cell r="X6"/>
          <cell r="Y6"/>
          <cell r="Z6"/>
          <cell r="AA6"/>
          <cell r="AB6"/>
          <cell r="AC6">
            <v>120</v>
          </cell>
          <cell r="AD6"/>
          <cell r="AE6"/>
          <cell r="AF6"/>
          <cell r="AG6"/>
          <cell r="AH6"/>
          <cell r="AI6">
            <v>104.44444444444444</v>
          </cell>
          <cell r="AJ6"/>
          <cell r="AK6"/>
          <cell r="AL6"/>
          <cell r="AM6"/>
          <cell r="AN6"/>
          <cell r="AO6">
            <v>48.888888888888886</v>
          </cell>
          <cell r="AP6"/>
          <cell r="AQ6"/>
          <cell r="AR6"/>
          <cell r="AS6"/>
          <cell r="AT6"/>
          <cell r="AU6">
            <v>44.444444444444443</v>
          </cell>
          <cell r="AV6"/>
          <cell r="AW6"/>
          <cell r="AX6"/>
          <cell r="AY6"/>
          <cell r="AZ6"/>
          <cell r="BA6">
            <v>4.4444444444444446</v>
          </cell>
          <cell r="BB6"/>
          <cell r="BC6"/>
          <cell r="BD6"/>
          <cell r="BE6"/>
          <cell r="BF6"/>
          <cell r="BG6">
            <v>10</v>
          </cell>
          <cell r="BH6"/>
          <cell r="BI6"/>
          <cell r="BJ6"/>
          <cell r="BK6"/>
          <cell r="BL6"/>
          <cell r="BM6">
            <v>10</v>
          </cell>
          <cell r="BN6"/>
          <cell r="BO6"/>
          <cell r="BP6"/>
          <cell r="BQ6"/>
          <cell r="BR6"/>
          <cell r="BS6">
            <v>10</v>
          </cell>
          <cell r="BT6"/>
          <cell r="BU6"/>
          <cell r="BV6"/>
          <cell r="BW6"/>
          <cell r="BX6"/>
          <cell r="BY6">
            <v>32.222222222222221</v>
          </cell>
          <cell r="BZ6"/>
          <cell r="CA6"/>
          <cell r="CB6"/>
          <cell r="CC6"/>
          <cell r="CD6"/>
          <cell r="CE6">
            <v>30</v>
          </cell>
          <cell r="CF6"/>
          <cell r="CG6"/>
          <cell r="CH6"/>
          <cell r="CI6"/>
          <cell r="CJ6"/>
          <cell r="CK6">
            <v>120</v>
          </cell>
          <cell r="CL6"/>
          <cell r="CM6"/>
          <cell r="CN6"/>
          <cell r="CO6"/>
          <cell r="CP6"/>
          <cell r="CQ6">
            <v>48.888888888888886</v>
          </cell>
          <cell r="CR6"/>
          <cell r="CS6"/>
          <cell r="CT6"/>
          <cell r="CU6"/>
          <cell r="CV6"/>
          <cell r="CW6">
            <v>24.499999999999996</v>
          </cell>
          <cell r="CX6"/>
          <cell r="CY6"/>
          <cell r="CZ6"/>
          <cell r="DA6"/>
          <cell r="DB6"/>
          <cell r="DC6">
            <v>24.499999999999996</v>
          </cell>
          <cell r="DD6"/>
          <cell r="DE6"/>
          <cell r="DF6"/>
          <cell r="DG6"/>
          <cell r="DH6"/>
          <cell r="DI6">
            <v>115.55555555555556</v>
          </cell>
          <cell r="DJ6"/>
          <cell r="DK6"/>
          <cell r="DL6"/>
          <cell r="DM6"/>
          <cell r="DN6"/>
          <cell r="DO6">
            <v>48.888888888888886</v>
          </cell>
          <cell r="DP6"/>
          <cell r="DQ6"/>
          <cell r="DR6"/>
          <cell r="DS6"/>
          <cell r="DT6"/>
          <cell r="DU6">
            <v>32.222222222222221</v>
          </cell>
          <cell r="DV6"/>
          <cell r="DW6"/>
          <cell r="DX6"/>
          <cell r="DY6"/>
          <cell r="DZ6"/>
        </row>
        <row r="7">
          <cell r="C7" t="str">
            <v>Total Gas Flow</v>
          </cell>
          <cell r="E7">
            <v>2300.0459999999994</v>
          </cell>
          <cell r="F7"/>
          <cell r="G7"/>
          <cell r="H7"/>
          <cell r="I7"/>
          <cell r="J7"/>
          <cell r="K7">
            <v>2299.9402001839994</v>
          </cell>
          <cell r="L7"/>
          <cell r="M7"/>
          <cell r="N7"/>
          <cell r="O7"/>
          <cell r="P7"/>
          <cell r="Q7">
            <v>2299.9402001839994</v>
          </cell>
          <cell r="R7"/>
          <cell r="S7"/>
          <cell r="T7"/>
          <cell r="U7"/>
          <cell r="V7"/>
          <cell r="W7">
            <v>4441.037105265681</v>
          </cell>
          <cell r="X7"/>
          <cell r="Y7"/>
          <cell r="Z7"/>
          <cell r="AA7"/>
          <cell r="AB7"/>
          <cell r="AC7">
            <v>4441.037105265681</v>
          </cell>
          <cell r="AD7"/>
          <cell r="AE7"/>
          <cell r="AF7"/>
          <cell r="AG7"/>
          <cell r="AH7"/>
          <cell r="AI7">
            <v>4441.037105265681</v>
          </cell>
          <cell r="AJ7"/>
          <cell r="AK7"/>
          <cell r="AL7"/>
          <cell r="AM7"/>
          <cell r="AN7"/>
          <cell r="AO7">
            <v>4441.037105265681</v>
          </cell>
          <cell r="AP7"/>
          <cell r="AQ7"/>
          <cell r="AR7"/>
          <cell r="AS7"/>
          <cell r="AT7"/>
          <cell r="AU7">
            <v>4441.037105265681</v>
          </cell>
          <cell r="AV7"/>
          <cell r="AW7"/>
          <cell r="AX7"/>
          <cell r="AY7"/>
          <cell r="AZ7"/>
          <cell r="BA7">
            <v>4438.59009527537</v>
          </cell>
          <cell r="BB7"/>
          <cell r="BC7"/>
          <cell r="BD7"/>
          <cell r="BE7"/>
          <cell r="BF7"/>
          <cell r="BG7">
            <v>4438.59009527537</v>
          </cell>
          <cell r="BH7"/>
          <cell r="BI7"/>
          <cell r="BJ7"/>
          <cell r="BK7"/>
          <cell r="BL7"/>
          <cell r="BM7">
            <v>4438.59009527537</v>
          </cell>
          <cell r="BN7"/>
          <cell r="BO7"/>
          <cell r="BP7"/>
          <cell r="BQ7"/>
          <cell r="BR7"/>
          <cell r="BS7">
            <v>918.55109518351742</v>
          </cell>
          <cell r="BT7"/>
          <cell r="BU7"/>
          <cell r="BV7"/>
          <cell r="BW7"/>
          <cell r="BX7"/>
          <cell r="BY7">
            <v>918.55109518351742</v>
          </cell>
          <cell r="BZ7"/>
          <cell r="CA7"/>
          <cell r="CB7"/>
          <cell r="CC7"/>
          <cell r="CD7"/>
          <cell r="CE7">
            <v>2141.0969050816798</v>
          </cell>
          <cell r="CF7"/>
          <cell r="CG7"/>
          <cell r="CH7"/>
          <cell r="CI7"/>
          <cell r="CJ7"/>
          <cell r="CK7">
            <v>2141.0969050816798</v>
          </cell>
          <cell r="CL7"/>
          <cell r="CM7"/>
          <cell r="CN7"/>
          <cell r="CO7"/>
          <cell r="CP7"/>
          <cell r="CQ7">
            <v>2141.0969050816798</v>
          </cell>
          <cell r="CR7"/>
          <cell r="CS7"/>
          <cell r="CT7"/>
          <cell r="CU7"/>
          <cell r="CV7"/>
          <cell r="CW7">
            <v>1378.9420950101714</v>
          </cell>
          <cell r="CX7"/>
          <cell r="CY7"/>
          <cell r="CZ7"/>
          <cell r="DA7"/>
          <cell r="DB7"/>
          <cell r="DC7">
            <v>1378.9420950101714</v>
          </cell>
          <cell r="DD7"/>
          <cell r="DE7"/>
          <cell r="DF7"/>
          <cell r="DG7"/>
          <cell r="DH7"/>
          <cell r="DI7">
            <v>1378.9420950101714</v>
          </cell>
          <cell r="DJ7"/>
          <cell r="DK7"/>
          <cell r="DL7"/>
          <cell r="DM7"/>
          <cell r="DN7"/>
          <cell r="DO7">
            <v>1378.9420950101714</v>
          </cell>
          <cell r="DP7"/>
          <cell r="DQ7"/>
          <cell r="DR7"/>
          <cell r="DS7"/>
          <cell r="DT7"/>
          <cell r="DU7">
            <v>1378.9420950101714</v>
          </cell>
          <cell r="DV7"/>
          <cell r="DW7"/>
          <cell r="DX7"/>
          <cell r="DY7"/>
          <cell r="DZ7"/>
        </row>
        <row r="8">
          <cell r="C8" t="str">
            <v>Actual Gas Flow</v>
          </cell>
          <cell r="E8">
            <v>456.85693157031164</v>
          </cell>
          <cell r="F8"/>
          <cell r="G8"/>
          <cell r="H8"/>
          <cell r="I8"/>
          <cell r="J8"/>
          <cell r="K8">
            <v>468.59488486077322</v>
          </cell>
          <cell r="L8"/>
          <cell r="M8"/>
          <cell r="N8"/>
          <cell r="O8"/>
          <cell r="P8"/>
          <cell r="Q8">
            <v>471.62982582489747</v>
          </cell>
          <cell r="R8"/>
          <cell r="S8"/>
          <cell r="T8"/>
          <cell r="U8"/>
          <cell r="V8"/>
          <cell r="W8">
            <v>926.82574523046151</v>
          </cell>
          <cell r="X8"/>
          <cell r="Y8"/>
          <cell r="Z8"/>
          <cell r="AA8"/>
          <cell r="AB8"/>
          <cell r="AC8">
            <v>413.99929935117956</v>
          </cell>
          <cell r="AD8"/>
          <cell r="AE8"/>
          <cell r="AF8"/>
          <cell r="AG8"/>
          <cell r="AH8"/>
          <cell r="AI8">
            <v>401.36529333691124</v>
          </cell>
          <cell r="AJ8"/>
          <cell r="AK8"/>
          <cell r="AL8"/>
          <cell r="AM8"/>
          <cell r="AN8"/>
          <cell r="AO8">
            <v>345.59054396969054</v>
          </cell>
          <cell r="AP8"/>
          <cell r="AQ8"/>
          <cell r="AR8"/>
          <cell r="AS8"/>
          <cell r="AT8"/>
          <cell r="AU8">
            <v>344.08993767199826</v>
          </cell>
          <cell r="AV8"/>
          <cell r="AW8"/>
          <cell r="AX8"/>
          <cell r="AY8"/>
          <cell r="AZ8"/>
          <cell r="BA8">
            <v>303.52087008553787</v>
          </cell>
          <cell r="BB8"/>
          <cell r="BC8"/>
          <cell r="BD8"/>
          <cell r="BE8"/>
          <cell r="BF8"/>
          <cell r="BG8">
            <v>312.61611687158921</v>
          </cell>
          <cell r="BH8"/>
          <cell r="BI8"/>
          <cell r="BJ8"/>
          <cell r="BK8"/>
          <cell r="BL8"/>
          <cell r="BM8">
            <v>314.15080571239224</v>
          </cell>
          <cell r="BN8"/>
          <cell r="BO8"/>
          <cell r="BP8"/>
          <cell r="BQ8"/>
          <cell r="BR8"/>
          <cell r="BS8">
            <v>792.99603415371143</v>
          </cell>
          <cell r="BT8"/>
          <cell r="BU8"/>
          <cell r="BV8"/>
          <cell r="BW8"/>
          <cell r="BX8"/>
          <cell r="BY8">
            <v>806.87588054745095</v>
          </cell>
          <cell r="BZ8"/>
          <cell r="CA8"/>
          <cell r="CB8"/>
          <cell r="CC8"/>
          <cell r="CD8"/>
          <cell r="CE8">
            <v>1677.5548593876006</v>
          </cell>
          <cell r="CF8"/>
          <cell r="CG8"/>
          <cell r="CH8"/>
          <cell r="CI8"/>
          <cell r="CJ8"/>
          <cell r="CK8">
            <v>537.68169455960071</v>
          </cell>
          <cell r="CL8"/>
          <cell r="CM8"/>
          <cell r="CN8"/>
          <cell r="CO8"/>
          <cell r="CP8"/>
          <cell r="CQ8">
            <v>451.81150907648748</v>
          </cell>
          <cell r="CR8"/>
          <cell r="CS8"/>
          <cell r="CT8"/>
          <cell r="CU8"/>
          <cell r="CV8"/>
          <cell r="CW8">
            <v>122.28234685020264</v>
          </cell>
          <cell r="CX8"/>
          <cell r="CY8"/>
          <cell r="CZ8"/>
          <cell r="DA8"/>
          <cell r="DB8"/>
          <cell r="DC8">
            <v>126.88556816453934</v>
          </cell>
          <cell r="DD8"/>
          <cell r="DE8"/>
          <cell r="DF8"/>
          <cell r="DG8"/>
          <cell r="DH8"/>
          <cell r="DI8">
            <v>95.845249774760632</v>
          </cell>
          <cell r="DJ8"/>
          <cell r="DK8"/>
          <cell r="DL8"/>
          <cell r="DM8"/>
          <cell r="DN8"/>
          <cell r="DO8">
            <v>79.976465280242181</v>
          </cell>
          <cell r="DP8"/>
          <cell r="DQ8"/>
          <cell r="DR8"/>
          <cell r="DS8"/>
          <cell r="DT8"/>
          <cell r="DU8">
            <v>76.653191868741459</v>
          </cell>
          <cell r="DV8"/>
          <cell r="DW8"/>
          <cell r="DX8"/>
          <cell r="DY8"/>
          <cell r="DZ8"/>
        </row>
        <row r="9">
          <cell r="C9" t="str">
            <v>Mass Flow</v>
          </cell>
          <cell r="E9">
            <v>9800.4800653508664</v>
          </cell>
          <cell r="F9"/>
          <cell r="G9"/>
          <cell r="H9"/>
          <cell r="I9"/>
          <cell r="J9"/>
          <cell r="K9">
            <v>9799.9099858658828</v>
          </cell>
          <cell r="L9"/>
          <cell r="M9"/>
          <cell r="N9"/>
          <cell r="O9"/>
          <cell r="P9"/>
          <cell r="Q9">
            <v>9799.9099858658828</v>
          </cell>
          <cell r="R9"/>
          <cell r="S9"/>
          <cell r="T9"/>
          <cell r="U9"/>
          <cell r="V9"/>
          <cell r="W9">
            <v>19452.113173670718</v>
          </cell>
          <cell r="X9"/>
          <cell r="Y9"/>
          <cell r="Z9"/>
          <cell r="AA9"/>
          <cell r="AB9"/>
          <cell r="AC9">
            <v>19452.113173670718</v>
          </cell>
          <cell r="AD9"/>
          <cell r="AE9"/>
          <cell r="AF9"/>
          <cell r="AG9"/>
          <cell r="AH9"/>
          <cell r="AI9">
            <v>19452.113173670718</v>
          </cell>
          <cell r="AJ9"/>
          <cell r="AK9"/>
          <cell r="AL9"/>
          <cell r="AM9"/>
          <cell r="AN9"/>
          <cell r="AO9">
            <v>19452.113173670718</v>
          </cell>
          <cell r="AP9"/>
          <cell r="AQ9"/>
          <cell r="AR9"/>
          <cell r="AS9"/>
          <cell r="AT9"/>
          <cell r="AU9">
            <v>19452.113173670718</v>
          </cell>
          <cell r="AV9"/>
          <cell r="AW9"/>
          <cell r="AX9"/>
          <cell r="AY9"/>
          <cell r="AZ9"/>
          <cell r="BA9">
            <v>19445.14142948372</v>
          </cell>
          <cell r="BB9"/>
          <cell r="BC9"/>
          <cell r="BD9"/>
          <cell r="BE9"/>
          <cell r="BF9"/>
          <cell r="BG9">
            <v>19445.14142948372</v>
          </cell>
          <cell r="BH9"/>
          <cell r="BI9"/>
          <cell r="BJ9"/>
          <cell r="BK9"/>
          <cell r="BL9"/>
          <cell r="BM9">
            <v>19445.14142948372</v>
          </cell>
          <cell r="BN9"/>
          <cell r="BO9"/>
          <cell r="BP9"/>
          <cell r="BQ9"/>
          <cell r="BR9"/>
          <cell r="BS9">
            <v>6250.7213423426483</v>
          </cell>
          <cell r="BT9"/>
          <cell r="BU9"/>
          <cell r="BV9"/>
          <cell r="BW9"/>
          <cell r="BX9"/>
          <cell r="BY9">
            <v>6250.7213423426483</v>
          </cell>
          <cell r="BZ9"/>
          <cell r="CA9"/>
          <cell r="CB9"/>
          <cell r="CC9"/>
          <cell r="CD9"/>
          <cell r="CE9">
            <v>9652.2031878048347</v>
          </cell>
          <cell r="CF9"/>
          <cell r="CG9"/>
          <cell r="CH9"/>
          <cell r="CI9"/>
          <cell r="CJ9"/>
          <cell r="CK9">
            <v>9652.2031878048347</v>
          </cell>
          <cell r="CL9"/>
          <cell r="CM9"/>
          <cell r="CN9"/>
          <cell r="CO9"/>
          <cell r="CP9"/>
          <cell r="CQ9">
            <v>9652.2031878048347</v>
          </cell>
          <cell r="CR9"/>
          <cell r="CS9"/>
          <cell r="CT9"/>
          <cell r="CU9"/>
          <cell r="CV9"/>
          <cell r="CW9">
            <v>3542.2168993362329</v>
          </cell>
          <cell r="CX9"/>
          <cell r="CY9"/>
          <cell r="CZ9"/>
          <cell r="DA9"/>
          <cell r="DB9"/>
          <cell r="DC9">
            <v>3542.2168993362329</v>
          </cell>
          <cell r="DD9"/>
          <cell r="DE9"/>
          <cell r="DF9"/>
          <cell r="DG9"/>
          <cell r="DH9"/>
          <cell r="DI9">
            <v>3542.2168993362329</v>
          </cell>
          <cell r="DJ9"/>
          <cell r="DK9"/>
          <cell r="DL9"/>
          <cell r="DM9"/>
          <cell r="DN9"/>
          <cell r="DO9">
            <v>3542.2168993362329</v>
          </cell>
          <cell r="DP9"/>
          <cell r="DQ9"/>
          <cell r="DR9"/>
          <cell r="DS9"/>
          <cell r="DT9"/>
          <cell r="DU9">
            <v>3542.2168993362329</v>
          </cell>
          <cell r="DV9"/>
          <cell r="DW9"/>
          <cell r="DX9"/>
          <cell r="DY9"/>
          <cell r="DZ9"/>
        </row>
        <row r="10">
          <cell r="C10" t="str">
            <v>Molar Flow</v>
          </cell>
          <cell r="E10">
            <v>363.6532187936441</v>
          </cell>
          <cell r="F10"/>
          <cell r="G10"/>
          <cell r="H10"/>
          <cell r="I10"/>
          <cell r="J10"/>
          <cell r="K10">
            <v>363.63649110922557</v>
          </cell>
          <cell r="L10"/>
          <cell r="M10"/>
          <cell r="N10"/>
          <cell r="O10"/>
          <cell r="P10"/>
          <cell r="Q10">
            <v>363.63649110922557</v>
          </cell>
          <cell r="R10"/>
          <cell r="S10"/>
          <cell r="T10"/>
          <cell r="U10"/>
          <cell r="V10"/>
          <cell r="W10">
            <v>702.15875600395475</v>
          </cell>
          <cell r="X10"/>
          <cell r="Y10"/>
          <cell r="Z10"/>
          <cell r="AA10"/>
          <cell r="AB10"/>
          <cell r="AC10">
            <v>702.15875600395475</v>
          </cell>
          <cell r="AD10"/>
          <cell r="AE10"/>
          <cell r="AF10"/>
          <cell r="AG10"/>
          <cell r="AH10"/>
          <cell r="AI10">
            <v>702.15875600395475</v>
          </cell>
          <cell r="AJ10"/>
          <cell r="AK10"/>
          <cell r="AL10"/>
          <cell r="AM10"/>
          <cell r="AN10"/>
          <cell r="AO10">
            <v>702.15875600395475</v>
          </cell>
          <cell r="AP10"/>
          <cell r="AQ10"/>
          <cell r="AR10"/>
          <cell r="AS10"/>
          <cell r="AT10"/>
          <cell r="AU10">
            <v>702.15875600395475</v>
          </cell>
          <cell r="AV10"/>
          <cell r="AW10"/>
          <cell r="AX10"/>
          <cell r="AY10"/>
          <cell r="AZ10"/>
          <cell r="BA10">
            <v>701.77186675939322</v>
          </cell>
          <cell r="BB10"/>
          <cell r="BC10"/>
          <cell r="BD10"/>
          <cell r="BE10"/>
          <cell r="BF10"/>
          <cell r="BG10">
            <v>701.77186675939322</v>
          </cell>
          <cell r="BH10"/>
          <cell r="BI10"/>
          <cell r="BJ10"/>
          <cell r="BK10"/>
          <cell r="BL10"/>
          <cell r="BM10">
            <v>701.77186675939322</v>
          </cell>
          <cell r="BN10"/>
          <cell r="BO10"/>
          <cell r="BP10"/>
          <cell r="BQ10"/>
          <cell r="BR10"/>
          <cell r="BS10">
            <v>145.22929645316361</v>
          </cell>
          <cell r="BT10"/>
          <cell r="BU10"/>
          <cell r="BV10"/>
          <cell r="BW10"/>
          <cell r="BX10"/>
          <cell r="BY10">
            <v>145.22929645316361</v>
          </cell>
          <cell r="BZ10"/>
          <cell r="CA10"/>
          <cell r="CB10"/>
          <cell r="CC10"/>
          <cell r="CD10"/>
          <cell r="CE10">
            <v>338.52226489472912</v>
          </cell>
          <cell r="CF10"/>
          <cell r="CG10"/>
          <cell r="CH10"/>
          <cell r="CI10"/>
          <cell r="CJ10"/>
          <cell r="CK10">
            <v>338.52226489472912</v>
          </cell>
          <cell r="CL10"/>
          <cell r="CM10"/>
          <cell r="CN10"/>
          <cell r="CO10"/>
          <cell r="CP10"/>
          <cell r="CQ10">
            <v>338.52226489472912</v>
          </cell>
          <cell r="CR10"/>
          <cell r="CS10"/>
          <cell r="CT10"/>
          <cell r="CU10"/>
          <cell r="CV10"/>
          <cell r="CW10">
            <v>218.0203054115004</v>
          </cell>
          <cell r="CX10"/>
          <cell r="CY10"/>
          <cell r="CZ10"/>
          <cell r="DA10"/>
          <cell r="DB10"/>
          <cell r="DC10">
            <v>218.0203054115004</v>
          </cell>
          <cell r="DD10"/>
          <cell r="DE10"/>
          <cell r="DF10"/>
          <cell r="DG10"/>
          <cell r="DH10"/>
          <cell r="DI10">
            <v>218.0203054115004</v>
          </cell>
          <cell r="DJ10"/>
          <cell r="DK10"/>
          <cell r="DL10"/>
          <cell r="DM10"/>
          <cell r="DN10"/>
          <cell r="DO10">
            <v>218.0203054115004</v>
          </cell>
          <cell r="DP10"/>
          <cell r="DQ10"/>
          <cell r="DR10"/>
          <cell r="DS10"/>
          <cell r="DT10"/>
          <cell r="DU10">
            <v>218.0203054115004</v>
          </cell>
          <cell r="DV10"/>
          <cell r="DW10"/>
          <cell r="DX10"/>
          <cell r="DY10"/>
          <cell r="DZ10"/>
        </row>
        <row r="11">
          <cell r="C11" t="str">
            <v>Gas Avg Mol. Wt</v>
          </cell>
          <cell r="E11">
            <v>26.950070998580031</v>
          </cell>
          <cell r="F11"/>
          <cell r="G11"/>
          <cell r="H11"/>
          <cell r="I11"/>
          <cell r="J11"/>
          <cell r="K11">
            <v>26.949743013888785</v>
          </cell>
          <cell r="L11"/>
          <cell r="M11"/>
          <cell r="N11"/>
          <cell r="O11"/>
          <cell r="P11"/>
          <cell r="Q11">
            <v>26.949743013888785</v>
          </cell>
          <cell r="R11"/>
          <cell r="S11"/>
          <cell r="T11"/>
          <cell r="U11"/>
          <cell r="V11"/>
          <cell r="W11">
            <v>27.703297875788589</v>
          </cell>
          <cell r="X11"/>
          <cell r="Y11"/>
          <cell r="Z11"/>
          <cell r="AA11"/>
          <cell r="AB11"/>
          <cell r="AC11">
            <v>27.703297875788589</v>
          </cell>
          <cell r="AD11"/>
          <cell r="AE11"/>
          <cell r="AF11"/>
          <cell r="AG11"/>
          <cell r="AH11"/>
          <cell r="AI11">
            <v>27.703297875788589</v>
          </cell>
          <cell r="AJ11"/>
          <cell r="AK11"/>
          <cell r="AL11"/>
          <cell r="AM11"/>
          <cell r="AN11"/>
          <cell r="AO11">
            <v>27.703297875788589</v>
          </cell>
          <cell r="AP11"/>
          <cell r="AQ11"/>
          <cell r="AR11"/>
          <cell r="AS11"/>
          <cell r="AT11"/>
          <cell r="AU11">
            <v>27.703297875788589</v>
          </cell>
          <cell r="AV11"/>
          <cell r="AW11"/>
          <cell r="AX11"/>
          <cell r="AY11"/>
          <cell r="AZ11"/>
          <cell r="BA11">
            <v>27.708636311222499</v>
          </cell>
          <cell r="BB11"/>
          <cell r="BC11"/>
          <cell r="BD11"/>
          <cell r="BE11"/>
          <cell r="BF11"/>
          <cell r="BG11">
            <v>27.708636311222499</v>
          </cell>
          <cell r="BH11"/>
          <cell r="BI11"/>
          <cell r="BJ11"/>
          <cell r="BK11"/>
          <cell r="BL11"/>
          <cell r="BM11">
            <v>27.708636311222499</v>
          </cell>
          <cell r="BN11"/>
          <cell r="BO11"/>
          <cell r="BP11"/>
          <cell r="BQ11"/>
          <cell r="BR11"/>
          <cell r="BS11">
            <v>43.040360967103517</v>
          </cell>
          <cell r="BT11"/>
          <cell r="BU11"/>
          <cell r="BV11"/>
          <cell r="BW11"/>
          <cell r="BX11"/>
          <cell r="BY11">
            <v>43.040360967103517</v>
          </cell>
          <cell r="BZ11"/>
          <cell r="CA11"/>
          <cell r="CB11"/>
          <cell r="CC11"/>
          <cell r="CD11"/>
          <cell r="CE11">
            <v>28.512757324267572</v>
          </cell>
          <cell r="CF11"/>
          <cell r="CG11"/>
          <cell r="CH11"/>
          <cell r="CI11"/>
          <cell r="CJ11"/>
          <cell r="CK11">
            <v>28.512757324267572</v>
          </cell>
          <cell r="CL11"/>
          <cell r="CM11"/>
          <cell r="CN11"/>
          <cell r="CO11"/>
          <cell r="CP11"/>
          <cell r="CQ11">
            <v>28.512757324267572</v>
          </cell>
          <cell r="CR11"/>
          <cell r="CS11"/>
          <cell r="CT11"/>
          <cell r="CU11"/>
          <cell r="CV11"/>
          <cell r="CW11">
            <v>16.247188043565522</v>
          </cell>
          <cell r="CX11"/>
          <cell r="CY11"/>
          <cell r="CZ11"/>
          <cell r="DA11"/>
          <cell r="DB11"/>
          <cell r="DC11">
            <v>16.247188043565522</v>
          </cell>
          <cell r="DD11"/>
          <cell r="DE11"/>
          <cell r="DF11"/>
          <cell r="DG11"/>
          <cell r="DH11"/>
          <cell r="DI11">
            <v>16.247188043565522</v>
          </cell>
          <cell r="DJ11"/>
          <cell r="DK11"/>
          <cell r="DL11"/>
          <cell r="DM11"/>
          <cell r="DN11"/>
          <cell r="DO11">
            <v>16.247188043565522</v>
          </cell>
          <cell r="DP11"/>
          <cell r="DQ11"/>
          <cell r="DR11"/>
          <cell r="DS11"/>
          <cell r="DT11"/>
          <cell r="DU11">
            <v>16.247188043565522</v>
          </cell>
          <cell r="DV11"/>
          <cell r="DW11"/>
          <cell r="DX11"/>
          <cell r="DY11"/>
          <cell r="DZ11"/>
        </row>
        <row r="12">
          <cell r="C12" t="str">
            <v>Compressibility Factor</v>
          </cell>
          <cell r="E12">
            <v>0.99980339092408044</v>
          </cell>
          <cell r="F12"/>
          <cell r="G12"/>
          <cell r="H12"/>
          <cell r="I12"/>
          <cell r="J12"/>
          <cell r="K12">
            <v>0.99980339092407999</v>
          </cell>
          <cell r="L12"/>
          <cell r="M12"/>
          <cell r="N12"/>
          <cell r="O12"/>
          <cell r="P12"/>
          <cell r="Q12">
            <v>0.99980339092408022</v>
          </cell>
          <cell r="R12"/>
          <cell r="S12"/>
          <cell r="T12"/>
          <cell r="U12"/>
          <cell r="V12"/>
          <cell r="W12">
            <v>0.99980339092408077</v>
          </cell>
          <cell r="X12"/>
          <cell r="Y12"/>
          <cell r="Z12"/>
          <cell r="AA12"/>
          <cell r="AB12"/>
          <cell r="AC12">
            <v>0.99980339092408066</v>
          </cell>
          <cell r="AD12"/>
          <cell r="AE12"/>
          <cell r="AF12"/>
          <cell r="AG12"/>
          <cell r="AH12"/>
          <cell r="AI12">
            <v>0.99980339092408044</v>
          </cell>
          <cell r="AJ12"/>
          <cell r="AK12"/>
          <cell r="AL12"/>
          <cell r="AM12"/>
          <cell r="AN12"/>
          <cell r="AO12">
            <v>0.99980339092408022</v>
          </cell>
          <cell r="AP12"/>
          <cell r="AQ12"/>
          <cell r="AR12"/>
          <cell r="AS12"/>
          <cell r="AT12"/>
          <cell r="AU12">
            <v>0.99980339092408055</v>
          </cell>
          <cell r="AV12"/>
          <cell r="AW12"/>
          <cell r="AX12"/>
          <cell r="AY12"/>
          <cell r="AZ12"/>
          <cell r="BA12">
            <v>0.99980339092408022</v>
          </cell>
          <cell r="BB12"/>
          <cell r="BC12"/>
          <cell r="BD12"/>
          <cell r="BE12"/>
          <cell r="BF12"/>
          <cell r="BG12">
            <v>0.99980339092408066</v>
          </cell>
          <cell r="BH12"/>
          <cell r="BI12"/>
          <cell r="BJ12"/>
          <cell r="BK12"/>
          <cell r="BL12"/>
          <cell r="BM12">
            <v>0.99980339092408033</v>
          </cell>
          <cell r="BN12"/>
          <cell r="BO12"/>
          <cell r="BP12"/>
          <cell r="BQ12"/>
          <cell r="BR12"/>
          <cell r="BS12">
            <v>0.9998033909240801</v>
          </cell>
          <cell r="BT12"/>
          <cell r="BU12"/>
          <cell r="BV12"/>
          <cell r="BW12"/>
          <cell r="BX12"/>
          <cell r="BY12">
            <v>0.99980339092408022</v>
          </cell>
          <cell r="BZ12"/>
          <cell r="CA12"/>
          <cell r="CB12"/>
          <cell r="CC12"/>
          <cell r="CD12"/>
          <cell r="CE12">
            <v>0.99980339092408088</v>
          </cell>
          <cell r="CF12"/>
          <cell r="CG12"/>
          <cell r="CH12"/>
          <cell r="CI12"/>
          <cell r="CJ12"/>
          <cell r="CK12">
            <v>0.99980339092408088</v>
          </cell>
          <cell r="CL12"/>
          <cell r="CM12"/>
          <cell r="CN12"/>
          <cell r="CO12"/>
          <cell r="CP12"/>
          <cell r="CQ12">
            <v>0.99980339092408077</v>
          </cell>
          <cell r="CR12"/>
          <cell r="CS12"/>
          <cell r="CT12"/>
          <cell r="CU12"/>
          <cell r="CV12"/>
          <cell r="CW12">
            <v>0.99980339092408033</v>
          </cell>
          <cell r="CX12"/>
          <cell r="CY12"/>
          <cell r="CZ12"/>
          <cell r="DA12"/>
          <cell r="DB12"/>
          <cell r="DC12">
            <v>0.99980339092408033</v>
          </cell>
          <cell r="DD12"/>
          <cell r="DE12"/>
          <cell r="DF12"/>
          <cell r="DG12"/>
          <cell r="DH12"/>
          <cell r="DI12">
            <v>0.99980339092408055</v>
          </cell>
          <cell r="DJ12"/>
          <cell r="DK12"/>
          <cell r="DL12"/>
          <cell r="DM12"/>
          <cell r="DN12"/>
          <cell r="DO12">
            <v>0.99980339092408055</v>
          </cell>
          <cell r="DP12"/>
          <cell r="DQ12"/>
          <cell r="DR12"/>
          <cell r="DS12"/>
          <cell r="DT12"/>
          <cell r="DU12">
            <v>0.99980339092408022</v>
          </cell>
          <cell r="DV12"/>
          <cell r="DW12"/>
          <cell r="DX12"/>
          <cell r="DY12"/>
          <cell r="DZ12"/>
        </row>
        <row r="13">
          <cell r="C13" t="str">
            <v>Actual Gas Density</v>
          </cell>
          <cell r="E13">
            <v>0.35756056182975959</v>
          </cell>
          <cell r="F13"/>
          <cell r="G13"/>
          <cell r="H13"/>
          <cell r="I13"/>
          <cell r="J13"/>
          <cell r="K13">
            <v>0.34858365795844354</v>
          </cell>
          <cell r="L13"/>
          <cell r="M13"/>
          <cell r="N13"/>
          <cell r="O13"/>
          <cell r="P13"/>
          <cell r="Q13">
            <v>0.34634051987634279</v>
          </cell>
          <cell r="R13"/>
          <cell r="S13"/>
          <cell r="T13"/>
          <cell r="U13"/>
          <cell r="V13"/>
          <cell r="W13">
            <v>0.34982527041936179</v>
          </cell>
          <cell r="X13"/>
          <cell r="Y13"/>
          <cell r="Z13"/>
          <cell r="AA13"/>
          <cell r="AB13"/>
          <cell r="AC13">
            <v>0.78315849197088483</v>
          </cell>
          <cell r="AD13"/>
          <cell r="AE13"/>
          <cell r="AF13"/>
          <cell r="AG13"/>
          <cell r="AH13"/>
          <cell r="AI13">
            <v>0.80781042192582475</v>
          </cell>
          <cell r="AJ13"/>
          <cell r="AK13"/>
          <cell r="AL13"/>
          <cell r="AM13"/>
          <cell r="AN13"/>
          <cell r="AO13">
            <v>0.93818269224781958</v>
          </cell>
          <cell r="AP13"/>
          <cell r="AQ13"/>
          <cell r="AR13"/>
          <cell r="AS13"/>
          <cell r="AT13"/>
          <cell r="AU13">
            <v>0.94227418898235926</v>
          </cell>
          <cell r="AV13"/>
          <cell r="AW13"/>
          <cell r="AX13"/>
          <cell r="AY13"/>
          <cell r="AZ13"/>
          <cell r="BA13">
            <v>1.0678371543418768</v>
          </cell>
          <cell r="BB13"/>
          <cell r="BC13"/>
          <cell r="BD13"/>
          <cell r="BE13"/>
          <cell r="BF13"/>
          <cell r="BG13">
            <v>1.0367695224384208</v>
          </cell>
          <cell r="BH13"/>
          <cell r="BI13"/>
          <cell r="BJ13"/>
          <cell r="BK13"/>
          <cell r="BL13"/>
          <cell r="BM13">
            <v>1.0317046981959277</v>
          </cell>
          <cell r="BN13"/>
          <cell r="BO13"/>
          <cell r="BP13"/>
          <cell r="BQ13"/>
          <cell r="BR13"/>
          <cell r="BS13">
            <v>0.13138373472308212</v>
          </cell>
          <cell r="BT13"/>
          <cell r="BU13"/>
          <cell r="BV13"/>
          <cell r="BW13"/>
          <cell r="BX13"/>
          <cell r="BY13">
            <v>0.12912367701091587</v>
          </cell>
          <cell r="BZ13"/>
          <cell r="CA13"/>
          <cell r="CB13"/>
          <cell r="CC13"/>
          <cell r="CD13"/>
          <cell r="CE13">
            <v>9.5903002510582383E-2</v>
          </cell>
          <cell r="CF13"/>
          <cell r="CG13"/>
          <cell r="CH13"/>
          <cell r="CI13"/>
          <cell r="CJ13"/>
          <cell r="CK13">
            <v>0.29921522253656579</v>
          </cell>
          <cell r="CL13"/>
          <cell r="CM13"/>
          <cell r="CN13"/>
          <cell r="CO13"/>
          <cell r="CP13"/>
          <cell r="CQ13">
            <v>0.3560833326719281</v>
          </cell>
          <cell r="CR13"/>
          <cell r="CS13"/>
          <cell r="CT13"/>
          <cell r="CU13"/>
          <cell r="CV13"/>
          <cell r="CW13">
            <v>0.48282957628088052</v>
          </cell>
          <cell r="CX13"/>
          <cell r="CY13"/>
          <cell r="CZ13"/>
          <cell r="DA13"/>
          <cell r="DB13"/>
          <cell r="DC13">
            <v>0.46531323120808094</v>
          </cell>
          <cell r="DD13"/>
          <cell r="DE13"/>
          <cell r="DF13"/>
          <cell r="DG13"/>
          <cell r="DH13"/>
          <cell r="DI13">
            <v>0.61600897128511289</v>
          </cell>
          <cell r="DJ13"/>
          <cell r="DK13"/>
          <cell r="DL13"/>
          <cell r="DM13"/>
          <cell r="DN13"/>
          <cell r="DO13">
            <v>0.73823634877373034</v>
          </cell>
          <cell r="DP13"/>
          <cell r="DQ13"/>
          <cell r="DR13"/>
          <cell r="DS13"/>
          <cell r="DT13"/>
          <cell r="DU13">
            <v>0.7702423379500738</v>
          </cell>
          <cell r="DV13"/>
          <cell r="DW13"/>
          <cell r="DX13"/>
          <cell r="DY13"/>
          <cell r="DZ13"/>
        </row>
        <row r="14">
          <cell r="C14" t="str">
            <v>Psat</v>
          </cell>
          <cell r="E14">
            <v>0.9501977410484399</v>
          </cell>
          <cell r="F14"/>
          <cell r="G14"/>
          <cell r="H14"/>
          <cell r="I14"/>
          <cell r="J14"/>
          <cell r="K14">
            <v>0.9501977410484399</v>
          </cell>
          <cell r="L14"/>
          <cell r="M14"/>
          <cell r="N14"/>
          <cell r="O14"/>
          <cell r="P14"/>
          <cell r="Q14">
            <v>0.9501977410484399</v>
          </cell>
          <cell r="R14"/>
          <cell r="S14"/>
          <cell r="T14"/>
          <cell r="U14"/>
          <cell r="V14"/>
          <cell r="W14">
            <v>1.2742631167235181</v>
          </cell>
          <cell r="X14"/>
          <cell r="Y14"/>
          <cell r="Z14"/>
          <cell r="AA14"/>
          <cell r="AB14"/>
          <cell r="AC14">
            <v>29.822068417968438</v>
          </cell>
          <cell r="AD14"/>
          <cell r="AE14"/>
          <cell r="AF14"/>
          <cell r="AG14"/>
          <cell r="AH14"/>
          <cell r="AI14">
            <v>17.620808277010152</v>
          </cell>
          <cell r="AJ14"/>
          <cell r="AK14"/>
          <cell r="AL14"/>
          <cell r="AM14"/>
          <cell r="AN14"/>
          <cell r="AO14">
            <v>1.6970491530776135</v>
          </cell>
          <cell r="AP14"/>
          <cell r="AQ14"/>
          <cell r="AR14"/>
          <cell r="AS14"/>
          <cell r="AT14"/>
          <cell r="AU14">
            <v>1.3529931690672197</v>
          </cell>
          <cell r="AV14"/>
          <cell r="AW14"/>
          <cell r="AX14"/>
          <cell r="AY14"/>
          <cell r="AZ14"/>
          <cell r="BA14">
            <v>0.12171004337503714</v>
          </cell>
          <cell r="BB14"/>
          <cell r="BC14"/>
          <cell r="BD14"/>
          <cell r="BE14"/>
          <cell r="BF14"/>
          <cell r="BG14">
            <v>0.17804837538503848</v>
          </cell>
          <cell r="BH14"/>
          <cell r="BI14"/>
          <cell r="BJ14"/>
          <cell r="BK14"/>
          <cell r="BL14"/>
          <cell r="BM14">
            <v>0.17804837538503848</v>
          </cell>
          <cell r="BN14"/>
          <cell r="BO14"/>
          <cell r="BP14"/>
          <cell r="BQ14"/>
          <cell r="BR14"/>
          <cell r="BS14">
            <v>0.17804837538503848</v>
          </cell>
          <cell r="BT14"/>
          <cell r="BU14"/>
          <cell r="BV14"/>
          <cell r="BW14"/>
          <cell r="BX14"/>
          <cell r="BY14">
            <v>0.69853879689106368</v>
          </cell>
          <cell r="BZ14"/>
          <cell r="CA14"/>
          <cell r="CB14"/>
          <cell r="CC14"/>
          <cell r="CD14"/>
          <cell r="CE14">
            <v>0.61547010739753483</v>
          </cell>
          <cell r="CF14"/>
          <cell r="CG14"/>
          <cell r="CH14"/>
          <cell r="CI14"/>
          <cell r="CJ14"/>
          <cell r="CK14">
            <v>29.822068417968438</v>
          </cell>
          <cell r="CL14"/>
          <cell r="CM14"/>
          <cell r="CN14"/>
          <cell r="CO14"/>
          <cell r="CP14"/>
          <cell r="CQ14">
            <v>1.6970491530776135</v>
          </cell>
          <cell r="CR14"/>
          <cell r="CS14"/>
          <cell r="CT14"/>
          <cell r="CU14"/>
          <cell r="CV14"/>
          <cell r="CW14">
            <v>0.44582466969726164</v>
          </cell>
          <cell r="CX14"/>
          <cell r="CY14"/>
          <cell r="CZ14"/>
          <cell r="DA14"/>
          <cell r="DB14"/>
          <cell r="DC14">
            <v>0.44582466969726164</v>
          </cell>
          <cell r="DD14"/>
          <cell r="DE14"/>
          <cell r="DF14"/>
          <cell r="DG14"/>
          <cell r="DH14"/>
          <cell r="DI14">
            <v>25.780027227631383</v>
          </cell>
          <cell r="DJ14"/>
          <cell r="DK14"/>
          <cell r="DL14"/>
          <cell r="DM14"/>
          <cell r="DN14"/>
          <cell r="DO14">
            <v>1.6970491530776135</v>
          </cell>
          <cell r="DP14"/>
          <cell r="DQ14"/>
          <cell r="DR14"/>
          <cell r="DS14"/>
          <cell r="DT14"/>
          <cell r="DU14">
            <v>0.69853879689106368</v>
          </cell>
          <cell r="DV14"/>
          <cell r="DW14"/>
          <cell r="DX14"/>
          <cell r="DY14"/>
          <cell r="DZ14"/>
        </row>
        <row r="15">
          <cell r="C15" t="str">
            <v>Relative Humidity</v>
          </cell>
          <cell r="E15">
            <v>10.65220125116325</v>
          </cell>
          <cell r="F15"/>
          <cell r="G15"/>
          <cell r="H15"/>
          <cell r="I15"/>
          <cell r="J15"/>
          <cell r="K15">
            <v>10.385371533711462</v>
          </cell>
          <cell r="L15"/>
          <cell r="M15"/>
          <cell r="N15"/>
          <cell r="O15"/>
          <cell r="P15"/>
          <cell r="Q15">
            <v>10.318541601062098</v>
          </cell>
          <cell r="R15"/>
          <cell r="S15"/>
          <cell r="T15"/>
          <cell r="U15"/>
          <cell r="V15"/>
          <cell r="W15">
            <v>6.9053528140758393</v>
          </cell>
          <cell r="X15"/>
          <cell r="Y15"/>
          <cell r="Z15"/>
          <cell r="AA15"/>
          <cell r="AB15"/>
          <cell r="AC15">
            <v>0.8205819644951412</v>
          </cell>
          <cell r="AD15"/>
          <cell r="AE15"/>
          <cell r="AF15"/>
          <cell r="AG15"/>
          <cell r="AH15"/>
          <cell r="AI15">
            <v>1.3758444910359187</v>
          </cell>
          <cell r="AJ15"/>
          <cell r="AK15"/>
          <cell r="AL15"/>
          <cell r="AM15"/>
          <cell r="AN15"/>
          <cell r="AO15">
            <v>14.15134762583137</v>
          </cell>
          <cell r="AP15"/>
          <cell r="AQ15"/>
          <cell r="AR15"/>
          <cell r="AS15"/>
          <cell r="AT15"/>
          <cell r="AU15">
            <v>17.581443539381009</v>
          </cell>
          <cell r="AV15"/>
          <cell r="AW15"/>
          <cell r="AX15"/>
          <cell r="AY15"/>
          <cell r="AZ15"/>
          <cell r="BA15">
            <v>100.05057563827557</v>
          </cell>
          <cell r="BB15"/>
          <cell r="BC15"/>
          <cell r="BD15"/>
          <cell r="BE15"/>
          <cell r="BF15"/>
          <cell r="BG15">
            <v>67.730668115291238</v>
          </cell>
          <cell r="BH15"/>
          <cell r="BI15"/>
          <cell r="BJ15"/>
          <cell r="BK15"/>
          <cell r="BL15"/>
          <cell r="BM15">
            <v>67.399790401000615</v>
          </cell>
          <cell r="BN15"/>
          <cell r="BO15"/>
          <cell r="BP15"/>
          <cell r="BQ15"/>
          <cell r="BR15"/>
          <cell r="BS15">
            <v>2.727183741498076</v>
          </cell>
          <cell r="BT15"/>
          <cell r="BU15"/>
          <cell r="BV15"/>
          <cell r="BW15"/>
          <cell r="BX15"/>
          <cell r="BY15">
            <v>0.73674751172294972</v>
          </cell>
          <cell r="BZ15"/>
          <cell r="CA15"/>
          <cell r="CB15"/>
          <cell r="CC15"/>
          <cell r="CD15"/>
          <cell r="CE15">
            <v>3.2004852811246689</v>
          </cell>
          <cell r="CF15"/>
          <cell r="CG15"/>
          <cell r="CH15"/>
          <cell r="CI15"/>
          <cell r="CJ15"/>
          <cell r="CK15">
            <v>0.26722502839174</v>
          </cell>
          <cell r="CL15"/>
          <cell r="CM15"/>
          <cell r="CN15"/>
          <cell r="CO15"/>
          <cell r="CP15"/>
          <cell r="CQ15">
            <v>4.5780778144243346</v>
          </cell>
          <cell r="CR15"/>
          <cell r="CS15"/>
          <cell r="CT15"/>
          <cell r="CU15"/>
          <cell r="CV15"/>
          <cell r="CW15">
            <v>5.7519639421777979</v>
          </cell>
          <cell r="CX15"/>
          <cell r="CY15"/>
          <cell r="CZ15"/>
          <cell r="DA15"/>
          <cell r="DB15"/>
          <cell r="DC15">
            <v>5.5432911718939932</v>
          </cell>
          <cell r="DD15"/>
          <cell r="DE15"/>
          <cell r="DF15"/>
          <cell r="DG15"/>
          <cell r="DH15"/>
          <cell r="DI15">
            <v>0.16570754535088242</v>
          </cell>
          <cell r="DJ15"/>
          <cell r="DK15"/>
          <cell r="DL15"/>
          <cell r="DM15"/>
          <cell r="DN15"/>
          <cell r="DO15">
            <v>2.4995945886559534</v>
          </cell>
          <cell r="DP15"/>
          <cell r="DQ15"/>
          <cell r="DR15"/>
          <cell r="DS15"/>
          <cell r="DT15"/>
          <cell r="DU15">
            <v>6.0081410961199175</v>
          </cell>
          <cell r="DV15"/>
          <cell r="DW15"/>
          <cell r="DX15"/>
          <cell r="DY15"/>
          <cell r="DZ15"/>
        </row>
        <row r="16">
          <cell r="C16" t="str">
            <v>Condensate Removed</v>
          </cell>
          <cell r="E16"/>
          <cell r="F16"/>
          <cell r="G16"/>
          <cell r="H16"/>
          <cell r="I16"/>
          <cell r="J16"/>
          <cell r="K16" t="str">
            <v/>
          </cell>
          <cell r="L16"/>
          <cell r="M16"/>
          <cell r="N16" t="str">
            <v/>
          </cell>
          <cell r="O16" t="str">
            <v/>
          </cell>
          <cell r="P16"/>
          <cell r="Q16" t="str">
            <v/>
          </cell>
          <cell r="R16"/>
          <cell r="S16"/>
          <cell r="T16" t="str">
            <v/>
          </cell>
          <cell r="U16" t="str">
            <v/>
          </cell>
          <cell r="V16"/>
          <cell r="W16" t="str">
            <v/>
          </cell>
          <cell r="X16"/>
          <cell r="Y16"/>
          <cell r="Z16" t="str">
            <v/>
          </cell>
          <cell r="AA16" t="str">
            <v/>
          </cell>
          <cell r="AB16"/>
          <cell r="AC16" t="str">
            <v/>
          </cell>
          <cell r="AD16"/>
          <cell r="AE16"/>
          <cell r="AF16" t="str">
            <v/>
          </cell>
          <cell r="AG16" t="str">
            <v/>
          </cell>
          <cell r="AH16"/>
          <cell r="AI16" t="str">
            <v/>
          </cell>
          <cell r="AJ16"/>
          <cell r="AK16"/>
          <cell r="AL16"/>
          <cell r="AM16"/>
          <cell r="AN16"/>
          <cell r="AO16" t="str">
            <v/>
          </cell>
          <cell r="AP16"/>
          <cell r="AQ16"/>
          <cell r="AR16"/>
          <cell r="AS16"/>
          <cell r="AT16"/>
          <cell r="AU16" t="str">
            <v/>
          </cell>
          <cell r="AV16"/>
          <cell r="AW16"/>
          <cell r="AX16"/>
          <cell r="AY16"/>
          <cell r="AZ16"/>
          <cell r="BA16">
            <v>6.9717441869987615</v>
          </cell>
          <cell r="BB16"/>
          <cell r="BC16"/>
          <cell r="BD16"/>
          <cell r="BE16"/>
          <cell r="BF16"/>
          <cell r="BG16" t="str">
            <v/>
          </cell>
          <cell r="BH16"/>
          <cell r="BI16"/>
          <cell r="BJ16"/>
          <cell r="BK16"/>
          <cell r="BL16"/>
          <cell r="BM16" t="str">
            <v/>
          </cell>
          <cell r="BN16"/>
          <cell r="BO16"/>
          <cell r="BP16"/>
          <cell r="BQ16"/>
          <cell r="BR16"/>
          <cell r="BS16" t="str">
            <v/>
          </cell>
          <cell r="BT16"/>
          <cell r="BU16"/>
          <cell r="BV16"/>
          <cell r="BW16"/>
          <cell r="BX16"/>
          <cell r="BY16">
            <v>5.3386308075494515</v>
          </cell>
          <cell r="BZ16"/>
          <cell r="CA16"/>
          <cell r="CB16"/>
          <cell r="CC16"/>
          <cell r="CD16"/>
          <cell r="CE16" t="str">
            <v/>
          </cell>
          <cell r="CF16"/>
          <cell r="CG16"/>
          <cell r="CH16"/>
          <cell r="CI16"/>
          <cell r="CJ16"/>
          <cell r="CK16" t="str">
            <v/>
          </cell>
          <cell r="CL16"/>
          <cell r="CM16"/>
          <cell r="CN16"/>
          <cell r="CO16"/>
          <cell r="CP16"/>
          <cell r="CQ16" t="str">
            <v/>
          </cell>
          <cell r="CR16"/>
          <cell r="CS16"/>
          <cell r="CT16"/>
          <cell r="CU16"/>
          <cell r="CV16"/>
          <cell r="CW16" t="str">
            <v/>
          </cell>
          <cell r="CX16"/>
          <cell r="CY16"/>
          <cell r="CZ16"/>
          <cell r="DA16"/>
          <cell r="DB16"/>
          <cell r="DC16" t="str">
            <v/>
          </cell>
          <cell r="DD16"/>
          <cell r="DE16"/>
          <cell r="DF16"/>
          <cell r="DG16"/>
          <cell r="DH16"/>
          <cell r="DI16" t="str">
            <v/>
          </cell>
          <cell r="DJ16"/>
          <cell r="DK16"/>
          <cell r="DL16"/>
          <cell r="DM16"/>
          <cell r="DN16"/>
          <cell r="DO16" t="str">
            <v/>
          </cell>
          <cell r="DP16"/>
          <cell r="DQ16"/>
          <cell r="DR16"/>
          <cell r="DS16"/>
          <cell r="DT16"/>
          <cell r="DU16" t="str">
            <v/>
          </cell>
          <cell r="DV16"/>
          <cell r="DW16"/>
          <cell r="DX16"/>
          <cell r="DY16"/>
          <cell r="DZ16"/>
        </row>
        <row r="17">
          <cell r="C17" t="str">
            <v>Component Name</v>
          </cell>
          <cell r="E17" t="str">
            <v>Vol %</v>
          </cell>
          <cell r="F17" t="str">
            <v>Mass. Flow
(lb/hr)</v>
          </cell>
          <cell r="G17" t="str">
            <v>Vol. Flow (SCFM)</v>
          </cell>
          <cell r="H17" t="str">
            <v>Vol. Flow (ACFM)</v>
          </cell>
          <cell r="I17" t="str">
            <v>Mass. Flow
(lb/hr)</v>
          </cell>
          <cell r="J17" t="str">
            <v>Mol. Flow
(lbmol/hr)</v>
          </cell>
          <cell r="K17" t="str">
            <v>Vol %</v>
          </cell>
          <cell r="L17" t="str">
            <v>Mass. Flow
(lb/hr)</v>
          </cell>
          <cell r="M17" t="str">
            <v>Vol. Flow (SCFM)</v>
          </cell>
          <cell r="N17" t="str">
            <v>Vol. Flow (ACFM)</v>
          </cell>
          <cell r="O17" t="str">
            <v>Mass. Flow
(lb/hr)</v>
          </cell>
          <cell r="P17" t="str">
            <v>Mol. Flow
(lbmol/hr)</v>
          </cell>
          <cell r="Q17" t="str">
            <v>Vol %</v>
          </cell>
          <cell r="R17" t="str">
            <v>Vol. Flow (SCFM)</v>
          </cell>
          <cell r="S17" t="str">
            <v>Vol. Flow (SCFM)</v>
          </cell>
          <cell r="T17" t="str">
            <v>Vol. Flow (ACFM)</v>
          </cell>
          <cell r="U17" t="str">
            <v>Mass. Flow
(lb/hr)</v>
          </cell>
          <cell r="V17" t="str">
            <v>Mol. Flow
(lbmol/hr)</v>
          </cell>
          <cell r="W17" t="str">
            <v>Vol %</v>
          </cell>
          <cell r="X17" t="str">
            <v>Vol. Flow (SCFM)</v>
          </cell>
          <cell r="Y17" t="str">
            <v>Vol. Flow (SCFM)</v>
          </cell>
          <cell r="Z17" t="str">
            <v>Vol. Flow (ACFM)</v>
          </cell>
          <cell r="AA17" t="str">
            <v>Mass. Flow
(lb/hr)</v>
          </cell>
          <cell r="AB17" t="str">
            <v>Mol. Flow
(lbmol/hr)</v>
          </cell>
          <cell r="AC17" t="str">
            <v>Vol %</v>
          </cell>
          <cell r="AD17" t="str">
            <v>Vol. Flow (SCFM)</v>
          </cell>
          <cell r="AE17" t="str">
            <v>Vol. Flow (SCFM)</v>
          </cell>
          <cell r="AF17" t="str">
            <v>Vol. Flow (ACFM)</v>
          </cell>
          <cell r="AG17" t="str">
            <v>Mass. Flow
(lb/hr)</v>
          </cell>
          <cell r="AH17" t="str">
            <v>Mol. Flow
(lbmol/hr)</v>
          </cell>
          <cell r="AI17" t="str">
            <v>Vol %</v>
          </cell>
          <cell r="AJ17" t="str">
            <v>Vol. Flow (SCFM)</v>
          </cell>
          <cell r="AK17" t="str">
            <v>Vol. Flow (SCFM)</v>
          </cell>
          <cell r="AL17" t="str">
            <v>Vol. Flow (ACFM)</v>
          </cell>
          <cell r="AM17" t="str">
            <v>Mass. Flow
(lb/hr)</v>
          </cell>
          <cell r="AN17" t="str">
            <v>Mol. Flow
(lbmol/hr)</v>
          </cell>
          <cell r="AO17" t="str">
            <v>Vol %</v>
          </cell>
          <cell r="AP17" t="str">
            <v>Vol. Flow (SCFM)</v>
          </cell>
          <cell r="AQ17" t="str">
            <v>Vol. Flow (SCFM)</v>
          </cell>
          <cell r="AR17" t="str">
            <v>Vol. Flow (ACFM)</v>
          </cell>
          <cell r="AS17" t="str">
            <v>Mass. Flow
(lb/hr)</v>
          </cell>
          <cell r="AT17" t="str">
            <v>Mol. Flow
(lbmol/hr)</v>
          </cell>
          <cell r="AU17" t="str">
            <v>Vol %</v>
          </cell>
          <cell r="AV17" t="str">
            <v>Vol. Flow (SCFM)</v>
          </cell>
          <cell r="AW17" t="str">
            <v>Vol. Flow (SCFM)</v>
          </cell>
          <cell r="AX17" t="str">
            <v>Vol. Flow (ACFM)</v>
          </cell>
          <cell r="AY17" t="str">
            <v>Mass. Flow
(lb/hr)</v>
          </cell>
          <cell r="AZ17" t="str">
            <v>Mol. Flow
(lbmol/hr)</v>
          </cell>
          <cell r="BA17" t="str">
            <v>Vol %</v>
          </cell>
          <cell r="BB17" t="str">
            <v>Vol. Flow (SCFM)</v>
          </cell>
          <cell r="BC17" t="str">
            <v>Vol. Flow (SCFM)</v>
          </cell>
          <cell r="BD17" t="str">
            <v>Vol. Flow (ACFM)</v>
          </cell>
          <cell r="BE17" t="str">
            <v>Mass. Flow
(lb/hr)</v>
          </cell>
          <cell r="BF17" t="str">
            <v>Mol. Flow
(lbmol/hr)</v>
          </cell>
          <cell r="BG17" t="str">
            <v>Vol %</v>
          </cell>
          <cell r="BH17" t="str">
            <v>Vol. Flow (SCFM)</v>
          </cell>
          <cell r="BI17" t="str">
            <v>Vol. Flow (SCFM)</v>
          </cell>
          <cell r="BJ17" t="str">
            <v>Vol. Flow (ACFM)</v>
          </cell>
          <cell r="BK17" t="str">
            <v>Mass. Flow
(lb/hr)</v>
          </cell>
          <cell r="BL17" t="str">
            <v>Mol. Flow
(lbmol/hr)</v>
          </cell>
          <cell r="BM17" t="str">
            <v>Vol %</v>
          </cell>
          <cell r="BN17" t="str">
            <v>Vol. Flow (SCFM)</v>
          </cell>
          <cell r="BO17" t="str">
            <v>Vol. Flow (SCFM)</v>
          </cell>
          <cell r="BP17" t="str">
            <v>Vol. Flow (ACFM)</v>
          </cell>
          <cell r="BQ17" t="str">
            <v>Mass. Flow
(lb/hr)</v>
          </cell>
          <cell r="BR17" t="str">
            <v>Mol. Flow
(lbmol/hr)</v>
          </cell>
          <cell r="BS17" t="str">
            <v>Vol %</v>
          </cell>
          <cell r="BT17" t="str">
            <v>Mass. Flow
(lb/hr)</v>
          </cell>
          <cell r="BU17" t="str">
            <v>Vol. Flow (SCFM)</v>
          </cell>
          <cell r="BV17" t="str">
            <v>Vol. Flow (ACFM)</v>
          </cell>
          <cell r="BW17" t="str">
            <v>Mass. Flow
(lb/hr)</v>
          </cell>
          <cell r="BX17" t="str">
            <v>Mol. Flow
(lbmol/hr)</v>
          </cell>
          <cell r="BY17" t="str">
            <v>Vol %</v>
          </cell>
          <cell r="BZ17" t="str">
            <v>Mass. Flow
(lb/hr)</v>
          </cell>
          <cell r="CA17" t="str">
            <v>Vol. Flow (SCFM)</v>
          </cell>
          <cell r="CB17" t="str">
            <v>Vol. Flow (ACFM)</v>
          </cell>
          <cell r="CC17" t="str">
            <v>Mass. Flow
(lb/hr)</v>
          </cell>
          <cell r="CD17" t="str">
            <v>Mol. Flow
(lbmol/hr)</v>
          </cell>
          <cell r="CE17" t="str">
            <v>Vol %</v>
          </cell>
          <cell r="CF17" t="str">
            <v>Mass. Flow
(lb/hr)</v>
          </cell>
          <cell r="CG17" t="str">
            <v>Vol. Flow (SCFM)</v>
          </cell>
          <cell r="CH17" t="str">
            <v>Vol. Flow (ACFM)</v>
          </cell>
          <cell r="CI17" t="str">
            <v>Mass. Flow
(lb/hr)</v>
          </cell>
          <cell r="CJ17" t="str">
            <v>Mol. Flow
(lbmol/hr)</v>
          </cell>
          <cell r="CK17" t="str">
            <v>Vol %</v>
          </cell>
          <cell r="CL17" t="str">
            <v>Mass. Flow
(lb/hr)</v>
          </cell>
          <cell r="CM17" t="str">
            <v>Vol. Flow (SCFM)</v>
          </cell>
          <cell r="CN17" t="str">
            <v>Vol. Flow (ACFM)</v>
          </cell>
          <cell r="CO17" t="str">
            <v>Mass. Flow
(lb/hr)</v>
          </cell>
          <cell r="CP17" t="str">
            <v>Mol. Flow
(lbmol/hr)</v>
          </cell>
          <cell r="CQ17" t="str">
            <v>Vol %</v>
          </cell>
          <cell r="CR17" t="str">
            <v>Mass. Flow
(lb/hr)</v>
          </cell>
          <cell r="CS17" t="str">
            <v>Vol. Flow (SCFM)</v>
          </cell>
          <cell r="CT17" t="str">
            <v>Vol. Flow (ACFM)</v>
          </cell>
          <cell r="CU17" t="str">
            <v>Mass. Flow
(lb/hr)</v>
          </cell>
          <cell r="CV17" t="str">
            <v>Mol. Flow
(lbmol/hr)</v>
          </cell>
          <cell r="CW17" t="str">
            <v>Vol %</v>
          </cell>
          <cell r="CX17" t="str">
            <v>Mass. Flow
(lb/hr)</v>
          </cell>
          <cell r="CY17" t="str">
            <v>Vol. Flow (SCFM)</v>
          </cell>
          <cell r="CZ17" t="str">
            <v>Vol. Flow (ACFM)</v>
          </cell>
          <cell r="DA17" t="str">
            <v>Mass. Flow
(lb/hr)</v>
          </cell>
          <cell r="DB17" t="str">
            <v>Mol. Flow
(lbmol/hr)</v>
          </cell>
          <cell r="DC17" t="str">
            <v>Vol %</v>
          </cell>
          <cell r="DD17" t="str">
            <v>Vol. Flow (SCFM)</v>
          </cell>
          <cell r="DE17" t="str">
            <v>Vol. Flow (SCFM)</v>
          </cell>
          <cell r="DF17" t="str">
            <v>Vol. Flow (ACFM)</v>
          </cell>
          <cell r="DG17" t="str">
            <v>Mass. Flow
(lb/hr)</v>
          </cell>
          <cell r="DH17" t="str">
            <v>Mol. Flow
(lbmol/hr)</v>
          </cell>
          <cell r="DI17" t="str">
            <v>Vol %</v>
          </cell>
          <cell r="DJ17" t="str">
            <v>Vol. Flow (SCFM)</v>
          </cell>
          <cell r="DK17" t="str">
            <v>Vol. Flow (SCFM)</v>
          </cell>
          <cell r="DL17" t="str">
            <v>Vol. Flow (ACFM)</v>
          </cell>
          <cell r="DM17" t="str">
            <v>Mass. Flow
(lb/hr)</v>
          </cell>
          <cell r="DN17" t="str">
            <v>Mol. Flow
(lbmol/hr)</v>
          </cell>
          <cell r="DO17" t="str">
            <v>Vol %</v>
          </cell>
          <cell r="DP17" t="str">
            <v>Vol. Flow (SCFM)</v>
          </cell>
          <cell r="DQ17" t="str">
            <v>Vol. Flow (SCFM)</v>
          </cell>
          <cell r="DR17" t="str">
            <v>Vol. Flow (ACFM)</v>
          </cell>
          <cell r="DS17" t="str">
            <v>Mass. Flow
(lb/hr)</v>
          </cell>
          <cell r="DT17" t="str">
            <v>Mol. Flow
(lbmol/hr)</v>
          </cell>
          <cell r="DU17" t="str">
            <v>Vol %</v>
          </cell>
          <cell r="DV17" t="str">
            <v>Vol. Flow (SCFM)</v>
          </cell>
          <cell r="DW17" t="str">
            <v>Vol. Flow (SCFM)</v>
          </cell>
          <cell r="DX17" t="str">
            <v>Vol. Flow (ACFM)</v>
          </cell>
          <cell r="DY17" t="str">
            <v>Mass. Flow
(lb/hr)</v>
          </cell>
          <cell r="DZ17" t="str">
            <v>Mol. Flow
(lbmol/hr)</v>
          </cell>
        </row>
        <row r="18">
          <cell r="C18" t="str">
            <v>Methane (CH4)</v>
          </cell>
          <cell r="E18">
            <v>60.138797224055523</v>
          </cell>
          <cell r="F18">
            <v>3507.8946164589315</v>
          </cell>
          <cell r="G18">
            <v>1383.2199999999998</v>
          </cell>
          <cell r="H18">
            <v>274.74826368111178</v>
          </cell>
          <cell r="I18">
            <v>3507.8946164589315</v>
          </cell>
          <cell r="J18">
            <v>218.69667184906058</v>
          </cell>
          <cell r="K18">
            <v>60.141563675844246</v>
          </cell>
          <cell r="L18">
            <v>3507.8946164589315</v>
          </cell>
          <cell r="M18">
            <v>1383.2199999999998</v>
          </cell>
          <cell r="N18">
            <v>281.82029106029097</v>
          </cell>
          <cell r="O18">
            <v>3507.8946164589315</v>
          </cell>
          <cell r="P18">
            <v>218.69667184906058</v>
          </cell>
          <cell r="Q18">
            <v>60.141563675844246</v>
          </cell>
          <cell r="R18">
            <v>1383.2199999999998</v>
          </cell>
          <cell r="S18">
            <v>1383.2199999999998</v>
          </cell>
          <cell r="T18">
            <v>283.64555201275402</v>
          </cell>
          <cell r="U18">
            <v>3507.8946164589315</v>
          </cell>
          <cell r="V18">
            <v>218.69667184906058</v>
          </cell>
          <cell r="W18">
            <v>57.086418861803502</v>
          </cell>
          <cell r="X18">
            <v>2535.22904372008</v>
          </cell>
          <cell r="Y18">
            <v>2535.22904372008</v>
          </cell>
          <cell r="Z18">
            <v>529.09162704129312</v>
          </cell>
          <cell r="AA18">
            <v>6429.4301079770339</v>
          </cell>
          <cell r="AB18">
            <v>400.83728852724653</v>
          </cell>
          <cell r="AC18">
            <v>57.086418861803502</v>
          </cell>
          <cell r="AD18">
            <v>2535.22904372008</v>
          </cell>
          <cell r="AE18">
            <v>2535.22904372008</v>
          </cell>
          <cell r="AF18">
            <v>236.33737411254614</v>
          </cell>
          <cell r="AG18">
            <v>6429.4301079770339</v>
          </cell>
          <cell r="AH18">
            <v>400.83728852724653</v>
          </cell>
          <cell r="AI18">
            <v>57.086418861803502</v>
          </cell>
          <cell r="AJ18">
            <v>2535.22904372008</v>
          </cell>
          <cell r="AK18">
            <v>2535.22904372008</v>
          </cell>
          <cell r="AL18">
            <v>229.1250725202155</v>
          </cell>
          <cell r="AM18">
            <v>6429.4301079770339</v>
          </cell>
          <cell r="AN18">
            <v>400.83728852724653</v>
          </cell>
          <cell r="AO18">
            <v>57.086418861803502</v>
          </cell>
          <cell r="AP18">
            <v>2535.22904372008</v>
          </cell>
          <cell r="AQ18">
            <v>2535.22904372008</v>
          </cell>
          <cell r="AR18">
            <v>197.28526547732281</v>
          </cell>
          <cell r="AS18">
            <v>6429.4301079770339</v>
          </cell>
          <cell r="AT18">
            <v>400.83728852724653</v>
          </cell>
          <cell r="AU18">
            <v>57.086418861803502</v>
          </cell>
          <cell r="AV18">
            <v>2535.22904372008</v>
          </cell>
          <cell r="AW18">
            <v>2535.22904372008</v>
          </cell>
          <cell r="AX18">
            <v>196.42862308075556</v>
          </cell>
          <cell r="AY18">
            <v>6429.4301079770339</v>
          </cell>
          <cell r="AZ18">
            <v>400.83728852724653</v>
          </cell>
          <cell r="BA18">
            <v>57.11789080092548</v>
          </cell>
          <cell r="BB18">
            <v>2535.22904372008</v>
          </cell>
          <cell r="BC18">
            <v>2535.22904372008</v>
          </cell>
          <cell r="BD18">
            <v>173.36471913347648</v>
          </cell>
          <cell r="BE18">
            <v>6429.4301079770339</v>
          </cell>
          <cell r="BF18">
            <v>400.83728852724653</v>
          </cell>
          <cell r="BG18">
            <v>57.11789080092548</v>
          </cell>
          <cell r="BH18">
            <v>2535.22904372008</v>
          </cell>
          <cell r="BI18">
            <v>2535.22904372008</v>
          </cell>
          <cell r="BJ18">
            <v>178.55973226080792</v>
          </cell>
          <cell r="BK18">
            <v>6429.4301079770339</v>
          </cell>
          <cell r="BL18">
            <v>400.83728852724653</v>
          </cell>
          <cell r="BM18">
            <v>57.11789080092548</v>
          </cell>
          <cell r="BN18">
            <v>2535.22904372008</v>
          </cell>
          <cell r="BO18">
            <v>2535.22904372008</v>
          </cell>
          <cell r="BP18">
            <v>179.4363141570318</v>
          </cell>
          <cell r="BQ18">
            <v>6429.4301079770339</v>
          </cell>
          <cell r="BR18">
            <v>400.83728852724653</v>
          </cell>
          <cell r="BS18">
            <v>3.0117431839186617</v>
          </cell>
          <cell r="BT18">
            <v>70.157892329178139</v>
          </cell>
          <cell r="BU18">
            <v>27.664399999999805</v>
          </cell>
          <cell r="BV18">
            <v>23.88300400736971</v>
          </cell>
          <cell r="BW18">
            <v>70.157892329178139</v>
          </cell>
          <cell r="BX18">
            <v>4.3739334369811811</v>
          </cell>
          <cell r="BY18">
            <v>3.0117431839186617</v>
          </cell>
          <cell r="BZ18">
            <v>70.157892329178139</v>
          </cell>
          <cell r="CA18">
            <v>27.664399999999805</v>
          </cell>
          <cell r="CB18">
            <v>24.301029335071537</v>
          </cell>
          <cell r="CC18">
            <v>70.157892329178139</v>
          </cell>
          <cell r="CD18">
            <v>4.3739334369811811</v>
          </cell>
          <cell r="CE18">
            <v>53.804619538046197</v>
          </cell>
          <cell r="CF18">
            <v>2921.5354915181028</v>
          </cell>
          <cell r="CG18">
            <v>1152.0090437200799</v>
          </cell>
          <cell r="CH18">
            <v>902.60200963550426</v>
          </cell>
          <cell r="CI18">
            <v>2921.5354915181028</v>
          </cell>
          <cell r="CJ18">
            <v>182.14061667818598</v>
          </cell>
          <cell r="CK18">
            <v>53.804619538046197</v>
          </cell>
          <cell r="CL18">
            <v>2921.5354915181028</v>
          </cell>
          <cell r="CM18">
            <v>1152.0090437200799</v>
          </cell>
          <cell r="CN18">
            <v>289.29759008351277</v>
          </cell>
          <cell r="CO18">
            <v>2921.5354915181028</v>
          </cell>
          <cell r="CP18">
            <v>182.14061667818598</v>
          </cell>
          <cell r="CQ18">
            <v>53.804619538046197</v>
          </cell>
          <cell r="CR18">
            <v>2921.5354915181028</v>
          </cell>
          <cell r="CS18">
            <v>1152.0090437200799</v>
          </cell>
          <cell r="CT18">
            <v>243.09546348770914</v>
          </cell>
          <cell r="CU18">
            <v>2921.5354915181028</v>
          </cell>
          <cell r="CV18">
            <v>182.14061667818598</v>
          </cell>
          <cell r="CW18">
            <v>98.304026318813698</v>
          </cell>
          <cell r="CX18">
            <v>3437.7367241297529</v>
          </cell>
          <cell r="CY18">
            <v>1355.5555999999999</v>
          </cell>
          <cell r="CZ18">
            <v>120.20847043088627</v>
          </cell>
          <cell r="DA18">
            <v>3437.7367241297529</v>
          </cell>
          <cell r="DB18">
            <v>214.32273841207936</v>
          </cell>
          <cell r="DC18">
            <v>98.304026318813698</v>
          </cell>
          <cell r="DD18">
            <v>1355.5555999999999</v>
          </cell>
          <cell r="DE18">
            <v>1355.5555999999999</v>
          </cell>
          <cell r="DF18">
            <v>124.73362232324504</v>
          </cell>
          <cell r="DG18">
            <v>3437.7367241297529</v>
          </cell>
          <cell r="DH18">
            <v>214.32273841207936</v>
          </cell>
          <cell r="DI18">
            <v>98.304026318813698</v>
          </cell>
          <cell r="DJ18">
            <v>1355.5555999999999</v>
          </cell>
          <cell r="DK18">
            <v>1355.5555999999999</v>
          </cell>
          <cell r="DL18">
            <v>94.219739563913421</v>
          </cell>
          <cell r="DM18">
            <v>3437.7367241297529</v>
          </cell>
          <cell r="DN18">
            <v>214.32273841207936</v>
          </cell>
          <cell r="DO18">
            <v>98.304026318813698</v>
          </cell>
          <cell r="DP18">
            <v>1355.5555999999999</v>
          </cell>
          <cell r="DQ18">
            <v>1355.5555999999999</v>
          </cell>
          <cell r="DR18">
            <v>78.620085477946176</v>
          </cell>
          <cell r="DS18">
            <v>3437.7367241297529</v>
          </cell>
          <cell r="DT18">
            <v>214.32273841207936</v>
          </cell>
          <cell r="DU18">
            <v>98.304026318813698</v>
          </cell>
          <cell r="DV18">
            <v>1355.5555999999999</v>
          </cell>
          <cell r="DW18">
            <v>1355.5555999999999</v>
          </cell>
          <cell r="DX18">
            <v>75.353173908858381</v>
          </cell>
          <cell r="DY18">
            <v>3437.7367241297529</v>
          </cell>
          <cell r="DZ18">
            <v>214.32273841207936</v>
          </cell>
        </row>
        <row r="19">
          <cell r="C19" t="str">
            <v>Carbon Dioxide (CO2)</v>
          </cell>
          <cell r="E19">
            <v>38.329233415331707</v>
          </cell>
          <cell r="F19">
            <v>6134.3554612769767</v>
          </cell>
          <cell r="G19">
            <v>881.59</v>
          </cell>
          <cell r="H19">
            <v>175.10975967570698</v>
          </cell>
          <cell r="I19">
            <v>6134.3554612769767</v>
          </cell>
          <cell r="J19">
            <v>139.38549105378272</v>
          </cell>
          <cell r="K19">
            <v>38.330996602845204</v>
          </cell>
          <cell r="L19">
            <v>6134.3554612769767</v>
          </cell>
          <cell r="M19">
            <v>881.59</v>
          </cell>
          <cell r="N19">
            <v>179.61708939708939</v>
          </cell>
          <cell r="O19">
            <v>6134.3554612769767</v>
          </cell>
          <cell r="P19">
            <v>139.38549105378272</v>
          </cell>
          <cell r="Q19">
            <v>38.330996602845204</v>
          </cell>
          <cell r="R19">
            <v>881.59</v>
          </cell>
          <cell r="S19">
            <v>881.59</v>
          </cell>
          <cell r="T19">
            <v>180.78041251494619</v>
          </cell>
          <cell r="U19">
            <v>6134.3554612769767</v>
          </cell>
          <cell r="V19">
            <v>139.38549105378272</v>
          </cell>
          <cell r="W19">
            <v>40.570285542634579</v>
          </cell>
          <cell r="X19">
            <v>1801.7414346606399</v>
          </cell>
          <cell r="Y19">
            <v>1801.7414346606399</v>
          </cell>
          <cell r="Z19">
            <v>376.01585132264921</v>
          </cell>
          <cell r="AA19">
            <v>12537.032418153009</v>
          </cell>
          <cell r="AB19">
            <v>284.86781227341532</v>
          </cell>
          <cell r="AC19">
            <v>40.570285542634579</v>
          </cell>
          <cell r="AD19">
            <v>1801.7414346606399</v>
          </cell>
          <cell r="AE19">
            <v>1801.7414346606399</v>
          </cell>
          <cell r="AF19">
            <v>167.96069789128012</v>
          </cell>
          <cell r="AG19">
            <v>12537.032418153009</v>
          </cell>
          <cell r="AH19">
            <v>284.86781227341532</v>
          </cell>
          <cell r="AI19">
            <v>40.570285542634579</v>
          </cell>
          <cell r="AJ19">
            <v>1801.7414346606399</v>
          </cell>
          <cell r="AK19">
            <v>1801.7414346606399</v>
          </cell>
          <cell r="AL19">
            <v>162.83504557581784</v>
          </cell>
          <cell r="AM19">
            <v>12537.032418153009</v>
          </cell>
          <cell r="AN19">
            <v>284.86781227341532</v>
          </cell>
          <cell r="AO19">
            <v>40.570285542634579</v>
          </cell>
          <cell r="AP19">
            <v>1801.7414346606399</v>
          </cell>
          <cell r="AQ19">
            <v>1801.7414346606399</v>
          </cell>
          <cell r="AR19">
            <v>140.20707049684762</v>
          </cell>
          <cell r="AS19">
            <v>12537.032418153009</v>
          </cell>
          <cell r="AT19">
            <v>284.86781227341532</v>
          </cell>
          <cell r="AU19">
            <v>40.570285542634579</v>
          </cell>
          <cell r="AV19">
            <v>1801.7414346606399</v>
          </cell>
          <cell r="AW19">
            <v>1801.7414346606399</v>
          </cell>
          <cell r="AX19">
            <v>139.59827023700308</v>
          </cell>
          <cell r="AY19">
            <v>12537.032418153009</v>
          </cell>
          <cell r="AZ19">
            <v>284.86781227341532</v>
          </cell>
          <cell r="BA19">
            <v>40.592652080634622</v>
          </cell>
          <cell r="BB19">
            <v>1801.7414346606399</v>
          </cell>
          <cell r="BC19">
            <v>1801.7414346606399</v>
          </cell>
          <cell r="BD19">
            <v>123.20717078593746</v>
          </cell>
          <cell r="BE19">
            <v>12537.032418153009</v>
          </cell>
          <cell r="BF19">
            <v>284.86781227341532</v>
          </cell>
          <cell r="BG19">
            <v>40.592652080634622</v>
          </cell>
          <cell r="BH19">
            <v>1801.7414346606399</v>
          </cell>
          <cell r="BI19">
            <v>1801.7414346606399</v>
          </cell>
          <cell r="BJ19">
            <v>126.89917266967434</v>
          </cell>
          <cell r="BK19">
            <v>12537.032418153009</v>
          </cell>
          <cell r="BL19">
            <v>284.86781227341532</v>
          </cell>
          <cell r="BM19">
            <v>40.592652080634622</v>
          </cell>
          <cell r="BN19">
            <v>1801.7414346606399</v>
          </cell>
          <cell r="BO19">
            <v>1801.7414346606399</v>
          </cell>
          <cell r="BP19">
            <v>127.52214357134187</v>
          </cell>
          <cell r="BQ19">
            <v>12537.032418153009</v>
          </cell>
          <cell r="BR19">
            <v>284.86781227341532</v>
          </cell>
          <cell r="BS19">
            <v>95.961135287136443</v>
          </cell>
          <cell r="BT19">
            <v>6133.3956292394369</v>
          </cell>
          <cell r="BU19">
            <v>881.4520591305286</v>
          </cell>
          <cell r="BV19">
            <v>760.96799715586974</v>
          </cell>
          <cell r="BW19">
            <v>6133.3956292394369</v>
          </cell>
          <cell r="BX19">
            <v>139.36368164597675</v>
          </cell>
          <cell r="BY19">
            <v>95.961135287136443</v>
          </cell>
          <cell r="BZ19">
            <v>6133.3956292394369</v>
          </cell>
          <cell r="CA19">
            <v>881.4520591305286</v>
          </cell>
          <cell r="CB19">
            <v>774.28725533141278</v>
          </cell>
          <cell r="CC19">
            <v>6133.3956292394369</v>
          </cell>
          <cell r="CD19">
            <v>139.36368164597675</v>
          </cell>
          <cell r="CE19">
            <v>42.975702429757021</v>
          </cell>
          <cell r="CF19">
            <v>6402.676956876031</v>
          </cell>
          <cell r="CG19">
            <v>920.15143466063978</v>
          </cell>
          <cell r="CH19">
            <v>720.94098446634393</v>
          </cell>
          <cell r="CI19">
            <v>6402.676956876031</v>
          </cell>
          <cell r="CJ19">
            <v>145.48232121963261</v>
          </cell>
          <cell r="CK19">
            <v>42.975702429757021</v>
          </cell>
          <cell r="CL19">
            <v>6402.676956876031</v>
          </cell>
          <cell r="CM19">
            <v>920.15143466063978</v>
          </cell>
          <cell r="CN19">
            <v>231.07248507320904</v>
          </cell>
          <cell r="CO19">
            <v>6402.676956876031</v>
          </cell>
          <cell r="CP19">
            <v>145.48232121963261</v>
          </cell>
          <cell r="CQ19">
            <v>42.975702429757021</v>
          </cell>
          <cell r="CR19">
            <v>6402.676956876031</v>
          </cell>
          <cell r="CS19">
            <v>920.15143466063978</v>
          </cell>
          <cell r="CT19">
            <v>194.16916968410592</v>
          </cell>
          <cell r="CU19">
            <v>6402.676956876031</v>
          </cell>
          <cell r="CV19">
            <v>145.48232121963261</v>
          </cell>
          <cell r="CW19">
            <v>1.000338375124625E-2</v>
          </cell>
          <cell r="CX19">
            <v>0.95983203753992463</v>
          </cell>
          <cell r="CY19">
            <v>0.13794086947134213</v>
          </cell>
          <cell r="CZ19">
            <v>1.2232372415455755E-2</v>
          </cell>
          <cell r="DA19">
            <v>0.95983203753992463</v>
          </cell>
          <cell r="DB19">
            <v>2.1809407805951482E-2</v>
          </cell>
          <cell r="DC19">
            <v>1.000338375124625E-2</v>
          </cell>
          <cell r="DD19">
            <v>0.13794086947134213</v>
          </cell>
          <cell r="DE19">
            <v>0.13794086947134213</v>
          </cell>
          <cell r="DF19">
            <v>1.2692850308448016E-2</v>
          </cell>
          <cell r="DG19">
            <v>0.95983203753992463</v>
          </cell>
          <cell r="DH19">
            <v>2.1809407805951482E-2</v>
          </cell>
          <cell r="DI19">
            <v>1.000338375124625E-2</v>
          </cell>
          <cell r="DJ19">
            <v>0.13794086947134213</v>
          </cell>
          <cell r="DK19">
            <v>0.13794086947134213</v>
          </cell>
          <cell r="DL19">
            <v>9.5877681423097907E-3</v>
          </cell>
          <cell r="DM19">
            <v>0.95983203753992463</v>
          </cell>
          <cell r="DN19">
            <v>2.1809407805951482E-2</v>
          </cell>
          <cell r="DO19">
            <v>1.000338375124625E-2</v>
          </cell>
          <cell r="DP19">
            <v>0.13794086947134213</v>
          </cell>
          <cell r="DQ19">
            <v>0.13794086947134213</v>
          </cell>
          <cell r="DR19">
            <v>8.000352732664846E-3</v>
          </cell>
          <cell r="DS19">
            <v>0.95983203753992463</v>
          </cell>
          <cell r="DT19">
            <v>2.1809407805951482E-2</v>
          </cell>
          <cell r="DU19">
            <v>1.000338375124625E-2</v>
          </cell>
          <cell r="DV19">
            <v>0.13794086947134213</v>
          </cell>
          <cell r="DW19">
            <v>0.13794086947134213</v>
          </cell>
          <cell r="DX19">
            <v>7.6679129402092983E-3</v>
          </cell>
          <cell r="DY19">
            <v>0.95983203753992463</v>
          </cell>
          <cell r="DZ19">
            <v>2.1809407805951482E-2</v>
          </cell>
        </row>
        <row r="20">
          <cell r="C20" t="str">
            <v>Nitrogen (N2)</v>
          </cell>
          <cell r="E20">
            <v>0.93998120037599253</v>
          </cell>
          <cell r="F20">
            <v>95.759468760705147</v>
          </cell>
          <cell r="G20">
            <v>21.619999999999997</v>
          </cell>
          <cell r="H20">
            <v>4.294369269375542</v>
          </cell>
          <cell r="I20">
            <v>95.759468760705147</v>
          </cell>
          <cell r="J20">
            <v>3.4182718912224299</v>
          </cell>
          <cell r="K20">
            <v>0.94002444056025269</v>
          </cell>
          <cell r="L20">
            <v>95.759468760705147</v>
          </cell>
          <cell r="M20">
            <v>21.619999999999997</v>
          </cell>
          <cell r="N20">
            <v>4.4049064449064437</v>
          </cell>
          <cell r="O20">
            <v>95.759468760705147</v>
          </cell>
          <cell r="P20">
            <v>3.4182718912224299</v>
          </cell>
          <cell r="Q20">
            <v>0.94002444056025269</v>
          </cell>
          <cell r="R20">
            <v>21.619999999999997</v>
          </cell>
          <cell r="S20">
            <v>21.619999999999997</v>
          </cell>
          <cell r="T20">
            <v>4.4334356317257866</v>
          </cell>
          <cell r="U20">
            <v>95.759468760705147</v>
          </cell>
          <cell r="V20">
            <v>3.4182718912224299</v>
          </cell>
          <cell r="W20">
            <v>1.0604843959551309</v>
          </cell>
          <cell r="X20">
            <v>47.096505519919994</v>
          </cell>
          <cell r="Y20">
            <v>47.096505519919994</v>
          </cell>
          <cell r="Z20">
            <v>9.8288424058639023</v>
          </cell>
          <cell r="AA20">
            <v>208.60020115972046</v>
          </cell>
          <cell r="AB20">
            <v>7.4462840422546037</v>
          </cell>
          <cell r="AC20">
            <v>1.0604843959551309</v>
          </cell>
          <cell r="AD20">
            <v>47.096505519919994</v>
          </cell>
          <cell r="AE20">
            <v>47.096505519919994</v>
          </cell>
          <cell r="AF20">
            <v>4.3903979689828319</v>
          </cell>
          <cell r="AG20">
            <v>208.60020115972046</v>
          </cell>
          <cell r="AH20">
            <v>7.4462840422546037</v>
          </cell>
          <cell r="AI20">
            <v>1.0604843959551309</v>
          </cell>
          <cell r="AJ20">
            <v>47.096505519919994</v>
          </cell>
          <cell r="AK20">
            <v>47.096505519919994</v>
          </cell>
          <cell r="AL20">
            <v>4.256416306617484</v>
          </cell>
          <cell r="AM20">
            <v>208.60020115972046</v>
          </cell>
          <cell r="AN20">
            <v>7.4462840422546037</v>
          </cell>
          <cell r="AO20">
            <v>1.0604843959551309</v>
          </cell>
          <cell r="AP20">
            <v>47.096505519919994</v>
          </cell>
          <cell r="AQ20">
            <v>47.096505519919994</v>
          </cell>
          <cell r="AR20">
            <v>3.6649337926950261</v>
          </cell>
          <cell r="AS20">
            <v>208.60020115972046</v>
          </cell>
          <cell r="AT20">
            <v>7.4462840422546037</v>
          </cell>
          <cell r="AU20">
            <v>1.0604843959551309</v>
          </cell>
          <cell r="AV20">
            <v>47.096505519919994</v>
          </cell>
          <cell r="AW20">
            <v>47.096505519919994</v>
          </cell>
          <cell r="AX20">
            <v>3.6490200970632789</v>
          </cell>
          <cell r="AY20">
            <v>208.60020115972046</v>
          </cell>
          <cell r="AZ20">
            <v>7.4462840422546037</v>
          </cell>
          <cell r="BA20">
            <v>1.0610690446511737</v>
          </cell>
          <cell r="BB20">
            <v>47.096505519919994</v>
          </cell>
          <cell r="BC20">
            <v>47.096505519919994</v>
          </cell>
          <cell r="BD20">
            <v>3.2205659965335482</v>
          </cell>
          <cell r="BE20">
            <v>208.60020115972046</v>
          </cell>
          <cell r="BF20">
            <v>7.4462840422546037</v>
          </cell>
          <cell r="BG20">
            <v>1.0610690446511737</v>
          </cell>
          <cell r="BH20">
            <v>47.096505519919994</v>
          </cell>
          <cell r="BI20">
            <v>47.096505519919994</v>
          </cell>
          <cell r="BJ20">
            <v>3.3170728447149691</v>
          </cell>
          <cell r="BK20">
            <v>208.60020115972046</v>
          </cell>
          <cell r="BL20">
            <v>7.4462840422546037</v>
          </cell>
          <cell r="BM20">
            <v>1.0610690446511737</v>
          </cell>
          <cell r="BN20">
            <v>47.096505519919994</v>
          </cell>
          <cell r="BO20">
            <v>47.096505519919994</v>
          </cell>
          <cell r="BP20">
            <v>3.3333569529364468</v>
          </cell>
          <cell r="BQ20">
            <v>208.60020115972046</v>
          </cell>
          <cell r="BR20">
            <v>7.4462840422546037</v>
          </cell>
          <cell r="BS20">
            <v>-3.9972198817507486E-3</v>
          </cell>
          <cell r="BT20">
            <v>-0.1626250326150398</v>
          </cell>
          <cell r="BU20">
            <v>-3.6716507000714799E-2</v>
          </cell>
          <cell r="BV20">
            <v>-3.1697795138687104E-2</v>
          </cell>
          <cell r="BW20">
            <v>-0.1626250326150398</v>
          </cell>
          <cell r="BX20">
            <v>-5.8051343119525879E-3</v>
          </cell>
          <cell r="BY20">
            <v>-3.9972198817507486E-3</v>
          </cell>
          <cell r="BZ20">
            <v>-0.1626250326150398</v>
          </cell>
          <cell r="CA20">
            <v>-3.6716507000714799E-2</v>
          </cell>
          <cell r="CB20">
            <v>-3.2252603118294129E-2</v>
          </cell>
          <cell r="CC20">
            <v>-0.1626250326150398</v>
          </cell>
          <cell r="CD20">
            <v>-5.8051343119525879E-3</v>
          </cell>
          <cell r="CE20">
            <v>1.1898810118988099</v>
          </cell>
          <cell r="CF20">
            <v>112.84073239901531</v>
          </cell>
          <cell r="CG20">
            <v>25.476505519919993</v>
          </cell>
          <cell r="CH20">
            <v>19.960906736038837</v>
          </cell>
          <cell r="CI20">
            <v>112.84073239901531</v>
          </cell>
          <cell r="CJ20">
            <v>4.0280121510321738</v>
          </cell>
          <cell r="CK20">
            <v>1.1898810118988099</v>
          </cell>
          <cell r="CL20">
            <v>112.84073239901531</v>
          </cell>
          <cell r="CM20">
            <v>25.476505519919993</v>
          </cell>
          <cell r="CN20">
            <v>6.3977723880204449</v>
          </cell>
          <cell r="CO20">
            <v>112.84073239901531</v>
          </cell>
          <cell r="CP20">
            <v>4.0280121510321738</v>
          </cell>
          <cell r="CQ20">
            <v>1.1898810118988099</v>
          </cell>
          <cell r="CR20">
            <v>112.84073239901531</v>
          </cell>
          <cell r="CS20">
            <v>25.476505519919993</v>
          </cell>
          <cell r="CT20">
            <v>5.3760193560745932</v>
          </cell>
          <cell r="CU20">
            <v>112.84073239901531</v>
          </cell>
          <cell r="CV20">
            <v>4.0280121510321738</v>
          </cell>
          <cell r="CW20">
            <v>1.5705312489456615</v>
          </cell>
          <cell r="CX20">
            <v>95.922093793320187</v>
          </cell>
          <cell r="CY20">
            <v>21.656716507000716</v>
          </cell>
          <cell r="CZ20">
            <v>1.9204824692265539</v>
          </cell>
          <cell r="DA20">
            <v>95.922093793320187</v>
          </cell>
          <cell r="DB20">
            <v>3.4240770255343822</v>
          </cell>
          <cell r="DC20">
            <v>1.5705312489456615</v>
          </cell>
          <cell r="DD20">
            <v>21.656716507000716</v>
          </cell>
          <cell r="DE20">
            <v>21.656716507000716</v>
          </cell>
          <cell r="DF20">
            <v>1.9927774984263387</v>
          </cell>
          <cell r="DG20">
            <v>95.922093793320187</v>
          </cell>
          <cell r="DH20">
            <v>3.4240770255343822</v>
          </cell>
          <cell r="DI20">
            <v>1.5705312489456615</v>
          </cell>
          <cell r="DJ20">
            <v>21.656716507000716</v>
          </cell>
          <cell r="DK20">
            <v>21.656716507000716</v>
          </cell>
          <cell r="DL20">
            <v>1.505279598342637</v>
          </cell>
          <cell r="DM20">
            <v>95.922093793320187</v>
          </cell>
          <cell r="DN20">
            <v>3.4240770255343822</v>
          </cell>
          <cell r="DO20">
            <v>1.5705312489456615</v>
          </cell>
          <cell r="DP20">
            <v>21.656716507000716</v>
          </cell>
          <cell r="DQ20">
            <v>21.656716507000716</v>
          </cell>
          <cell r="DR20">
            <v>1.2560553790283808</v>
          </cell>
          <cell r="DS20">
            <v>95.922093793320187</v>
          </cell>
          <cell r="DT20">
            <v>3.4240770255343822</v>
          </cell>
          <cell r="DU20">
            <v>1.5705312489456615</v>
          </cell>
          <cell r="DV20">
            <v>21.656716507000716</v>
          </cell>
          <cell r="DW20">
            <v>21.656716507000716</v>
          </cell>
          <cell r="DX20">
            <v>1.20386233161286</v>
          </cell>
          <cell r="DY20">
            <v>95.922093793320187</v>
          </cell>
          <cell r="DZ20">
            <v>3.4240770255343822</v>
          </cell>
        </row>
        <row r="21">
          <cell r="C21" t="str">
            <v>Oxygen (O2)</v>
          </cell>
          <cell r="E21">
            <v>0.45999080018399646</v>
          </cell>
          <cell r="F21">
            <v>53.528683232759754</v>
          </cell>
          <cell r="G21">
            <v>10.58</v>
          </cell>
          <cell r="H21">
            <v>2.1014998552263293</v>
          </cell>
          <cell r="I21">
            <v>53.528683232759754</v>
          </cell>
          <cell r="J21">
            <v>1.6727713510237423</v>
          </cell>
          <cell r="K21">
            <v>0.4600119602741663</v>
          </cell>
          <cell r="L21">
            <v>53.528683232759754</v>
          </cell>
          <cell r="M21">
            <v>10.58</v>
          </cell>
          <cell r="N21">
            <v>2.1555925155925153</v>
          </cell>
          <cell r="O21">
            <v>53.528683232759754</v>
          </cell>
          <cell r="P21">
            <v>1.6727713510237423</v>
          </cell>
          <cell r="Q21">
            <v>0.4600119602741663</v>
          </cell>
          <cell r="R21">
            <v>10.58</v>
          </cell>
          <cell r="S21">
            <v>10.58</v>
          </cell>
          <cell r="T21">
            <v>2.1695536070147465</v>
          </cell>
          <cell r="U21">
            <v>53.528683232759754</v>
          </cell>
          <cell r="V21">
            <v>1.6727713510237423</v>
          </cell>
          <cell r="W21">
            <v>1.1686242905447461</v>
          </cell>
          <cell r="X21">
            <v>51.899038364239992</v>
          </cell>
          <cell r="Y21">
            <v>51.899038364239992</v>
          </cell>
          <cell r="Z21">
            <v>10.831110789785539</v>
          </cell>
          <cell r="AA21">
            <v>262.57912898716904</v>
          </cell>
          <cell r="AB21">
            <v>8.2055977808490326</v>
          </cell>
          <cell r="AC21">
            <v>1.1686242905447461</v>
          </cell>
          <cell r="AD21">
            <v>51.899038364239992</v>
          </cell>
          <cell r="AE21">
            <v>51.899038364239992</v>
          </cell>
          <cell r="AF21">
            <v>4.8380963749029418</v>
          </cell>
          <cell r="AG21">
            <v>262.57912898716904</v>
          </cell>
          <cell r="AH21">
            <v>8.2055977808490326</v>
          </cell>
          <cell r="AI21">
            <v>1.1686242905447461</v>
          </cell>
          <cell r="AJ21">
            <v>51.899038364239992</v>
          </cell>
          <cell r="AK21">
            <v>51.899038364239992</v>
          </cell>
          <cell r="AL21">
            <v>4.6904523117513195</v>
          </cell>
          <cell r="AM21">
            <v>262.57912898716904</v>
          </cell>
          <cell r="AN21">
            <v>8.2055977808490326</v>
          </cell>
          <cell r="AO21">
            <v>1.1686242905447461</v>
          </cell>
          <cell r="AP21">
            <v>51.899038364239992</v>
          </cell>
          <cell r="AQ21">
            <v>51.899038364239992</v>
          </cell>
          <cell r="AR21">
            <v>4.0386550426555266</v>
          </cell>
          <cell r="AS21">
            <v>262.57912898716904</v>
          </cell>
          <cell r="AT21">
            <v>8.2055977808490326</v>
          </cell>
          <cell r="AU21">
            <v>1.1686242905447461</v>
          </cell>
          <cell r="AV21">
            <v>51.899038364239992</v>
          </cell>
          <cell r="AW21">
            <v>51.899038364239992</v>
          </cell>
          <cell r="AX21">
            <v>4.0211185929552498</v>
          </cell>
          <cell r="AY21">
            <v>262.57912898716904</v>
          </cell>
          <cell r="AZ21">
            <v>8.2055977808490326</v>
          </cell>
          <cell r="BA21">
            <v>1.1692685571367269</v>
          </cell>
          <cell r="BB21">
            <v>51.899038364239992</v>
          </cell>
          <cell r="BC21">
            <v>51.899038364239992</v>
          </cell>
          <cell r="BD21">
            <v>3.54897409825801</v>
          </cell>
          <cell r="BE21">
            <v>262.57912898716904</v>
          </cell>
          <cell r="BF21">
            <v>8.2055977808490326</v>
          </cell>
          <cell r="BG21">
            <v>1.1692685571367269</v>
          </cell>
          <cell r="BH21">
            <v>51.899038364239992</v>
          </cell>
          <cell r="BI21">
            <v>51.899038364239992</v>
          </cell>
          <cell r="BJ21">
            <v>3.655321959121296</v>
          </cell>
          <cell r="BK21">
            <v>262.57912898716904</v>
          </cell>
          <cell r="BL21">
            <v>8.2055977808490326</v>
          </cell>
          <cell r="BM21">
            <v>1.1692685571367269</v>
          </cell>
          <cell r="BN21">
            <v>51.899038364239992</v>
          </cell>
          <cell r="BO21">
            <v>51.899038364239992</v>
          </cell>
          <cell r="BP21">
            <v>3.6732665931866926</v>
          </cell>
          <cell r="BQ21">
            <v>262.57912898716904</v>
          </cell>
          <cell r="BR21">
            <v>8.2055977808490326</v>
          </cell>
          <cell r="BS21">
            <v>1.0016417544468106</v>
          </cell>
          <cell r="BT21">
            <v>46.549672734855278</v>
          </cell>
          <cell r="BU21">
            <v>9.2005913052865775</v>
          </cell>
          <cell r="BV21">
            <v>7.9429793891908647</v>
          </cell>
          <cell r="BW21">
            <v>46.549672734855278</v>
          </cell>
          <cell r="BX21">
            <v>1.4546772729642274</v>
          </cell>
          <cell r="BY21">
            <v>1.0016417544468106</v>
          </cell>
          <cell r="BZ21">
            <v>46.549672734855278</v>
          </cell>
          <cell r="CA21">
            <v>9.2005913052865775</v>
          </cell>
          <cell r="CB21">
            <v>8.08200572612364</v>
          </cell>
          <cell r="CC21">
            <v>46.549672734855278</v>
          </cell>
          <cell r="CD21">
            <v>1.4546772729642274</v>
          </cell>
          <cell r="CE21">
            <v>1.9298070192980699</v>
          </cell>
          <cell r="CF21">
            <v>209.05044575440928</v>
          </cell>
          <cell r="CG21">
            <v>41.319038364239987</v>
          </cell>
          <cell r="CH21">
            <v>32.373571429037774</v>
          </cell>
          <cell r="CI21">
            <v>209.05044575440928</v>
          </cell>
          <cell r="CJ21">
            <v>6.53282642982529</v>
          </cell>
          <cell r="CK21">
            <v>1.9298070192980699</v>
          </cell>
          <cell r="CL21">
            <v>209.05044575440928</v>
          </cell>
          <cell r="CM21">
            <v>41.319038364239987</v>
          </cell>
          <cell r="CN21">
            <v>10.376219083091982</v>
          </cell>
          <cell r="CO21">
            <v>209.05044575440928</v>
          </cell>
          <cell r="CP21">
            <v>6.53282642982529</v>
          </cell>
          <cell r="CQ21">
            <v>1.9298070192980699</v>
          </cell>
          <cell r="CR21">
            <v>209.05044575440928</v>
          </cell>
          <cell r="CS21">
            <v>41.319038364239987</v>
          </cell>
          <cell r="CT21">
            <v>8.7190902161545925</v>
          </cell>
          <cell r="CU21">
            <v>209.05044575440928</v>
          </cell>
          <cell r="CV21">
            <v>6.53282642982529</v>
          </cell>
          <cell r="CW21">
            <v>0.10003383751246253</v>
          </cell>
          <cell r="CX21">
            <v>6.9790104979044747</v>
          </cell>
          <cell r="CY21">
            <v>1.3794086947134214</v>
          </cell>
          <cell r="CZ21">
            <v>0.12232372415455754</v>
          </cell>
          <cell r="DA21">
            <v>6.9790104979044747</v>
          </cell>
          <cell r="DB21">
            <v>0.21809407805951483</v>
          </cell>
          <cell r="DC21">
            <v>0.10003383751246253</v>
          </cell>
          <cell r="DD21">
            <v>1.3794086947134214</v>
          </cell>
          <cell r="DE21">
            <v>1.3794086947134214</v>
          </cell>
          <cell r="DF21">
            <v>0.12692850308448014</v>
          </cell>
          <cell r="DG21">
            <v>6.9790104979044747</v>
          </cell>
          <cell r="DH21">
            <v>0.21809407805951483</v>
          </cell>
          <cell r="DI21">
            <v>0.10003383751246253</v>
          </cell>
          <cell r="DJ21">
            <v>1.3794086947134214</v>
          </cell>
          <cell r="DK21">
            <v>1.3794086947134214</v>
          </cell>
          <cell r="DL21">
            <v>9.5877681423097896E-2</v>
          </cell>
          <cell r="DM21">
            <v>6.9790104979044747</v>
          </cell>
          <cell r="DN21">
            <v>0.21809407805951483</v>
          </cell>
          <cell r="DO21">
            <v>0.10003383751246253</v>
          </cell>
          <cell r="DP21">
            <v>1.3794086947134214</v>
          </cell>
          <cell r="DQ21">
            <v>1.3794086947134214</v>
          </cell>
          <cell r="DR21">
            <v>8.0003527326648463E-2</v>
          </cell>
          <cell r="DS21">
            <v>6.9790104979044747</v>
          </cell>
          <cell r="DT21">
            <v>0.21809407805951483</v>
          </cell>
          <cell r="DU21">
            <v>0.10003383751246253</v>
          </cell>
          <cell r="DV21">
            <v>1.3794086947134214</v>
          </cell>
          <cell r="DW21">
            <v>1.3794086947134214</v>
          </cell>
          <cell r="DX21">
            <v>7.6679129402092983E-2</v>
          </cell>
          <cell r="DY21">
            <v>6.9790104979044747</v>
          </cell>
          <cell r="DZ21">
            <v>0.21809407805951483</v>
          </cell>
        </row>
        <row r="22">
          <cell r="C22" t="str">
            <v>Hydrogen Sulfide (H2S)</v>
          </cell>
          <cell r="E22">
            <v>4.9999000019999617E-3</v>
          </cell>
          <cell r="F22">
            <v>0.61965269177053406</v>
          </cell>
          <cell r="G22">
            <v>0.11499999999999999</v>
          </cell>
          <cell r="H22">
            <v>2.2842389730720971E-2</v>
          </cell>
          <cell r="I22">
            <v>0.61965269177053406</v>
          </cell>
          <cell r="J22">
            <v>1.818229729373633E-2</v>
          </cell>
          <cell r="K22">
            <v>4.0001840044641011E-4</v>
          </cell>
          <cell r="L22">
            <v>4.9573206785949543E-2</v>
          </cell>
          <cell r="M22">
            <v>9.2001839999999967E-3</v>
          </cell>
          <cell r="N22">
            <v>1.8744657629937622E-3</v>
          </cell>
          <cell r="O22">
            <v>4.9573206785949543E-2</v>
          </cell>
          <cell r="P22">
            <v>1.4546128751745759E-3</v>
          </cell>
          <cell r="Q22">
            <v>4.0001840044641011E-4</v>
          </cell>
          <cell r="R22">
            <v>9.2001839999999967E-3</v>
          </cell>
          <cell r="S22">
            <v>9.2001839999999967E-3</v>
          </cell>
          <cell r="T22">
            <v>1.8866060852929445E-3</v>
          </cell>
          <cell r="U22">
            <v>4.9573206785949543E-2</v>
          </cell>
          <cell r="V22">
            <v>1.4546128751745759E-3</v>
          </cell>
          <cell r="W22">
            <v>2.0716296175709624E-4</v>
          </cell>
          <cell r="X22">
            <v>9.2001839999999967E-3</v>
          </cell>
          <cell r="Y22">
            <v>9.2001839999999967E-3</v>
          </cell>
          <cell r="Z22">
            <v>1.9200396641467037E-3</v>
          </cell>
          <cell r="AA22">
            <v>4.9573206785949543E-2</v>
          </cell>
          <cell r="AB22">
            <v>1.4546128751745759E-3</v>
          </cell>
          <cell r="AC22">
            <v>2.0716296175709624E-4</v>
          </cell>
          <cell r="AD22">
            <v>9.2001839999999967E-3</v>
          </cell>
          <cell r="AE22">
            <v>9.2001839999999967E-3</v>
          </cell>
          <cell r="AF22">
            <v>8.576532101895306E-4</v>
          </cell>
          <cell r="AG22">
            <v>4.9573206785949543E-2</v>
          </cell>
          <cell r="AH22">
            <v>1.4546128751745759E-3</v>
          </cell>
          <cell r="AI22">
            <v>2.0716296175709624E-4</v>
          </cell>
          <cell r="AJ22">
            <v>9.2001839999999967E-3</v>
          </cell>
          <cell r="AK22">
            <v>9.2001839999999967E-3</v>
          </cell>
          <cell r="AL22">
            <v>8.3148022914180286E-4</v>
          </cell>
          <cell r="AM22">
            <v>4.9573206785949543E-2</v>
          </cell>
          <cell r="AN22">
            <v>1.4546128751745759E-3</v>
          </cell>
          <cell r="AO22">
            <v>2.0716296175709624E-4</v>
          </cell>
          <cell r="AP22">
            <v>9.2001839999999967E-3</v>
          </cell>
          <cell r="AQ22">
            <v>9.2001839999999967E-3</v>
          </cell>
          <cell r="AR22">
            <v>7.1593560644007124E-4</v>
          </cell>
          <cell r="AS22">
            <v>4.9573206785949543E-2</v>
          </cell>
          <cell r="AT22">
            <v>1.4546128751745759E-3</v>
          </cell>
          <cell r="AU22">
            <v>2.0716296175709624E-4</v>
          </cell>
          <cell r="AV22">
            <v>9.2001839999999967E-3</v>
          </cell>
          <cell r="AW22">
            <v>9.2001839999999967E-3</v>
          </cell>
          <cell r="AX22">
            <v>7.1282690598945832E-4</v>
          </cell>
          <cell r="AY22">
            <v>4.9573206785949543E-2</v>
          </cell>
          <cell r="AZ22">
            <v>1.4546128751745759E-3</v>
          </cell>
          <cell r="BA22">
            <v>2.0727717141064855E-4</v>
          </cell>
          <cell r="BB22">
            <v>9.2001839999999967E-3</v>
          </cell>
          <cell r="BC22">
            <v>9.2001839999999967E-3</v>
          </cell>
          <cell r="BD22">
            <v>6.2912947415429252E-4</v>
          </cell>
          <cell r="BE22">
            <v>4.9573206785949543E-2</v>
          </cell>
          <cell r="BF22">
            <v>1.4546128751745759E-3</v>
          </cell>
          <cell r="BG22">
            <v>2.0727717141064855E-4</v>
          </cell>
          <cell r="BH22">
            <v>9.2001839999999967E-3</v>
          </cell>
          <cell r="BI22">
            <v>9.2001839999999967E-3</v>
          </cell>
          <cell r="BJ22">
            <v>6.4798184442523747E-4</v>
          </cell>
          <cell r="BK22">
            <v>4.9573206785949543E-2</v>
          </cell>
          <cell r="BL22">
            <v>1.4546128751745759E-3</v>
          </cell>
          <cell r="BM22">
            <v>2.0727717141064855E-4</v>
          </cell>
          <cell r="BN22">
            <v>9.2001839999999967E-3</v>
          </cell>
          <cell r="BO22">
            <v>9.2001839999999967E-3</v>
          </cell>
          <cell r="BP22">
            <v>6.5116290404440894E-4</v>
          </cell>
          <cell r="BQ22">
            <v>4.9573206785949543E-2</v>
          </cell>
          <cell r="BR22">
            <v>1.4546128751745759E-3</v>
          </cell>
          <cell r="BS22">
            <v>4.0090847863074783E-4</v>
          </cell>
          <cell r="BT22">
            <v>1.984262206487649E-2</v>
          </cell>
          <cell r="BU22">
            <v>3.6825492211463124E-3</v>
          </cell>
          <cell r="BV22">
            <v>3.1791883361278104E-3</v>
          </cell>
          <cell r="BW22">
            <v>1.984262206487649E-2</v>
          </cell>
          <cell r="BX22">
            <v>5.8223656293651671E-4</v>
          </cell>
          <cell r="BY22">
            <v>4.0090847863074783E-4</v>
          </cell>
          <cell r="BZ22">
            <v>1.984262206487649E-2</v>
          </cell>
          <cell r="CA22">
            <v>3.6825492211463124E-3</v>
          </cell>
          <cell r="CB22">
            <v>3.2348338171412356E-3</v>
          </cell>
          <cell r="CC22">
            <v>1.984262206487649E-2</v>
          </cell>
          <cell r="CD22">
            <v>5.8223656293651671E-4</v>
          </cell>
          <cell r="CE22">
            <v>0</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4.0013535004984992E-4</v>
          </cell>
          <cell r="CX22">
            <v>2.9730584721073053E-2</v>
          </cell>
          <cell r="CY22">
            <v>5.5176347788536842E-3</v>
          </cell>
          <cell r="CZ22">
            <v>4.8929489661823011E-4</v>
          </cell>
          <cell r="DA22">
            <v>2.9730584721073053E-2</v>
          </cell>
          <cell r="DB22">
            <v>8.723763122380591E-4</v>
          </cell>
          <cell r="DC22">
            <v>4.0013535004984992E-4</v>
          </cell>
          <cell r="DD22">
            <v>5.5176347788536842E-3</v>
          </cell>
          <cell r="DE22">
            <v>5.5176347788536842E-3</v>
          </cell>
          <cell r="DF22">
            <v>5.0771401233792055E-4</v>
          </cell>
          <cell r="DG22">
            <v>2.9730584721073053E-2</v>
          </cell>
          <cell r="DH22">
            <v>8.723763122380591E-4</v>
          </cell>
          <cell r="DI22">
            <v>4.0013535004984992E-4</v>
          </cell>
          <cell r="DJ22">
            <v>5.5176347788536842E-3</v>
          </cell>
          <cell r="DK22">
            <v>5.5176347788536842E-3</v>
          </cell>
          <cell r="DL22">
            <v>3.8351072569239148E-4</v>
          </cell>
          <cell r="DM22">
            <v>2.9730584721073053E-2</v>
          </cell>
          <cell r="DN22">
            <v>8.723763122380591E-4</v>
          </cell>
          <cell r="DO22">
            <v>4.0013535004984992E-4</v>
          </cell>
          <cell r="DP22">
            <v>5.5176347788536842E-3</v>
          </cell>
          <cell r="DQ22">
            <v>5.5176347788536842E-3</v>
          </cell>
          <cell r="DR22">
            <v>3.2001410930659375E-4</v>
          </cell>
          <cell r="DS22">
            <v>2.9730584721073053E-2</v>
          </cell>
          <cell r="DT22">
            <v>8.723763122380591E-4</v>
          </cell>
          <cell r="DU22">
            <v>4.0013535004984992E-4</v>
          </cell>
          <cell r="DV22">
            <v>5.5176347788536842E-3</v>
          </cell>
          <cell r="DW22">
            <v>5.5176347788536842E-3</v>
          </cell>
          <cell r="DX22">
            <v>3.0671651760837181E-4</v>
          </cell>
          <cell r="DY22">
            <v>2.9730584721073053E-2</v>
          </cell>
          <cell r="DZ22">
            <v>8.723763122380591E-4</v>
          </cell>
        </row>
        <row r="23">
          <cell r="C23" t="str">
            <v>Water (H2O)</v>
          </cell>
          <cell r="E23">
            <v>0.12699746005079904</v>
          </cell>
          <cell r="F23">
            <v>8.3221829297214693</v>
          </cell>
          <cell r="G23">
            <v>2.9210000000000003</v>
          </cell>
          <cell r="H23">
            <v>0.5801966991603128</v>
          </cell>
          <cell r="I23">
            <v>8.3221829297214693</v>
          </cell>
          <cell r="J23">
            <v>0.46183035126090288</v>
          </cell>
          <cell r="K23">
            <v>0.12700330207569374</v>
          </cell>
          <cell r="L23">
            <v>8.3221829297214693</v>
          </cell>
          <cell r="M23">
            <v>2.9210000000000003</v>
          </cell>
          <cell r="N23">
            <v>0.59513097713097718</v>
          </cell>
          <cell r="O23">
            <v>8.3221829297214693</v>
          </cell>
          <cell r="P23">
            <v>0.46183035126090288</v>
          </cell>
          <cell r="Q23">
            <v>0.12700330207569374</v>
          </cell>
          <cell r="R23">
            <v>2.9210000000000003</v>
          </cell>
          <cell r="S23">
            <v>2.9210000000000003</v>
          </cell>
          <cell r="T23">
            <v>0.59898545237146283</v>
          </cell>
          <cell r="U23">
            <v>8.3221829297214693</v>
          </cell>
          <cell r="V23">
            <v>0.46183035126090288</v>
          </cell>
          <cell r="W23">
            <v>0.11397974610025641</v>
          </cell>
          <cell r="X23">
            <v>5.0618828167999999</v>
          </cell>
          <cell r="Y23">
            <v>5.0618828167999999</v>
          </cell>
          <cell r="Z23">
            <v>1.0563936312054898</v>
          </cell>
          <cell r="AA23">
            <v>14.421744186998762</v>
          </cell>
          <cell r="AB23">
            <v>0.80031876731402674</v>
          </cell>
          <cell r="AC23">
            <v>0.11397974610025641</v>
          </cell>
          <cell r="AD23">
            <v>5.0618828167999999</v>
          </cell>
          <cell r="AE23">
            <v>5.0618828167999999</v>
          </cell>
          <cell r="AF23">
            <v>0.47187535025731503</v>
          </cell>
          <cell r="AG23">
            <v>14.421744186998762</v>
          </cell>
          <cell r="AH23">
            <v>0.80031876731402674</v>
          </cell>
          <cell r="AI23">
            <v>0.11397974610025641</v>
          </cell>
          <cell r="AJ23">
            <v>5.0618828167999999</v>
          </cell>
          <cell r="AK23">
            <v>5.0618828167999999</v>
          </cell>
          <cell r="AL23">
            <v>0.45747514227996089</v>
          </cell>
          <cell r="AM23">
            <v>14.421744186998762</v>
          </cell>
          <cell r="AN23">
            <v>0.80031876731402674</v>
          </cell>
          <cell r="AO23">
            <v>0.11397974610025641</v>
          </cell>
          <cell r="AP23">
            <v>5.0618828167999999</v>
          </cell>
          <cell r="AQ23">
            <v>5.0618828167999999</v>
          </cell>
          <cell r="AR23">
            <v>0.39390322456314847</v>
          </cell>
          <cell r="AS23">
            <v>14.421744186998762</v>
          </cell>
          <cell r="AT23">
            <v>0.80031876731402674</v>
          </cell>
          <cell r="AU23">
            <v>0.11397974610025641</v>
          </cell>
          <cell r="AV23">
            <v>5.0618828167999999</v>
          </cell>
          <cell r="AW23">
            <v>5.0618828167999999</v>
          </cell>
          <cell r="AX23">
            <v>0.39219283731507426</v>
          </cell>
          <cell r="AY23">
            <v>14.421744186998762</v>
          </cell>
          <cell r="AZ23">
            <v>0.80031876731402674</v>
          </cell>
          <cell r="BA23">
            <v>5.8912239480560985E-2</v>
          </cell>
          <cell r="BB23">
            <v>2.6148728264890861</v>
          </cell>
          <cell r="BC23">
            <v>2.6148728264890861</v>
          </cell>
          <cell r="BD23">
            <v>0.17881094185827454</v>
          </cell>
          <cell r="BE23">
            <v>7.45</v>
          </cell>
          <cell r="BF23">
            <v>0.41342952275249722</v>
          </cell>
          <cell r="BG23">
            <v>5.8912239480560985E-2</v>
          </cell>
          <cell r="BH23">
            <v>2.6148728264890861</v>
          </cell>
          <cell r="BI23">
            <v>2.6148728264890861</v>
          </cell>
          <cell r="BJ23">
            <v>0.18416915542622109</v>
          </cell>
          <cell r="BK23">
            <v>7.45</v>
          </cell>
          <cell r="BL23">
            <v>0.41342952275249722</v>
          </cell>
          <cell r="BM23">
            <v>5.8912239480560985E-2</v>
          </cell>
          <cell r="BN23">
            <v>2.6148728264890861</v>
          </cell>
          <cell r="BO23">
            <v>2.6148728264890861</v>
          </cell>
          <cell r="BP23">
            <v>0.18507327499139645</v>
          </cell>
          <cell r="BQ23">
            <v>7.45</v>
          </cell>
          <cell r="BR23">
            <v>0.41342952275249722</v>
          </cell>
          <cell r="BS23">
            <v>2.9076085901210968E-2</v>
          </cell>
          <cell r="BT23">
            <v>0.76093044972783996</v>
          </cell>
          <cell r="BU23">
            <v>0.26707870548207363</v>
          </cell>
          <cell r="BV23">
            <v>0.23057220808372939</v>
          </cell>
          <cell r="BW23">
            <v>0.76093044972783996</v>
          </cell>
          <cell r="BX23">
            <v>4.2226994990446173E-2</v>
          </cell>
          <cell r="BY23">
            <v>2.9076085901210968E-2</v>
          </cell>
          <cell r="BZ23">
            <v>0.76093044972783996</v>
          </cell>
          <cell r="CA23">
            <v>0.26707870548207363</v>
          </cell>
          <cell r="CB23">
            <v>0.2346079241441292</v>
          </cell>
          <cell r="CC23">
            <v>0.76093044972783996</v>
          </cell>
          <cell r="CD23">
            <v>4.2226994990446173E-2</v>
          </cell>
          <cell r="CE23">
            <v>9.9990000999899978E-2</v>
          </cell>
          <cell r="CF23">
            <v>6.0995612572772915</v>
          </cell>
          <cell r="CG23">
            <v>2.1408828167999991</v>
          </cell>
          <cell r="CH23">
            <v>1.6773871206755322</v>
          </cell>
          <cell r="CI23">
            <v>6.0995612572772915</v>
          </cell>
          <cell r="CJ23">
            <v>0.33848841605312385</v>
          </cell>
          <cell r="CK23">
            <v>9.9990000999899978E-2</v>
          </cell>
          <cell r="CL23">
            <v>6.0995612572772915</v>
          </cell>
          <cell r="CM23">
            <v>2.1408828167999991</v>
          </cell>
          <cell r="CN23">
            <v>0.53762793176642387</v>
          </cell>
          <cell r="CO23">
            <v>6.0995612572772915</v>
          </cell>
          <cell r="CP23">
            <v>0.33848841605312385</v>
          </cell>
          <cell r="CQ23">
            <v>9.9990000999899978E-2</v>
          </cell>
          <cell r="CR23">
            <v>6.0995612572772915</v>
          </cell>
          <cell r="CS23">
            <v>2.1408828167999991</v>
          </cell>
          <cell r="CT23">
            <v>0.45176633244324299</v>
          </cell>
          <cell r="CU23">
            <v>6.0995612572772915</v>
          </cell>
          <cell r="CV23">
            <v>0.33848841605312385</v>
          </cell>
          <cell r="CW23">
            <v>1.5005075626869374E-2</v>
          </cell>
          <cell r="CX23">
            <v>0.58950829299486851</v>
          </cell>
          <cell r="CY23">
            <v>0.20691130420701317</v>
          </cell>
          <cell r="CZ23">
            <v>1.8348558623183631E-2</v>
          </cell>
          <cell r="DA23">
            <v>0.58950829299486851</v>
          </cell>
          <cell r="DB23">
            <v>3.271411170892722E-2</v>
          </cell>
          <cell r="DC23">
            <v>1.5005075626869374E-2</v>
          </cell>
          <cell r="DD23">
            <v>0.20691130420701317</v>
          </cell>
          <cell r="DE23">
            <v>0.20691130420701317</v>
          </cell>
          <cell r="DF23">
            <v>1.9039275462672024E-2</v>
          </cell>
          <cell r="DG23">
            <v>0.58950829299486851</v>
          </cell>
          <cell r="DH23">
            <v>3.271411170892722E-2</v>
          </cell>
          <cell r="DI23">
            <v>1.5005075626869374E-2</v>
          </cell>
          <cell r="DJ23">
            <v>0.20691130420701317</v>
          </cell>
          <cell r="DK23">
            <v>0.20691130420701317</v>
          </cell>
          <cell r="DL23">
            <v>1.4381652213464683E-2</v>
          </cell>
          <cell r="DM23">
            <v>0.58950829299486851</v>
          </cell>
          <cell r="DN23">
            <v>3.271411170892722E-2</v>
          </cell>
          <cell r="DO23">
            <v>1.5005075626869374E-2</v>
          </cell>
          <cell r="DP23">
            <v>0.20691130420701317</v>
          </cell>
          <cell r="DQ23">
            <v>0.20691130420701317</v>
          </cell>
          <cell r="DR23">
            <v>1.2000529098997266E-2</v>
          </cell>
          <cell r="DS23">
            <v>0.58950829299486851</v>
          </cell>
          <cell r="DT23">
            <v>3.271411170892722E-2</v>
          </cell>
          <cell r="DU23">
            <v>1.5005075626869374E-2</v>
          </cell>
          <cell r="DV23">
            <v>0.20691130420701317</v>
          </cell>
          <cell r="DW23">
            <v>0.20691130420701317</v>
          </cell>
          <cell r="DX23">
            <v>1.1501869410313946E-2</v>
          </cell>
          <cell r="DY23">
            <v>0.58950829299486851</v>
          </cell>
          <cell r="DZ23">
            <v>3.271411170892722E-2</v>
          </cell>
        </row>
        <row r="24">
          <cell r="C24" t="str">
            <v>Hydrogen (H2)</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E25"/>
          <cell r="F25"/>
          <cell r="G25"/>
          <cell r="H25"/>
          <cell r="I25"/>
          <cell r="J25"/>
          <cell r="K25"/>
          <cell r="L25"/>
          <cell r="M25"/>
          <cell r="N25"/>
          <cell r="O25"/>
          <cell r="P25"/>
          <cell r="Q25"/>
          <cell r="R25"/>
          <cell r="S25"/>
          <cell r="T25"/>
          <cell r="U25"/>
          <cell r="V25"/>
          <cell r="W25"/>
          <cell r="X25"/>
          <cell r="Y25"/>
          <cell r="Z25"/>
          <cell r="AA25"/>
          <cell r="AB25"/>
          <cell r="AC25"/>
          <cell r="AD25"/>
          <cell r="AE25"/>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cell r="BF25"/>
          <cell r="BG25"/>
          <cell r="BH25"/>
          <cell r="BI25"/>
          <cell r="BJ25"/>
          <cell r="BK25"/>
          <cell r="BL25"/>
          <cell r="BM25"/>
          <cell r="BN25"/>
          <cell r="BO25"/>
          <cell r="BP25"/>
          <cell r="BQ25"/>
          <cell r="BR25"/>
          <cell r="BS25"/>
          <cell r="BT25"/>
          <cell r="BU25"/>
          <cell r="BV25"/>
          <cell r="BW25"/>
          <cell r="BX25"/>
          <cell r="BY25"/>
          <cell r="BZ25"/>
          <cell r="CA25"/>
          <cell r="CB25"/>
          <cell r="CC25"/>
          <cell r="CD25"/>
          <cell r="CE25"/>
          <cell r="CF25"/>
          <cell r="CG25"/>
          <cell r="CH25"/>
          <cell r="CI25"/>
          <cell r="CJ25"/>
          <cell r="CK25"/>
          <cell r="CL25"/>
          <cell r="CM25"/>
          <cell r="CN25"/>
          <cell r="CO25"/>
          <cell r="CP25"/>
          <cell r="CQ25"/>
          <cell r="CR25"/>
          <cell r="CS25"/>
          <cell r="CT25"/>
          <cell r="CU25"/>
          <cell r="CV25"/>
          <cell r="CW25"/>
          <cell r="CX25"/>
          <cell r="CY25"/>
          <cell r="CZ25"/>
          <cell r="DA25"/>
          <cell r="DB25"/>
          <cell r="DC25"/>
          <cell r="DD25"/>
          <cell r="DE25"/>
          <cell r="DF25"/>
          <cell r="DG25"/>
          <cell r="DH25"/>
          <cell r="DI25"/>
          <cell r="DJ25"/>
          <cell r="DK25"/>
          <cell r="DL25"/>
          <cell r="DM25"/>
          <cell r="DN25"/>
          <cell r="DO25"/>
          <cell r="DP25"/>
          <cell r="DQ25"/>
          <cell r="DR25"/>
          <cell r="DS25"/>
          <cell r="DT25"/>
          <cell r="DU25"/>
          <cell r="DV25"/>
          <cell r="DW25"/>
          <cell r="DX25"/>
          <cell r="DY25"/>
          <cell r="DZ25"/>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3-24T10:36:39.022"/>
    </inkml:context>
    <inkml:brush xml:id="br0">
      <inkml:brushProperty name="width" value="0.05" units="cm"/>
      <inkml:brushProperty name="height" value="0.05" units="cm"/>
      <inkml:brushProperty name="ignorePressure" value="1"/>
    </inkml:brush>
  </inkml:definitions>
  <inkml:trace contextRef="#ctx0" brushRef="#br0">1 0,'0'0,"0"0,0 0,0 0,0 0,0 0,0 0,0 0,0 0,0 0,0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07:09:14.838"/>
    </inkml:context>
    <inkml:brush xml:id="br0">
      <inkml:brushProperty name="width" value="0.05" units="cm"/>
      <inkml:brushProperty name="height" value="0.05" units="cm"/>
      <inkml:brushProperty name="ignorePressure" value="1"/>
    </inkml:brush>
  </inkml:definitions>
  <inkml:trace contextRef="#ctx0" brushRef="#br0">1 1,'4'0,"2"0</inkml:trace>
  <inkml:trace contextRef="#ctx0" brushRef="#br0" timeOffset="1">26 1,'0'0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07:09:14.840"/>
    </inkml:context>
    <inkml:brush xml:id="br0">
      <inkml:brushProperty name="width" value="0.05" units="cm"/>
      <inkml:brushProperty name="height" value="0.05" units="cm"/>
      <inkml:brushProperty name="ignorePressure" value="1"/>
    </inkml:brush>
  </inkml:definitions>
  <inkml:trace contextRef="#ctx0" brushRef="#br0">0 1,'0'0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07:09:14.841"/>
    </inkml:context>
    <inkml:brush xml:id="br0">
      <inkml:brushProperty name="width" value="0.05" units="cm"/>
      <inkml:brushProperty name="height" value="0.05" units="cm"/>
      <inkml:brushProperty name="ignorePressure" value="1"/>
    </inkml:brush>
  </inkml:definitions>
  <inkml:trace contextRef="#ctx0" brushRef="#br0">1 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18:49.125"/>
    </inkml:context>
    <inkml:brush xml:id="br0">
      <inkml:brushProperty name="width" value="0.05" units="cm"/>
      <inkml:brushProperty name="height" value="0.05" units="cm"/>
      <inkml:brushProperty name="ignorePressure" value="1"/>
    </inkml:brush>
  </inkml:definitions>
  <inkml:trace contextRef="#ctx0" brushRef="#br0">1 0,'0'0,"0"0,0 0,0 0,0 0,0 0,0 0,0 0,0 0,0 0,0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18:49.126"/>
    </inkml:context>
    <inkml:brush xml:id="br0">
      <inkml:brushProperty name="width" value="0.05" units="cm"/>
      <inkml:brushProperty name="height" value="0.05" units="cm"/>
      <inkml:brushProperty name="ignorePressure" value="1"/>
    </inkml:brush>
  </inkml:definitions>
  <inkml:trace contextRef="#ctx0" brushRef="#br0">0 0,'0'0,"0"0,0 0,0 0,0 0,0 0,0 0,0 0,0 0,0 0,0 0,0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18:49.127"/>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18:49.128"/>
    </inkml:context>
    <inkml:brush xml:id="br0">
      <inkml:brushProperty name="width" value="0.05" units="cm"/>
      <inkml:brushProperty name="height" value="0.05" units="cm"/>
      <inkml:brushProperty name="ignorePressure" value="1"/>
    </inkml:brush>
  </inkml:definitions>
  <inkml:trace contextRef="#ctx0" brushRef="#br0">1 1,'4'0,"2"0</inkml:trace>
  <inkml:trace contextRef="#ctx0" brushRef="#br0" timeOffset="1">26 1,'0'0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18:49.130"/>
    </inkml:context>
    <inkml:brush xml:id="br0">
      <inkml:brushProperty name="width" value="0.05" units="cm"/>
      <inkml:brushProperty name="height" value="0.05" units="cm"/>
      <inkml:brushProperty name="ignorePressure" value="1"/>
    </inkml:brush>
  </inkml:definitions>
  <inkml:trace contextRef="#ctx0" brushRef="#br0">0 1,'0'0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18:49.131"/>
    </inkml:context>
    <inkml:brush xml:id="br0">
      <inkml:brushProperty name="width" value="0.05" units="cm"/>
      <inkml:brushProperty name="height" value="0.05" units="cm"/>
      <inkml:brushProperty name="ignorePressure" value="1"/>
    </inkml:brush>
  </inkml:definitions>
  <inkml:trace contextRef="#ctx0" brushRef="#br0">1 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30:23.652"/>
    </inkml:context>
    <inkml:brush xml:id="br0">
      <inkml:brushProperty name="width" value="0.05" units="cm"/>
      <inkml:brushProperty name="height" value="0.05" units="cm"/>
      <inkml:brushProperty name="ignorePressure" value="1"/>
    </inkml:brush>
  </inkml:definitions>
  <inkml:trace contextRef="#ctx0" brushRef="#br0">1 0,'0'0,"0"0,0 0,0 0,0 0,0 0,0 0,0 0,0 0,0 0,0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3-24T10:36:39.023"/>
    </inkml:context>
    <inkml:brush xml:id="br0">
      <inkml:brushProperty name="width" value="0.05" units="cm"/>
      <inkml:brushProperty name="height" value="0.05" units="cm"/>
      <inkml:brushProperty name="ignorePressure" value="1"/>
    </inkml:brush>
  </inkml:definitions>
  <inkml:trace contextRef="#ctx0" brushRef="#br0">0 0,'0'0,"0"0,0 0,0 0,0 0,0 0,0 0,0 0,0 0,0 0,0 0,0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30:23.653"/>
    </inkml:context>
    <inkml:brush xml:id="br0">
      <inkml:brushProperty name="width" value="0.05" units="cm"/>
      <inkml:brushProperty name="height" value="0.05" units="cm"/>
      <inkml:brushProperty name="ignorePressure" value="1"/>
    </inkml:brush>
  </inkml:definitions>
  <inkml:trace contextRef="#ctx0" brushRef="#br0">0 0,'0'0,"0"0,0 0,0 0,0 0,0 0,0 0,0 0,0 0,0 0,0 0,0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30:23.654"/>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30:23.655"/>
    </inkml:context>
    <inkml:brush xml:id="br0">
      <inkml:brushProperty name="width" value="0.05" units="cm"/>
      <inkml:brushProperty name="height" value="0.05" units="cm"/>
      <inkml:brushProperty name="ignorePressure" value="1"/>
    </inkml:brush>
  </inkml:definitions>
  <inkml:trace contextRef="#ctx0" brushRef="#br0">1 1,'4'0,"2"0</inkml:trace>
  <inkml:trace contextRef="#ctx0" brushRef="#br0" timeOffset="1">26 1,'0'0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30:23.657"/>
    </inkml:context>
    <inkml:brush xml:id="br0">
      <inkml:brushProperty name="width" value="0.05" units="cm"/>
      <inkml:brushProperty name="height" value="0.05" units="cm"/>
      <inkml:brushProperty name="ignorePressure" value="1"/>
    </inkml:brush>
  </inkml:definitions>
  <inkml:trace contextRef="#ctx0" brushRef="#br0">0 1,'0'0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30:23.658"/>
    </inkml:context>
    <inkml:brush xml:id="br0">
      <inkml:brushProperty name="width" value="0.05" units="cm"/>
      <inkml:brushProperty name="height" value="0.05" units="cm"/>
      <inkml:brushProperty name="ignorePressure" value="1"/>
    </inkml:brush>
  </inkml:definitions>
  <inkml:trace contextRef="#ctx0" brushRef="#br0">1 0,'0'0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48:40.486"/>
    </inkml:context>
    <inkml:brush xml:id="br0">
      <inkml:brushProperty name="width" value="0.05" units="cm"/>
      <inkml:brushProperty name="height" value="0.05" units="cm"/>
      <inkml:brushProperty name="ignorePressure" value="1"/>
    </inkml:brush>
  </inkml:definitions>
  <inkml:trace contextRef="#ctx0" brushRef="#br0">1 0,'0'0,"0"0,0 0,0 0,0 0,0 0,0 0,0 0,0 0,0 0,0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48:40.487"/>
    </inkml:context>
    <inkml:brush xml:id="br0">
      <inkml:brushProperty name="width" value="0.05" units="cm"/>
      <inkml:brushProperty name="height" value="0.05" units="cm"/>
      <inkml:brushProperty name="ignorePressure" value="1"/>
    </inkml:brush>
  </inkml:definitions>
  <inkml:trace contextRef="#ctx0" brushRef="#br0">0 0,'0'0,"0"0,0 0,0 0,0 0,0 0,0 0,0 0,0 0,0 0,0 0,0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48:40.488"/>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48:40.489"/>
    </inkml:context>
    <inkml:brush xml:id="br0">
      <inkml:brushProperty name="width" value="0.05" units="cm"/>
      <inkml:brushProperty name="height" value="0.05" units="cm"/>
      <inkml:brushProperty name="ignorePressure" value="1"/>
    </inkml:brush>
  </inkml:definitions>
  <inkml:trace contextRef="#ctx0" brushRef="#br0">1 1,'4'0,"2"0</inkml:trace>
  <inkml:trace contextRef="#ctx0" brushRef="#br0" timeOffset="1">26 1,'0'0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48:40.491"/>
    </inkml:context>
    <inkml:brush xml:id="br0">
      <inkml:brushProperty name="width" value="0.05" units="cm"/>
      <inkml:brushProperty name="height" value="0.05" units="cm"/>
      <inkml:brushProperty name="ignorePressure" value="1"/>
    </inkml:brush>
  </inkml:definitions>
  <inkml:trace contextRef="#ctx0" brushRef="#br0">0 1,'0'0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3-24T10:36:39.024"/>
    </inkml:context>
    <inkml:brush xml:id="br0">
      <inkml:brushProperty name="width" value="0.05" units="cm"/>
      <inkml:brushProperty name="height" value="0.05" units="cm"/>
      <inkml:brushProperty name="ignorePressure" value="1"/>
    </inkml:brush>
  </inkml:definitions>
  <inkml:trace contextRef="#ctx0" brushRef="#br0">0 0,'0'0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10:48:40.492"/>
    </inkml:context>
    <inkml:brush xml:id="br0">
      <inkml:brushProperty name="width" value="0.05" units="cm"/>
      <inkml:brushProperty name="height" value="0.05" units="cm"/>
      <inkml:brushProperty name="ignorePressure" value="1"/>
    </inkml:brush>
  </inkml:definitions>
  <inkml:trace contextRef="#ctx0" brushRef="#br0">1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3-24T10:36:39.025"/>
    </inkml:context>
    <inkml:brush xml:id="br0">
      <inkml:brushProperty name="width" value="0.05" units="cm"/>
      <inkml:brushProperty name="height" value="0.05" units="cm"/>
      <inkml:brushProperty name="ignorePressure" value="1"/>
    </inkml:brush>
  </inkml:definitions>
  <inkml:trace contextRef="#ctx0" brushRef="#br0">1 1,'4'0,"2"0</inkml:trace>
  <inkml:trace contextRef="#ctx0" brushRef="#br0" timeOffset="1">26 1,'0'0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3-24T10:36:39.027"/>
    </inkml:context>
    <inkml:brush xml:id="br0">
      <inkml:brushProperty name="width" value="0.05" units="cm"/>
      <inkml:brushProperty name="height" value="0.05" units="cm"/>
      <inkml:brushProperty name="ignorePressure" value="1"/>
    </inkml:brush>
  </inkml:definitions>
  <inkml:trace contextRef="#ctx0" brushRef="#br0">0 1,'0'0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3-24T10:36:39.028"/>
    </inkml:context>
    <inkml:brush xml:id="br0">
      <inkml:brushProperty name="width" value="0.05" units="cm"/>
      <inkml:brushProperty name="height" value="0.05" units="cm"/>
      <inkml:brushProperty name="ignorePressure" value="1"/>
    </inkml:brush>
  </inkml:definitions>
  <inkml:trace contextRef="#ctx0" brushRef="#br0">1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07:09:14.835"/>
    </inkml:context>
    <inkml:brush xml:id="br0">
      <inkml:brushProperty name="width" value="0.05" units="cm"/>
      <inkml:brushProperty name="height" value="0.05" units="cm"/>
      <inkml:brushProperty name="ignorePressure" value="1"/>
    </inkml:brush>
  </inkml:definitions>
  <inkml:trace contextRef="#ctx0" brushRef="#br0">1 0,'0'0,"0"0,0 0,0 0,0 0,0 0,0 0,0 0,0 0,0 0,0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07:09:14.836"/>
    </inkml:context>
    <inkml:brush xml:id="br0">
      <inkml:brushProperty name="width" value="0.05" units="cm"/>
      <inkml:brushProperty name="height" value="0.05" units="cm"/>
      <inkml:brushProperty name="ignorePressure" value="1"/>
    </inkml:brush>
  </inkml:definitions>
  <inkml:trace contextRef="#ctx0" brushRef="#br0">0 0,'0'0,"0"0,0 0,0 0,0 0,0 0,0 0,0 0,0 0,0 0,0 0,0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05-15T07:09:14.837"/>
    </inkml:context>
    <inkml:brush xml:id="br0">
      <inkml:brushProperty name="width" value="0.05" units="cm"/>
      <inkml:brushProperty name="height" value="0.05" units="cm"/>
      <inkml:brushProperty name="ignorePressure" value="1"/>
    </inkml:brush>
  </inkml:definitions>
  <inkml:trace contextRef="#ctx0" brushRef="#br0">0 0,'0'0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FC316A7-7A02-4351-9236-59CDC5D8BF0B}" name="Table23" displayName="Table23" ref="X13:X16" totalsRowShown="0">
  <autoFilter ref="X13:X16" xr:uid="{78316723-47DA-4F6E-8BB1-42A87E74C3A3}"/>
  <tableColumns count="1">
    <tableColumn id="1" xr3:uid="{68A14A59-8B1E-4B08-B08A-8AFE1DF718A4}" name="Fluid Phas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C4BB3ED-EAF7-4FDE-B1E1-E454DD7A97DA}" name="Table24" displayName="Table24" ref="X18:X25" totalsRowShown="0">
  <autoFilter ref="X18:X25" xr:uid="{31C552F8-7FC5-42CF-9428-84D32F26C523}"/>
  <tableColumns count="1">
    <tableColumn id="1" xr3:uid="{922E3E03-B39E-4893-8FCF-633D5ED2B111}" name="Liquid Fluid"/>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D5B8D40-DBFF-4A44-A62E-C6A886732F62}" name="Table25" displayName="Table25" ref="X26:X30" totalsRowShown="0">
  <autoFilter ref="X26:X30" xr:uid="{6F038714-F54B-4F5E-9A05-FBB94E76C49F}"/>
  <tableColumns count="1">
    <tableColumn id="1" xr3:uid="{2DD7CCC6-3FD7-409A-B138-204D9F1F864D}" name="Gas Fluid"/>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3C786E-BBE6-4C6F-85C7-0845313F4FA6}" name="Table26" displayName="Table26" ref="X31:X35" totalsRowShown="0">
  <autoFilter ref="X31:X35" xr:uid="{6A826407-7C1F-467F-90B5-8BBFC3C9B0B2}"/>
  <tableColumns count="1">
    <tableColumn id="1" xr3:uid="{6BD3AE73-5CB6-47A8-A766-0B7C4E32483F}" name="Fluid_Steam"/>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4C19A-E786-44C5-87F5-518E8F6261DE}" name="Table1" displayName="Table1" ref="B1:C8" totalsRowShown="0">
  <autoFilter ref="B1:C8" xr:uid="{BC59F3AD-A21D-4E5B-BD71-320B69D26F4E}"/>
  <tableColumns count="2">
    <tableColumn id="1" xr3:uid="{A0C223B0-2E24-42C8-B876-6DBE46D9E9A9}" name="Column1"/>
    <tableColumn id="2" xr3:uid="{46E06C14-A984-484F-B433-B40B0E3F069C}"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8.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3" Type="http://schemas.openxmlformats.org/officeDocument/2006/relationships/vmlDrawing" Target="../drawings/vmlDrawing2.v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 Type="http://schemas.openxmlformats.org/officeDocument/2006/relationships/drawing" Target="../drawings/drawing9.xm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printerSettings" Target="../printerSettings/printerSettings9.bin"/><Relationship Id="rId6" Type="http://schemas.openxmlformats.org/officeDocument/2006/relationships/ctrlProp" Target="../ctrlProps/ctrlProp20.x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43.xml"/><Relationship Id="rId13" Type="http://schemas.openxmlformats.org/officeDocument/2006/relationships/ctrlProp" Target="../ctrlProps/ctrlProp48.xml"/><Relationship Id="rId18" Type="http://schemas.openxmlformats.org/officeDocument/2006/relationships/ctrlProp" Target="../ctrlProps/ctrlProp53.xml"/><Relationship Id="rId26" Type="http://schemas.openxmlformats.org/officeDocument/2006/relationships/ctrlProp" Target="../ctrlProps/ctrlProp61.xml"/><Relationship Id="rId3" Type="http://schemas.openxmlformats.org/officeDocument/2006/relationships/vmlDrawing" Target="../drawings/vmlDrawing3.vml"/><Relationship Id="rId21" Type="http://schemas.openxmlformats.org/officeDocument/2006/relationships/ctrlProp" Target="../ctrlProps/ctrlProp56.xml"/><Relationship Id="rId7" Type="http://schemas.openxmlformats.org/officeDocument/2006/relationships/ctrlProp" Target="../ctrlProps/ctrlProp42.xml"/><Relationship Id="rId12" Type="http://schemas.openxmlformats.org/officeDocument/2006/relationships/ctrlProp" Target="../ctrlProps/ctrlProp47.xml"/><Relationship Id="rId17" Type="http://schemas.openxmlformats.org/officeDocument/2006/relationships/ctrlProp" Target="../ctrlProps/ctrlProp52.xml"/><Relationship Id="rId25" Type="http://schemas.openxmlformats.org/officeDocument/2006/relationships/ctrlProp" Target="../ctrlProps/ctrlProp60.xml"/><Relationship Id="rId2" Type="http://schemas.openxmlformats.org/officeDocument/2006/relationships/drawing" Target="../drawings/drawing11.xml"/><Relationship Id="rId16" Type="http://schemas.openxmlformats.org/officeDocument/2006/relationships/ctrlProp" Target="../ctrlProps/ctrlProp51.xml"/><Relationship Id="rId20" Type="http://schemas.openxmlformats.org/officeDocument/2006/relationships/ctrlProp" Target="../ctrlProps/ctrlProp55.xml"/><Relationship Id="rId1" Type="http://schemas.openxmlformats.org/officeDocument/2006/relationships/printerSettings" Target="../printerSettings/printerSettings10.bin"/><Relationship Id="rId6" Type="http://schemas.openxmlformats.org/officeDocument/2006/relationships/ctrlProp" Target="../ctrlProps/ctrlProp41.xml"/><Relationship Id="rId11" Type="http://schemas.openxmlformats.org/officeDocument/2006/relationships/ctrlProp" Target="../ctrlProps/ctrlProp46.xml"/><Relationship Id="rId24" Type="http://schemas.openxmlformats.org/officeDocument/2006/relationships/ctrlProp" Target="../ctrlProps/ctrlProp59.xml"/><Relationship Id="rId5" Type="http://schemas.openxmlformats.org/officeDocument/2006/relationships/ctrlProp" Target="../ctrlProps/ctrlProp40.xml"/><Relationship Id="rId15" Type="http://schemas.openxmlformats.org/officeDocument/2006/relationships/ctrlProp" Target="../ctrlProps/ctrlProp50.xml"/><Relationship Id="rId23" Type="http://schemas.openxmlformats.org/officeDocument/2006/relationships/ctrlProp" Target="../ctrlProps/ctrlProp58.xml"/><Relationship Id="rId10" Type="http://schemas.openxmlformats.org/officeDocument/2006/relationships/ctrlProp" Target="../ctrlProps/ctrlProp45.xml"/><Relationship Id="rId19" Type="http://schemas.openxmlformats.org/officeDocument/2006/relationships/ctrlProp" Target="../ctrlProps/ctrlProp54.xml"/><Relationship Id="rId4" Type="http://schemas.openxmlformats.org/officeDocument/2006/relationships/ctrlProp" Target="../ctrlProps/ctrlProp39.xml"/><Relationship Id="rId9" Type="http://schemas.openxmlformats.org/officeDocument/2006/relationships/ctrlProp" Target="../ctrlProps/ctrlProp44.xml"/><Relationship Id="rId14" Type="http://schemas.openxmlformats.org/officeDocument/2006/relationships/ctrlProp" Target="../ctrlProps/ctrlProp49.xml"/><Relationship Id="rId22" Type="http://schemas.openxmlformats.org/officeDocument/2006/relationships/ctrlProp" Target="../ctrlProps/ctrlProp57.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66.xml"/><Relationship Id="rId13" Type="http://schemas.openxmlformats.org/officeDocument/2006/relationships/ctrlProp" Target="../ctrlProps/ctrlProp71.xml"/><Relationship Id="rId18" Type="http://schemas.openxmlformats.org/officeDocument/2006/relationships/ctrlProp" Target="../ctrlProps/ctrlProp76.xml"/><Relationship Id="rId3" Type="http://schemas.openxmlformats.org/officeDocument/2006/relationships/vmlDrawing" Target="../drawings/vmlDrawing4.vml"/><Relationship Id="rId21" Type="http://schemas.openxmlformats.org/officeDocument/2006/relationships/ctrlProp" Target="../ctrlProps/ctrlProp79.xml"/><Relationship Id="rId7" Type="http://schemas.openxmlformats.org/officeDocument/2006/relationships/ctrlProp" Target="../ctrlProps/ctrlProp65.xml"/><Relationship Id="rId12" Type="http://schemas.openxmlformats.org/officeDocument/2006/relationships/ctrlProp" Target="../ctrlProps/ctrlProp70.xml"/><Relationship Id="rId17" Type="http://schemas.openxmlformats.org/officeDocument/2006/relationships/ctrlProp" Target="../ctrlProps/ctrlProp75.xml"/><Relationship Id="rId25" Type="http://schemas.openxmlformats.org/officeDocument/2006/relationships/ctrlProp" Target="../ctrlProps/ctrlProp83.xml"/><Relationship Id="rId2" Type="http://schemas.openxmlformats.org/officeDocument/2006/relationships/drawing" Target="../drawings/drawing12.xml"/><Relationship Id="rId16" Type="http://schemas.openxmlformats.org/officeDocument/2006/relationships/ctrlProp" Target="../ctrlProps/ctrlProp74.xml"/><Relationship Id="rId20" Type="http://schemas.openxmlformats.org/officeDocument/2006/relationships/ctrlProp" Target="../ctrlProps/ctrlProp78.xml"/><Relationship Id="rId1" Type="http://schemas.openxmlformats.org/officeDocument/2006/relationships/printerSettings" Target="../printerSettings/printerSettings11.bin"/><Relationship Id="rId6" Type="http://schemas.openxmlformats.org/officeDocument/2006/relationships/ctrlProp" Target="../ctrlProps/ctrlProp64.xml"/><Relationship Id="rId11" Type="http://schemas.openxmlformats.org/officeDocument/2006/relationships/ctrlProp" Target="../ctrlProps/ctrlProp69.xml"/><Relationship Id="rId24" Type="http://schemas.openxmlformats.org/officeDocument/2006/relationships/ctrlProp" Target="../ctrlProps/ctrlProp82.xml"/><Relationship Id="rId5" Type="http://schemas.openxmlformats.org/officeDocument/2006/relationships/ctrlProp" Target="../ctrlProps/ctrlProp63.xml"/><Relationship Id="rId15" Type="http://schemas.openxmlformats.org/officeDocument/2006/relationships/ctrlProp" Target="../ctrlProps/ctrlProp73.xml"/><Relationship Id="rId23" Type="http://schemas.openxmlformats.org/officeDocument/2006/relationships/ctrlProp" Target="../ctrlProps/ctrlProp81.xml"/><Relationship Id="rId10" Type="http://schemas.openxmlformats.org/officeDocument/2006/relationships/ctrlProp" Target="../ctrlProps/ctrlProp68.xml"/><Relationship Id="rId19" Type="http://schemas.openxmlformats.org/officeDocument/2006/relationships/ctrlProp" Target="../ctrlProps/ctrlProp77.xml"/><Relationship Id="rId4" Type="http://schemas.openxmlformats.org/officeDocument/2006/relationships/ctrlProp" Target="../ctrlProps/ctrlProp62.xml"/><Relationship Id="rId9" Type="http://schemas.openxmlformats.org/officeDocument/2006/relationships/ctrlProp" Target="../ctrlProps/ctrlProp67.xml"/><Relationship Id="rId14" Type="http://schemas.openxmlformats.org/officeDocument/2006/relationships/ctrlProp" Target="../ctrlProps/ctrlProp72.xml"/><Relationship Id="rId22" Type="http://schemas.openxmlformats.org/officeDocument/2006/relationships/ctrlProp" Target="../ctrlProps/ctrlProp80.xml"/></Relationships>
</file>

<file path=xl/worksheets/_rels/sheet15.xml.rels><?xml version="1.0" encoding="UTF-8" standalone="yes"?>
<Relationships xmlns="http://schemas.openxmlformats.org/package/2006/relationships"><Relationship Id="rId8" Type="http://schemas.openxmlformats.org/officeDocument/2006/relationships/ctrlProp" Target="../ctrlProps/ctrlProp88.xml"/><Relationship Id="rId13" Type="http://schemas.openxmlformats.org/officeDocument/2006/relationships/ctrlProp" Target="../ctrlProps/ctrlProp93.xml"/><Relationship Id="rId18" Type="http://schemas.openxmlformats.org/officeDocument/2006/relationships/ctrlProp" Target="../ctrlProps/ctrlProp98.xml"/><Relationship Id="rId26" Type="http://schemas.openxmlformats.org/officeDocument/2006/relationships/ctrlProp" Target="../ctrlProps/ctrlProp106.xml"/><Relationship Id="rId3" Type="http://schemas.openxmlformats.org/officeDocument/2006/relationships/vmlDrawing" Target="../drawings/vmlDrawing5.vml"/><Relationship Id="rId21" Type="http://schemas.openxmlformats.org/officeDocument/2006/relationships/ctrlProp" Target="../ctrlProps/ctrlProp101.xml"/><Relationship Id="rId7" Type="http://schemas.openxmlformats.org/officeDocument/2006/relationships/ctrlProp" Target="../ctrlProps/ctrlProp87.xml"/><Relationship Id="rId12" Type="http://schemas.openxmlformats.org/officeDocument/2006/relationships/ctrlProp" Target="../ctrlProps/ctrlProp92.xml"/><Relationship Id="rId17" Type="http://schemas.openxmlformats.org/officeDocument/2006/relationships/ctrlProp" Target="../ctrlProps/ctrlProp97.xml"/><Relationship Id="rId25" Type="http://schemas.openxmlformats.org/officeDocument/2006/relationships/ctrlProp" Target="../ctrlProps/ctrlProp105.xml"/><Relationship Id="rId2" Type="http://schemas.openxmlformats.org/officeDocument/2006/relationships/drawing" Target="../drawings/drawing13.xml"/><Relationship Id="rId16" Type="http://schemas.openxmlformats.org/officeDocument/2006/relationships/ctrlProp" Target="../ctrlProps/ctrlProp96.xml"/><Relationship Id="rId20" Type="http://schemas.openxmlformats.org/officeDocument/2006/relationships/ctrlProp" Target="../ctrlProps/ctrlProp100.xml"/><Relationship Id="rId29" Type="http://schemas.openxmlformats.org/officeDocument/2006/relationships/ctrlProp" Target="../ctrlProps/ctrlProp109.xml"/><Relationship Id="rId1" Type="http://schemas.openxmlformats.org/officeDocument/2006/relationships/printerSettings" Target="../printerSettings/printerSettings12.bin"/><Relationship Id="rId6" Type="http://schemas.openxmlformats.org/officeDocument/2006/relationships/ctrlProp" Target="../ctrlProps/ctrlProp86.xml"/><Relationship Id="rId11" Type="http://schemas.openxmlformats.org/officeDocument/2006/relationships/ctrlProp" Target="../ctrlProps/ctrlProp91.xml"/><Relationship Id="rId24" Type="http://schemas.openxmlformats.org/officeDocument/2006/relationships/ctrlProp" Target="../ctrlProps/ctrlProp104.xml"/><Relationship Id="rId5" Type="http://schemas.openxmlformats.org/officeDocument/2006/relationships/ctrlProp" Target="../ctrlProps/ctrlProp85.xml"/><Relationship Id="rId15" Type="http://schemas.openxmlformats.org/officeDocument/2006/relationships/ctrlProp" Target="../ctrlProps/ctrlProp95.xml"/><Relationship Id="rId23" Type="http://schemas.openxmlformats.org/officeDocument/2006/relationships/ctrlProp" Target="../ctrlProps/ctrlProp103.xml"/><Relationship Id="rId28" Type="http://schemas.openxmlformats.org/officeDocument/2006/relationships/ctrlProp" Target="../ctrlProps/ctrlProp108.xml"/><Relationship Id="rId10" Type="http://schemas.openxmlformats.org/officeDocument/2006/relationships/ctrlProp" Target="../ctrlProps/ctrlProp90.xml"/><Relationship Id="rId19" Type="http://schemas.openxmlformats.org/officeDocument/2006/relationships/ctrlProp" Target="../ctrlProps/ctrlProp99.xml"/><Relationship Id="rId31" Type="http://schemas.openxmlformats.org/officeDocument/2006/relationships/ctrlProp" Target="../ctrlProps/ctrlProp111.xml"/><Relationship Id="rId4" Type="http://schemas.openxmlformats.org/officeDocument/2006/relationships/ctrlProp" Target="../ctrlProps/ctrlProp84.xml"/><Relationship Id="rId9" Type="http://schemas.openxmlformats.org/officeDocument/2006/relationships/ctrlProp" Target="../ctrlProps/ctrlProp89.xml"/><Relationship Id="rId14" Type="http://schemas.openxmlformats.org/officeDocument/2006/relationships/ctrlProp" Target="../ctrlProps/ctrlProp94.xml"/><Relationship Id="rId22" Type="http://schemas.openxmlformats.org/officeDocument/2006/relationships/ctrlProp" Target="../ctrlProps/ctrlProp102.xml"/><Relationship Id="rId27" Type="http://schemas.openxmlformats.org/officeDocument/2006/relationships/ctrlProp" Target="../ctrlProps/ctrlProp107.xml"/><Relationship Id="rId30" Type="http://schemas.openxmlformats.org/officeDocument/2006/relationships/ctrlProp" Target="../ctrlProps/ctrlProp110.xml"/></Relationships>
</file>

<file path=xl/worksheets/_rels/sheet16.xml.rels><?xml version="1.0" encoding="UTF-8" standalone="yes"?>
<Relationships xmlns="http://schemas.openxmlformats.org/package/2006/relationships"><Relationship Id="rId8" Type="http://schemas.openxmlformats.org/officeDocument/2006/relationships/ctrlProp" Target="../ctrlProps/ctrlProp116.xml"/><Relationship Id="rId13" Type="http://schemas.openxmlformats.org/officeDocument/2006/relationships/ctrlProp" Target="../ctrlProps/ctrlProp121.xml"/><Relationship Id="rId18" Type="http://schemas.openxmlformats.org/officeDocument/2006/relationships/ctrlProp" Target="../ctrlProps/ctrlProp126.xml"/><Relationship Id="rId26" Type="http://schemas.openxmlformats.org/officeDocument/2006/relationships/ctrlProp" Target="../ctrlProps/ctrlProp134.xml"/><Relationship Id="rId3" Type="http://schemas.openxmlformats.org/officeDocument/2006/relationships/vmlDrawing" Target="../drawings/vmlDrawing6.vml"/><Relationship Id="rId21" Type="http://schemas.openxmlformats.org/officeDocument/2006/relationships/ctrlProp" Target="../ctrlProps/ctrlProp129.xml"/><Relationship Id="rId7" Type="http://schemas.openxmlformats.org/officeDocument/2006/relationships/ctrlProp" Target="../ctrlProps/ctrlProp115.xml"/><Relationship Id="rId12" Type="http://schemas.openxmlformats.org/officeDocument/2006/relationships/ctrlProp" Target="../ctrlProps/ctrlProp120.xml"/><Relationship Id="rId17" Type="http://schemas.openxmlformats.org/officeDocument/2006/relationships/ctrlProp" Target="../ctrlProps/ctrlProp125.xml"/><Relationship Id="rId25" Type="http://schemas.openxmlformats.org/officeDocument/2006/relationships/ctrlProp" Target="../ctrlProps/ctrlProp133.xml"/><Relationship Id="rId2" Type="http://schemas.openxmlformats.org/officeDocument/2006/relationships/drawing" Target="../drawings/drawing14.xml"/><Relationship Id="rId16" Type="http://schemas.openxmlformats.org/officeDocument/2006/relationships/ctrlProp" Target="../ctrlProps/ctrlProp124.xml"/><Relationship Id="rId20" Type="http://schemas.openxmlformats.org/officeDocument/2006/relationships/ctrlProp" Target="../ctrlProps/ctrlProp128.xml"/><Relationship Id="rId1" Type="http://schemas.openxmlformats.org/officeDocument/2006/relationships/printerSettings" Target="../printerSettings/printerSettings13.bin"/><Relationship Id="rId6" Type="http://schemas.openxmlformats.org/officeDocument/2006/relationships/ctrlProp" Target="../ctrlProps/ctrlProp114.xml"/><Relationship Id="rId11" Type="http://schemas.openxmlformats.org/officeDocument/2006/relationships/ctrlProp" Target="../ctrlProps/ctrlProp119.xml"/><Relationship Id="rId24" Type="http://schemas.openxmlformats.org/officeDocument/2006/relationships/ctrlProp" Target="../ctrlProps/ctrlProp132.xml"/><Relationship Id="rId5" Type="http://schemas.openxmlformats.org/officeDocument/2006/relationships/ctrlProp" Target="../ctrlProps/ctrlProp113.xml"/><Relationship Id="rId15" Type="http://schemas.openxmlformats.org/officeDocument/2006/relationships/ctrlProp" Target="../ctrlProps/ctrlProp123.xml"/><Relationship Id="rId23" Type="http://schemas.openxmlformats.org/officeDocument/2006/relationships/ctrlProp" Target="../ctrlProps/ctrlProp131.xml"/><Relationship Id="rId10" Type="http://schemas.openxmlformats.org/officeDocument/2006/relationships/ctrlProp" Target="../ctrlProps/ctrlProp118.xml"/><Relationship Id="rId19" Type="http://schemas.openxmlformats.org/officeDocument/2006/relationships/ctrlProp" Target="../ctrlProps/ctrlProp127.xml"/><Relationship Id="rId4" Type="http://schemas.openxmlformats.org/officeDocument/2006/relationships/ctrlProp" Target="../ctrlProps/ctrlProp112.xml"/><Relationship Id="rId9" Type="http://schemas.openxmlformats.org/officeDocument/2006/relationships/ctrlProp" Target="../ctrlProps/ctrlProp117.xml"/><Relationship Id="rId14" Type="http://schemas.openxmlformats.org/officeDocument/2006/relationships/ctrlProp" Target="../ctrlProps/ctrlProp122.xml"/><Relationship Id="rId22" Type="http://schemas.openxmlformats.org/officeDocument/2006/relationships/ctrlProp" Target="../ctrlProps/ctrlProp130.xml"/><Relationship Id="rId27" Type="http://schemas.openxmlformats.org/officeDocument/2006/relationships/ctrlProp" Target="../ctrlProps/ctrlProp135.xml"/></Relationships>
</file>

<file path=xl/worksheets/_rels/sheet17.xml.rels><?xml version="1.0" encoding="UTF-8" standalone="yes"?>
<Relationships xmlns="http://schemas.openxmlformats.org/package/2006/relationships"><Relationship Id="rId8" Type="http://schemas.openxmlformats.org/officeDocument/2006/relationships/ctrlProp" Target="../ctrlProps/ctrlProp140.xml"/><Relationship Id="rId13" Type="http://schemas.openxmlformats.org/officeDocument/2006/relationships/ctrlProp" Target="../ctrlProps/ctrlProp145.xml"/><Relationship Id="rId18" Type="http://schemas.openxmlformats.org/officeDocument/2006/relationships/ctrlProp" Target="../ctrlProps/ctrlProp150.xml"/><Relationship Id="rId26" Type="http://schemas.openxmlformats.org/officeDocument/2006/relationships/ctrlProp" Target="../ctrlProps/ctrlProp158.xml"/><Relationship Id="rId3" Type="http://schemas.openxmlformats.org/officeDocument/2006/relationships/vmlDrawing" Target="../drawings/vmlDrawing7.vml"/><Relationship Id="rId21" Type="http://schemas.openxmlformats.org/officeDocument/2006/relationships/ctrlProp" Target="../ctrlProps/ctrlProp153.xml"/><Relationship Id="rId7" Type="http://schemas.openxmlformats.org/officeDocument/2006/relationships/ctrlProp" Target="../ctrlProps/ctrlProp139.xml"/><Relationship Id="rId12" Type="http://schemas.openxmlformats.org/officeDocument/2006/relationships/ctrlProp" Target="../ctrlProps/ctrlProp144.xml"/><Relationship Id="rId17" Type="http://schemas.openxmlformats.org/officeDocument/2006/relationships/ctrlProp" Target="../ctrlProps/ctrlProp149.xml"/><Relationship Id="rId25" Type="http://schemas.openxmlformats.org/officeDocument/2006/relationships/ctrlProp" Target="../ctrlProps/ctrlProp157.xml"/><Relationship Id="rId2" Type="http://schemas.openxmlformats.org/officeDocument/2006/relationships/drawing" Target="../drawings/drawing15.xml"/><Relationship Id="rId16" Type="http://schemas.openxmlformats.org/officeDocument/2006/relationships/ctrlProp" Target="../ctrlProps/ctrlProp148.xml"/><Relationship Id="rId20" Type="http://schemas.openxmlformats.org/officeDocument/2006/relationships/ctrlProp" Target="../ctrlProps/ctrlProp152.xml"/><Relationship Id="rId29" Type="http://schemas.openxmlformats.org/officeDocument/2006/relationships/ctrlProp" Target="../ctrlProps/ctrlProp161.xml"/><Relationship Id="rId1" Type="http://schemas.openxmlformats.org/officeDocument/2006/relationships/printerSettings" Target="../printerSettings/printerSettings14.bin"/><Relationship Id="rId6" Type="http://schemas.openxmlformats.org/officeDocument/2006/relationships/ctrlProp" Target="../ctrlProps/ctrlProp138.xml"/><Relationship Id="rId11" Type="http://schemas.openxmlformats.org/officeDocument/2006/relationships/ctrlProp" Target="../ctrlProps/ctrlProp143.xml"/><Relationship Id="rId24" Type="http://schemas.openxmlformats.org/officeDocument/2006/relationships/ctrlProp" Target="../ctrlProps/ctrlProp156.xml"/><Relationship Id="rId5" Type="http://schemas.openxmlformats.org/officeDocument/2006/relationships/ctrlProp" Target="../ctrlProps/ctrlProp137.xml"/><Relationship Id="rId15" Type="http://schemas.openxmlformats.org/officeDocument/2006/relationships/ctrlProp" Target="../ctrlProps/ctrlProp147.xml"/><Relationship Id="rId23" Type="http://schemas.openxmlformats.org/officeDocument/2006/relationships/ctrlProp" Target="../ctrlProps/ctrlProp155.xml"/><Relationship Id="rId28" Type="http://schemas.openxmlformats.org/officeDocument/2006/relationships/ctrlProp" Target="../ctrlProps/ctrlProp160.xml"/><Relationship Id="rId10" Type="http://schemas.openxmlformats.org/officeDocument/2006/relationships/ctrlProp" Target="../ctrlProps/ctrlProp142.xml"/><Relationship Id="rId19" Type="http://schemas.openxmlformats.org/officeDocument/2006/relationships/ctrlProp" Target="../ctrlProps/ctrlProp151.xml"/><Relationship Id="rId31" Type="http://schemas.openxmlformats.org/officeDocument/2006/relationships/ctrlProp" Target="../ctrlProps/ctrlProp163.xml"/><Relationship Id="rId4" Type="http://schemas.openxmlformats.org/officeDocument/2006/relationships/ctrlProp" Target="../ctrlProps/ctrlProp136.xml"/><Relationship Id="rId9" Type="http://schemas.openxmlformats.org/officeDocument/2006/relationships/ctrlProp" Target="../ctrlProps/ctrlProp141.xml"/><Relationship Id="rId14" Type="http://schemas.openxmlformats.org/officeDocument/2006/relationships/ctrlProp" Target="../ctrlProps/ctrlProp146.xml"/><Relationship Id="rId22" Type="http://schemas.openxmlformats.org/officeDocument/2006/relationships/ctrlProp" Target="../ctrlProps/ctrlProp154.xml"/><Relationship Id="rId27" Type="http://schemas.openxmlformats.org/officeDocument/2006/relationships/ctrlProp" Target="../ctrlProps/ctrlProp159.xml"/><Relationship Id="rId30" Type="http://schemas.openxmlformats.org/officeDocument/2006/relationships/ctrlProp" Target="../ctrlProps/ctrlProp162.xml"/></Relationships>
</file>

<file path=xl/worksheets/_rels/sheet18.xml.rels><?xml version="1.0" encoding="UTF-8" standalone="yes"?>
<Relationships xmlns="http://schemas.openxmlformats.org/package/2006/relationships"><Relationship Id="rId8" Type="http://schemas.openxmlformats.org/officeDocument/2006/relationships/ctrlProp" Target="../ctrlProps/ctrlProp168.xml"/><Relationship Id="rId13" Type="http://schemas.openxmlformats.org/officeDocument/2006/relationships/ctrlProp" Target="../ctrlProps/ctrlProp173.xml"/><Relationship Id="rId18" Type="http://schemas.openxmlformats.org/officeDocument/2006/relationships/ctrlProp" Target="../ctrlProps/ctrlProp178.xml"/><Relationship Id="rId3" Type="http://schemas.openxmlformats.org/officeDocument/2006/relationships/vmlDrawing" Target="../drawings/vmlDrawing8.vml"/><Relationship Id="rId21" Type="http://schemas.openxmlformats.org/officeDocument/2006/relationships/ctrlProp" Target="../ctrlProps/ctrlProp181.xml"/><Relationship Id="rId7" Type="http://schemas.openxmlformats.org/officeDocument/2006/relationships/ctrlProp" Target="../ctrlProps/ctrlProp167.xml"/><Relationship Id="rId12" Type="http://schemas.openxmlformats.org/officeDocument/2006/relationships/ctrlProp" Target="../ctrlProps/ctrlProp172.xml"/><Relationship Id="rId17" Type="http://schemas.openxmlformats.org/officeDocument/2006/relationships/ctrlProp" Target="../ctrlProps/ctrlProp177.xml"/><Relationship Id="rId25" Type="http://schemas.openxmlformats.org/officeDocument/2006/relationships/ctrlProp" Target="../ctrlProps/ctrlProp185.xml"/><Relationship Id="rId2" Type="http://schemas.openxmlformats.org/officeDocument/2006/relationships/drawing" Target="../drawings/drawing16.xml"/><Relationship Id="rId16" Type="http://schemas.openxmlformats.org/officeDocument/2006/relationships/ctrlProp" Target="../ctrlProps/ctrlProp176.xml"/><Relationship Id="rId20" Type="http://schemas.openxmlformats.org/officeDocument/2006/relationships/ctrlProp" Target="../ctrlProps/ctrlProp180.xml"/><Relationship Id="rId1" Type="http://schemas.openxmlformats.org/officeDocument/2006/relationships/printerSettings" Target="../printerSettings/printerSettings15.bin"/><Relationship Id="rId6" Type="http://schemas.openxmlformats.org/officeDocument/2006/relationships/ctrlProp" Target="../ctrlProps/ctrlProp166.xml"/><Relationship Id="rId11" Type="http://schemas.openxmlformats.org/officeDocument/2006/relationships/ctrlProp" Target="../ctrlProps/ctrlProp171.xml"/><Relationship Id="rId24" Type="http://schemas.openxmlformats.org/officeDocument/2006/relationships/ctrlProp" Target="../ctrlProps/ctrlProp184.xml"/><Relationship Id="rId5" Type="http://schemas.openxmlformats.org/officeDocument/2006/relationships/ctrlProp" Target="../ctrlProps/ctrlProp165.xml"/><Relationship Id="rId15" Type="http://schemas.openxmlformats.org/officeDocument/2006/relationships/ctrlProp" Target="../ctrlProps/ctrlProp175.xml"/><Relationship Id="rId23" Type="http://schemas.openxmlformats.org/officeDocument/2006/relationships/ctrlProp" Target="../ctrlProps/ctrlProp183.xml"/><Relationship Id="rId10" Type="http://schemas.openxmlformats.org/officeDocument/2006/relationships/ctrlProp" Target="../ctrlProps/ctrlProp170.xml"/><Relationship Id="rId19" Type="http://schemas.openxmlformats.org/officeDocument/2006/relationships/ctrlProp" Target="../ctrlProps/ctrlProp179.xml"/><Relationship Id="rId4" Type="http://schemas.openxmlformats.org/officeDocument/2006/relationships/ctrlProp" Target="../ctrlProps/ctrlProp164.xml"/><Relationship Id="rId9" Type="http://schemas.openxmlformats.org/officeDocument/2006/relationships/ctrlProp" Target="../ctrlProps/ctrlProp169.xml"/><Relationship Id="rId14" Type="http://schemas.openxmlformats.org/officeDocument/2006/relationships/ctrlProp" Target="../ctrlProps/ctrlProp174.xml"/><Relationship Id="rId22" Type="http://schemas.openxmlformats.org/officeDocument/2006/relationships/ctrlProp" Target="../ctrlProps/ctrlProp182.xml"/></Relationships>
</file>

<file path=xl/worksheets/_rels/sheet19.xml.rels><?xml version="1.0" encoding="UTF-8" standalone="yes"?>
<Relationships xmlns="http://schemas.openxmlformats.org/package/2006/relationships"><Relationship Id="rId8" Type="http://schemas.openxmlformats.org/officeDocument/2006/relationships/ctrlProp" Target="../ctrlProps/ctrlProp190.xml"/><Relationship Id="rId13" Type="http://schemas.openxmlformats.org/officeDocument/2006/relationships/ctrlProp" Target="../ctrlProps/ctrlProp195.xml"/><Relationship Id="rId18" Type="http://schemas.openxmlformats.org/officeDocument/2006/relationships/ctrlProp" Target="../ctrlProps/ctrlProp200.xml"/><Relationship Id="rId3" Type="http://schemas.openxmlformats.org/officeDocument/2006/relationships/vmlDrawing" Target="../drawings/vmlDrawing9.vml"/><Relationship Id="rId21" Type="http://schemas.openxmlformats.org/officeDocument/2006/relationships/ctrlProp" Target="../ctrlProps/ctrlProp203.xml"/><Relationship Id="rId7" Type="http://schemas.openxmlformats.org/officeDocument/2006/relationships/ctrlProp" Target="../ctrlProps/ctrlProp189.xml"/><Relationship Id="rId12" Type="http://schemas.openxmlformats.org/officeDocument/2006/relationships/ctrlProp" Target="../ctrlProps/ctrlProp194.xml"/><Relationship Id="rId17" Type="http://schemas.openxmlformats.org/officeDocument/2006/relationships/ctrlProp" Target="../ctrlProps/ctrlProp199.xml"/><Relationship Id="rId2" Type="http://schemas.openxmlformats.org/officeDocument/2006/relationships/drawing" Target="../drawings/drawing17.xml"/><Relationship Id="rId16" Type="http://schemas.openxmlformats.org/officeDocument/2006/relationships/ctrlProp" Target="../ctrlProps/ctrlProp198.xml"/><Relationship Id="rId20" Type="http://schemas.openxmlformats.org/officeDocument/2006/relationships/ctrlProp" Target="../ctrlProps/ctrlProp202.xml"/><Relationship Id="rId1" Type="http://schemas.openxmlformats.org/officeDocument/2006/relationships/printerSettings" Target="../printerSettings/printerSettings16.bin"/><Relationship Id="rId6" Type="http://schemas.openxmlformats.org/officeDocument/2006/relationships/ctrlProp" Target="../ctrlProps/ctrlProp188.xml"/><Relationship Id="rId11" Type="http://schemas.openxmlformats.org/officeDocument/2006/relationships/ctrlProp" Target="../ctrlProps/ctrlProp193.xml"/><Relationship Id="rId5" Type="http://schemas.openxmlformats.org/officeDocument/2006/relationships/ctrlProp" Target="../ctrlProps/ctrlProp187.xml"/><Relationship Id="rId15" Type="http://schemas.openxmlformats.org/officeDocument/2006/relationships/ctrlProp" Target="../ctrlProps/ctrlProp197.xml"/><Relationship Id="rId10" Type="http://schemas.openxmlformats.org/officeDocument/2006/relationships/ctrlProp" Target="../ctrlProps/ctrlProp192.xml"/><Relationship Id="rId19" Type="http://schemas.openxmlformats.org/officeDocument/2006/relationships/ctrlProp" Target="../ctrlProps/ctrlProp201.xml"/><Relationship Id="rId4" Type="http://schemas.openxmlformats.org/officeDocument/2006/relationships/ctrlProp" Target="../ctrlProps/ctrlProp186.xml"/><Relationship Id="rId9" Type="http://schemas.openxmlformats.org/officeDocument/2006/relationships/ctrlProp" Target="../ctrlProps/ctrlProp191.xml"/><Relationship Id="rId14" Type="http://schemas.openxmlformats.org/officeDocument/2006/relationships/ctrlProp" Target="../ctrlProps/ctrlProp196.xml"/><Relationship Id="rId22" Type="http://schemas.openxmlformats.org/officeDocument/2006/relationships/ctrlProp" Target="../ctrlProps/ctrlProp20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209.xml"/><Relationship Id="rId13" Type="http://schemas.openxmlformats.org/officeDocument/2006/relationships/ctrlProp" Target="../ctrlProps/ctrlProp214.xml"/><Relationship Id="rId18" Type="http://schemas.openxmlformats.org/officeDocument/2006/relationships/ctrlProp" Target="../ctrlProps/ctrlProp219.xml"/><Relationship Id="rId3" Type="http://schemas.openxmlformats.org/officeDocument/2006/relationships/vmlDrawing" Target="../drawings/vmlDrawing10.vml"/><Relationship Id="rId21" Type="http://schemas.openxmlformats.org/officeDocument/2006/relationships/ctrlProp" Target="../ctrlProps/ctrlProp222.xml"/><Relationship Id="rId7" Type="http://schemas.openxmlformats.org/officeDocument/2006/relationships/ctrlProp" Target="../ctrlProps/ctrlProp208.xml"/><Relationship Id="rId12" Type="http://schemas.openxmlformats.org/officeDocument/2006/relationships/ctrlProp" Target="../ctrlProps/ctrlProp213.xml"/><Relationship Id="rId17" Type="http://schemas.openxmlformats.org/officeDocument/2006/relationships/ctrlProp" Target="../ctrlProps/ctrlProp218.xml"/><Relationship Id="rId2" Type="http://schemas.openxmlformats.org/officeDocument/2006/relationships/drawing" Target="../drawings/drawing18.xml"/><Relationship Id="rId16" Type="http://schemas.openxmlformats.org/officeDocument/2006/relationships/ctrlProp" Target="../ctrlProps/ctrlProp217.xml"/><Relationship Id="rId20" Type="http://schemas.openxmlformats.org/officeDocument/2006/relationships/ctrlProp" Target="../ctrlProps/ctrlProp221.xml"/><Relationship Id="rId1" Type="http://schemas.openxmlformats.org/officeDocument/2006/relationships/printerSettings" Target="../printerSettings/printerSettings17.bin"/><Relationship Id="rId6" Type="http://schemas.openxmlformats.org/officeDocument/2006/relationships/ctrlProp" Target="../ctrlProps/ctrlProp207.xml"/><Relationship Id="rId11" Type="http://schemas.openxmlformats.org/officeDocument/2006/relationships/ctrlProp" Target="../ctrlProps/ctrlProp212.xml"/><Relationship Id="rId5" Type="http://schemas.openxmlformats.org/officeDocument/2006/relationships/ctrlProp" Target="../ctrlProps/ctrlProp206.xml"/><Relationship Id="rId15" Type="http://schemas.openxmlformats.org/officeDocument/2006/relationships/ctrlProp" Target="../ctrlProps/ctrlProp216.xml"/><Relationship Id="rId10" Type="http://schemas.openxmlformats.org/officeDocument/2006/relationships/ctrlProp" Target="../ctrlProps/ctrlProp211.xml"/><Relationship Id="rId19" Type="http://schemas.openxmlformats.org/officeDocument/2006/relationships/ctrlProp" Target="../ctrlProps/ctrlProp220.xml"/><Relationship Id="rId4" Type="http://schemas.openxmlformats.org/officeDocument/2006/relationships/ctrlProp" Target="../ctrlProps/ctrlProp205.xml"/><Relationship Id="rId9" Type="http://schemas.openxmlformats.org/officeDocument/2006/relationships/ctrlProp" Target="../ctrlProps/ctrlProp210.xml"/><Relationship Id="rId14" Type="http://schemas.openxmlformats.org/officeDocument/2006/relationships/ctrlProp" Target="../ctrlProps/ctrlProp215.xml"/><Relationship Id="rId22" Type="http://schemas.openxmlformats.org/officeDocument/2006/relationships/ctrlProp" Target="../ctrlProps/ctrlProp223.xml"/></Relationships>
</file>

<file path=xl/worksheets/_rels/sheet21.xml.rels><?xml version="1.0" encoding="UTF-8" standalone="yes"?>
<Relationships xmlns="http://schemas.openxmlformats.org/package/2006/relationships"><Relationship Id="rId8" Type="http://schemas.openxmlformats.org/officeDocument/2006/relationships/ctrlProp" Target="../ctrlProps/ctrlProp228.xml"/><Relationship Id="rId13" Type="http://schemas.openxmlformats.org/officeDocument/2006/relationships/ctrlProp" Target="../ctrlProps/ctrlProp233.xml"/><Relationship Id="rId18" Type="http://schemas.openxmlformats.org/officeDocument/2006/relationships/ctrlProp" Target="../ctrlProps/ctrlProp238.xml"/><Relationship Id="rId3" Type="http://schemas.openxmlformats.org/officeDocument/2006/relationships/vmlDrawing" Target="../drawings/vmlDrawing11.vml"/><Relationship Id="rId21" Type="http://schemas.openxmlformats.org/officeDocument/2006/relationships/ctrlProp" Target="../ctrlProps/ctrlProp241.xml"/><Relationship Id="rId7" Type="http://schemas.openxmlformats.org/officeDocument/2006/relationships/ctrlProp" Target="../ctrlProps/ctrlProp227.xml"/><Relationship Id="rId12" Type="http://schemas.openxmlformats.org/officeDocument/2006/relationships/ctrlProp" Target="../ctrlProps/ctrlProp232.xml"/><Relationship Id="rId17" Type="http://schemas.openxmlformats.org/officeDocument/2006/relationships/ctrlProp" Target="../ctrlProps/ctrlProp237.xml"/><Relationship Id="rId2" Type="http://schemas.openxmlformats.org/officeDocument/2006/relationships/drawing" Target="../drawings/drawing19.xml"/><Relationship Id="rId16" Type="http://schemas.openxmlformats.org/officeDocument/2006/relationships/ctrlProp" Target="../ctrlProps/ctrlProp236.xml"/><Relationship Id="rId20" Type="http://schemas.openxmlformats.org/officeDocument/2006/relationships/ctrlProp" Target="../ctrlProps/ctrlProp240.xml"/><Relationship Id="rId1" Type="http://schemas.openxmlformats.org/officeDocument/2006/relationships/printerSettings" Target="../printerSettings/printerSettings18.bin"/><Relationship Id="rId6" Type="http://schemas.openxmlformats.org/officeDocument/2006/relationships/ctrlProp" Target="../ctrlProps/ctrlProp226.xml"/><Relationship Id="rId11" Type="http://schemas.openxmlformats.org/officeDocument/2006/relationships/ctrlProp" Target="../ctrlProps/ctrlProp231.xml"/><Relationship Id="rId5" Type="http://schemas.openxmlformats.org/officeDocument/2006/relationships/ctrlProp" Target="../ctrlProps/ctrlProp225.xml"/><Relationship Id="rId15" Type="http://schemas.openxmlformats.org/officeDocument/2006/relationships/ctrlProp" Target="../ctrlProps/ctrlProp235.xml"/><Relationship Id="rId10" Type="http://schemas.openxmlformats.org/officeDocument/2006/relationships/ctrlProp" Target="../ctrlProps/ctrlProp230.xml"/><Relationship Id="rId19" Type="http://schemas.openxmlformats.org/officeDocument/2006/relationships/ctrlProp" Target="../ctrlProps/ctrlProp239.xml"/><Relationship Id="rId4" Type="http://schemas.openxmlformats.org/officeDocument/2006/relationships/ctrlProp" Target="../ctrlProps/ctrlProp224.xml"/><Relationship Id="rId9" Type="http://schemas.openxmlformats.org/officeDocument/2006/relationships/ctrlProp" Target="../ctrlProps/ctrlProp229.xml"/><Relationship Id="rId14" Type="http://schemas.openxmlformats.org/officeDocument/2006/relationships/ctrlProp" Target="../ctrlProps/ctrlProp234.xml"/><Relationship Id="rId22" Type="http://schemas.openxmlformats.org/officeDocument/2006/relationships/ctrlProp" Target="../ctrlProps/ctrlProp242.xml"/></Relationships>
</file>

<file path=xl/worksheets/_rels/sheet22.xml.rels><?xml version="1.0" encoding="UTF-8" standalone="yes"?>
<Relationships xmlns="http://schemas.openxmlformats.org/package/2006/relationships"><Relationship Id="rId8" Type="http://schemas.openxmlformats.org/officeDocument/2006/relationships/ctrlProp" Target="../ctrlProps/ctrlProp247.xml"/><Relationship Id="rId13" Type="http://schemas.openxmlformats.org/officeDocument/2006/relationships/ctrlProp" Target="../ctrlProps/ctrlProp252.xml"/><Relationship Id="rId18" Type="http://schemas.openxmlformats.org/officeDocument/2006/relationships/ctrlProp" Target="../ctrlProps/ctrlProp257.xml"/><Relationship Id="rId3" Type="http://schemas.openxmlformats.org/officeDocument/2006/relationships/vmlDrawing" Target="../drawings/vmlDrawing12.vml"/><Relationship Id="rId21" Type="http://schemas.openxmlformats.org/officeDocument/2006/relationships/ctrlProp" Target="../ctrlProps/ctrlProp260.xml"/><Relationship Id="rId7" Type="http://schemas.openxmlformats.org/officeDocument/2006/relationships/ctrlProp" Target="../ctrlProps/ctrlProp246.xml"/><Relationship Id="rId12" Type="http://schemas.openxmlformats.org/officeDocument/2006/relationships/ctrlProp" Target="../ctrlProps/ctrlProp251.xml"/><Relationship Id="rId17" Type="http://schemas.openxmlformats.org/officeDocument/2006/relationships/ctrlProp" Target="../ctrlProps/ctrlProp256.xml"/><Relationship Id="rId2" Type="http://schemas.openxmlformats.org/officeDocument/2006/relationships/drawing" Target="../drawings/drawing20.xml"/><Relationship Id="rId16" Type="http://schemas.openxmlformats.org/officeDocument/2006/relationships/ctrlProp" Target="../ctrlProps/ctrlProp255.xml"/><Relationship Id="rId20" Type="http://schemas.openxmlformats.org/officeDocument/2006/relationships/ctrlProp" Target="../ctrlProps/ctrlProp259.xml"/><Relationship Id="rId1" Type="http://schemas.openxmlformats.org/officeDocument/2006/relationships/printerSettings" Target="../printerSettings/printerSettings19.bin"/><Relationship Id="rId6" Type="http://schemas.openxmlformats.org/officeDocument/2006/relationships/ctrlProp" Target="../ctrlProps/ctrlProp245.xml"/><Relationship Id="rId11" Type="http://schemas.openxmlformats.org/officeDocument/2006/relationships/ctrlProp" Target="../ctrlProps/ctrlProp250.xml"/><Relationship Id="rId5" Type="http://schemas.openxmlformats.org/officeDocument/2006/relationships/ctrlProp" Target="../ctrlProps/ctrlProp244.xml"/><Relationship Id="rId15" Type="http://schemas.openxmlformats.org/officeDocument/2006/relationships/ctrlProp" Target="../ctrlProps/ctrlProp254.xml"/><Relationship Id="rId10" Type="http://schemas.openxmlformats.org/officeDocument/2006/relationships/ctrlProp" Target="../ctrlProps/ctrlProp249.xml"/><Relationship Id="rId19" Type="http://schemas.openxmlformats.org/officeDocument/2006/relationships/ctrlProp" Target="../ctrlProps/ctrlProp258.xml"/><Relationship Id="rId4" Type="http://schemas.openxmlformats.org/officeDocument/2006/relationships/ctrlProp" Target="../ctrlProps/ctrlProp243.xml"/><Relationship Id="rId9" Type="http://schemas.openxmlformats.org/officeDocument/2006/relationships/ctrlProp" Target="../ctrlProps/ctrlProp248.xml"/><Relationship Id="rId14" Type="http://schemas.openxmlformats.org/officeDocument/2006/relationships/ctrlProp" Target="../ctrlProps/ctrlProp253.xml"/><Relationship Id="rId22" Type="http://schemas.openxmlformats.org/officeDocument/2006/relationships/ctrlProp" Target="../ctrlProps/ctrlProp261.xml"/></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266.xml"/><Relationship Id="rId13" Type="http://schemas.openxmlformats.org/officeDocument/2006/relationships/ctrlProp" Target="../ctrlProps/ctrlProp271.xml"/><Relationship Id="rId18" Type="http://schemas.openxmlformats.org/officeDocument/2006/relationships/ctrlProp" Target="../ctrlProps/ctrlProp276.xml"/><Relationship Id="rId3" Type="http://schemas.openxmlformats.org/officeDocument/2006/relationships/vmlDrawing" Target="../drawings/vmlDrawing13.vml"/><Relationship Id="rId21" Type="http://schemas.openxmlformats.org/officeDocument/2006/relationships/ctrlProp" Target="../ctrlProps/ctrlProp279.xml"/><Relationship Id="rId7" Type="http://schemas.openxmlformats.org/officeDocument/2006/relationships/ctrlProp" Target="../ctrlProps/ctrlProp265.xml"/><Relationship Id="rId12" Type="http://schemas.openxmlformats.org/officeDocument/2006/relationships/ctrlProp" Target="../ctrlProps/ctrlProp270.xml"/><Relationship Id="rId17" Type="http://schemas.openxmlformats.org/officeDocument/2006/relationships/ctrlProp" Target="../ctrlProps/ctrlProp275.xml"/><Relationship Id="rId2" Type="http://schemas.openxmlformats.org/officeDocument/2006/relationships/drawing" Target="../drawings/drawing21.xml"/><Relationship Id="rId16" Type="http://schemas.openxmlformats.org/officeDocument/2006/relationships/ctrlProp" Target="../ctrlProps/ctrlProp274.xml"/><Relationship Id="rId20" Type="http://schemas.openxmlformats.org/officeDocument/2006/relationships/ctrlProp" Target="../ctrlProps/ctrlProp278.xml"/><Relationship Id="rId1" Type="http://schemas.openxmlformats.org/officeDocument/2006/relationships/printerSettings" Target="../printerSettings/printerSettings20.bin"/><Relationship Id="rId6" Type="http://schemas.openxmlformats.org/officeDocument/2006/relationships/ctrlProp" Target="../ctrlProps/ctrlProp264.xml"/><Relationship Id="rId11" Type="http://schemas.openxmlformats.org/officeDocument/2006/relationships/ctrlProp" Target="../ctrlProps/ctrlProp269.xml"/><Relationship Id="rId24" Type="http://schemas.openxmlformats.org/officeDocument/2006/relationships/ctrlProp" Target="../ctrlProps/ctrlProp282.xml"/><Relationship Id="rId5" Type="http://schemas.openxmlformats.org/officeDocument/2006/relationships/ctrlProp" Target="../ctrlProps/ctrlProp263.xml"/><Relationship Id="rId15" Type="http://schemas.openxmlformats.org/officeDocument/2006/relationships/ctrlProp" Target="../ctrlProps/ctrlProp273.xml"/><Relationship Id="rId23" Type="http://schemas.openxmlformats.org/officeDocument/2006/relationships/ctrlProp" Target="../ctrlProps/ctrlProp281.xml"/><Relationship Id="rId10" Type="http://schemas.openxmlformats.org/officeDocument/2006/relationships/ctrlProp" Target="../ctrlProps/ctrlProp268.xml"/><Relationship Id="rId19" Type="http://schemas.openxmlformats.org/officeDocument/2006/relationships/ctrlProp" Target="../ctrlProps/ctrlProp277.xml"/><Relationship Id="rId4" Type="http://schemas.openxmlformats.org/officeDocument/2006/relationships/ctrlProp" Target="../ctrlProps/ctrlProp262.xml"/><Relationship Id="rId9" Type="http://schemas.openxmlformats.org/officeDocument/2006/relationships/ctrlProp" Target="../ctrlProps/ctrlProp267.xml"/><Relationship Id="rId14" Type="http://schemas.openxmlformats.org/officeDocument/2006/relationships/ctrlProp" Target="../ctrlProps/ctrlProp272.xml"/><Relationship Id="rId22" Type="http://schemas.openxmlformats.org/officeDocument/2006/relationships/ctrlProp" Target="../ctrlProps/ctrlProp28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1:AB64"/>
  <sheetViews>
    <sheetView topLeftCell="B1" zoomScale="85" zoomScaleNormal="85" workbookViewId="0">
      <selection activeCell="G15" sqref="G15"/>
    </sheetView>
  </sheetViews>
  <sheetFormatPr defaultColWidth="8.81640625" defaultRowHeight="14.5" x14ac:dyDescent="0.35"/>
  <cols>
    <col min="1" max="1" width="0" hidden="1" customWidth="1"/>
    <col min="2" max="2" width="9.453125" customWidth="1"/>
    <col min="3" max="3" width="18.453125" style="7" bestFit="1" customWidth="1"/>
    <col min="4" max="4" width="26.81640625" style="5" customWidth="1"/>
    <col min="5" max="6" width="13.1796875" customWidth="1"/>
    <col min="7" max="7" width="15.1796875" customWidth="1"/>
    <col min="8" max="8" width="13.1796875" customWidth="1"/>
    <col min="9" max="9" width="14.81640625" customWidth="1"/>
    <col min="10" max="10" width="6.453125" customWidth="1"/>
    <col min="11" max="11" width="15.1796875" customWidth="1"/>
    <col min="12" max="12" width="12.1796875" customWidth="1"/>
    <col min="13" max="13" width="17" bestFit="1" customWidth="1"/>
    <col min="14" max="14" width="19.453125" bestFit="1" customWidth="1"/>
    <col min="15" max="15" width="10.81640625" customWidth="1"/>
    <col min="16" max="17" width="14" customWidth="1"/>
    <col min="18" max="18" width="12.81640625" customWidth="1"/>
    <col min="21" max="21" width="12.81640625" customWidth="1"/>
    <col min="22" max="22" width="12" customWidth="1"/>
    <col min="23" max="23" width="15.453125" customWidth="1"/>
    <col min="26" max="26" width="10.1796875" customWidth="1"/>
    <col min="28" max="28" width="11.453125" customWidth="1"/>
  </cols>
  <sheetData>
    <row r="1" spans="2:28" x14ac:dyDescent="0.35">
      <c r="D1" s="310" t="s">
        <v>708</v>
      </c>
      <c r="E1" s="311" t="s">
        <v>709</v>
      </c>
      <c r="L1" s="2"/>
    </row>
    <row r="2" spans="2:28" ht="29" x14ac:dyDescent="0.35">
      <c r="E2" s="21" t="s">
        <v>34</v>
      </c>
      <c r="L2" s="21" t="s">
        <v>130</v>
      </c>
      <c r="P2" s="133" t="s">
        <v>167</v>
      </c>
      <c r="Q2" s="133" t="s">
        <v>270</v>
      </c>
      <c r="U2" s="50" t="s">
        <v>138</v>
      </c>
      <c r="Z2" s="50" t="s">
        <v>135</v>
      </c>
    </row>
    <row r="3" spans="2:28" x14ac:dyDescent="0.35">
      <c r="C3"/>
      <c r="D3" s="249" t="s">
        <v>35</v>
      </c>
      <c r="E3" s="58">
        <v>2300</v>
      </c>
      <c r="F3" t="s">
        <v>33</v>
      </c>
      <c r="G3" s="418" t="s">
        <v>924</v>
      </c>
      <c r="H3" s="419">
        <f>250</f>
        <v>250</v>
      </c>
      <c r="I3" t="s">
        <v>27</v>
      </c>
      <c r="K3" s="60" t="s">
        <v>131</v>
      </c>
      <c r="L3" s="67">
        <f>L7*H10*379.49*100/(E10*60*L10)</f>
        <v>1393.7789312977097</v>
      </c>
      <c r="M3" s="26" t="s">
        <v>33</v>
      </c>
      <c r="O3" s="25" t="s">
        <v>133</v>
      </c>
      <c r="P3" s="261">
        <v>1.7717236959608635</v>
      </c>
      <c r="Q3" s="134" t="s">
        <v>408</v>
      </c>
      <c r="U3" s="60" t="s">
        <v>131</v>
      </c>
      <c r="V3" s="58">
        <f>E19</f>
        <v>2300.2759999999998</v>
      </c>
      <c r="W3" t="s">
        <v>33</v>
      </c>
      <c r="Z3" s="60" t="s">
        <v>131</v>
      </c>
      <c r="AA3" s="53">
        <v>1</v>
      </c>
      <c r="AB3" t="s">
        <v>33</v>
      </c>
    </row>
    <row r="4" spans="2:28" x14ac:dyDescent="0.35">
      <c r="C4"/>
      <c r="D4" s="249" t="s">
        <v>1</v>
      </c>
      <c r="E4" s="9">
        <v>65</v>
      </c>
      <c r="F4" t="s">
        <v>5</v>
      </c>
      <c r="G4" s="52"/>
      <c r="H4">
        <f>H3/E3</f>
        <v>0.10869565217391304</v>
      </c>
      <c r="K4" s="60" t="s">
        <v>1</v>
      </c>
      <c r="L4" s="53">
        <v>150</v>
      </c>
      <c r="M4" t="s">
        <v>5</v>
      </c>
      <c r="O4" t="s">
        <v>141</v>
      </c>
      <c r="P4" s="3">
        <f>IF(Q3="NA",+(P3*E19-E19),+(Q3*E19-E19))</f>
        <v>1775.1774964500714</v>
      </c>
      <c r="Q4" s="123" t="s">
        <v>27</v>
      </c>
      <c r="U4" s="60" t="s">
        <v>1</v>
      </c>
      <c r="V4" s="53">
        <v>63</v>
      </c>
      <c r="W4" t="s">
        <v>5</v>
      </c>
      <c r="Z4" s="60" t="s">
        <v>1</v>
      </c>
      <c r="AA4" s="53">
        <v>1</v>
      </c>
      <c r="AB4" t="s">
        <v>5</v>
      </c>
    </row>
    <row r="5" spans="2:28" x14ac:dyDescent="0.35">
      <c r="C5"/>
      <c r="D5" s="249" t="s">
        <v>0</v>
      </c>
      <c r="E5" s="9">
        <v>70</v>
      </c>
      <c r="F5" t="s">
        <v>4</v>
      </c>
      <c r="G5" s="52"/>
      <c r="K5" s="60" t="s">
        <v>0</v>
      </c>
      <c r="L5" s="53">
        <v>51.7</v>
      </c>
      <c r="M5" t="s">
        <v>4</v>
      </c>
      <c r="U5" s="60" t="s">
        <v>0</v>
      </c>
      <c r="V5" s="53">
        <f>E5</f>
        <v>70</v>
      </c>
      <c r="W5" t="s">
        <v>4</v>
      </c>
      <c r="Z5" s="60" t="s">
        <v>0</v>
      </c>
      <c r="AA5" s="53">
        <v>1</v>
      </c>
      <c r="AB5" t="s">
        <v>4</v>
      </c>
    </row>
    <row r="6" spans="2:28" x14ac:dyDescent="0.35">
      <c r="C6"/>
      <c r="D6" s="10"/>
      <c r="E6" s="54">
        <f>(E5-32)*5/9</f>
        <v>21.111111111111111</v>
      </c>
      <c r="F6" t="s">
        <v>127</v>
      </c>
      <c r="K6" s="61"/>
      <c r="L6" s="54">
        <f>(L5-32)*5/9</f>
        <v>10.944444444444446</v>
      </c>
      <c r="M6" t="s">
        <v>127</v>
      </c>
      <c r="P6" s="93"/>
      <c r="Q6" s="93"/>
      <c r="U6" s="61"/>
      <c r="V6" s="54">
        <f>(V5-32)*5/9</f>
        <v>21.111111111111111</v>
      </c>
      <c r="W6" t="s">
        <v>127</v>
      </c>
      <c r="Z6" s="61"/>
      <c r="AA6" s="54">
        <f>(AA5-32)*5/9</f>
        <v>-17.222222222222221</v>
      </c>
      <c r="AB6" t="s">
        <v>127</v>
      </c>
    </row>
    <row r="7" spans="2:28" x14ac:dyDescent="0.35">
      <c r="C7"/>
      <c r="D7" s="10"/>
      <c r="E7" s="54"/>
      <c r="K7" s="60" t="s">
        <v>41</v>
      </c>
      <c r="L7" s="22">
        <v>0.99</v>
      </c>
      <c r="P7" s="93"/>
      <c r="Q7" s="93"/>
      <c r="R7" s="54"/>
      <c r="S7" s="67"/>
      <c r="U7" s="60"/>
      <c r="V7" s="24"/>
      <c r="X7" s="67"/>
      <c r="Z7" s="60"/>
      <c r="AA7" s="24"/>
    </row>
    <row r="8" spans="2:28" x14ac:dyDescent="0.35">
      <c r="C8" s="50" t="s">
        <v>132</v>
      </c>
      <c r="D8" s="10"/>
    </row>
    <row r="9" spans="2:28" s="35" customFormat="1" ht="58" x14ac:dyDescent="0.35">
      <c r="C9" s="21" t="s">
        <v>37</v>
      </c>
      <c r="D9" s="250" t="s">
        <v>24</v>
      </c>
      <c r="E9" s="21" t="s">
        <v>36</v>
      </c>
      <c r="F9" s="21" t="s">
        <v>121</v>
      </c>
      <c r="G9" s="62" t="s">
        <v>710</v>
      </c>
      <c r="H9" s="62" t="s">
        <v>128</v>
      </c>
      <c r="I9" s="62" t="s">
        <v>142</v>
      </c>
      <c r="J9" s="62"/>
      <c r="K9" s="21" t="s">
        <v>121</v>
      </c>
      <c r="L9" s="62" t="s">
        <v>129</v>
      </c>
      <c r="M9" s="62" t="s">
        <v>134</v>
      </c>
      <c r="N9" s="62" t="s">
        <v>143</v>
      </c>
      <c r="O9" s="62"/>
      <c r="P9" s="62" t="s">
        <v>162</v>
      </c>
      <c r="Q9" s="62" t="s">
        <v>271</v>
      </c>
      <c r="R9" s="62" t="s">
        <v>165</v>
      </c>
      <c r="S9" s="21"/>
      <c r="T9" s="21" t="s">
        <v>121</v>
      </c>
      <c r="U9" s="21" t="s">
        <v>39</v>
      </c>
      <c r="V9" s="62" t="s">
        <v>128</v>
      </c>
      <c r="W9" s="62" t="s">
        <v>144</v>
      </c>
      <c r="X9" s="21"/>
      <c r="Y9" s="21" t="s">
        <v>121</v>
      </c>
      <c r="Z9" s="21" t="s">
        <v>39</v>
      </c>
      <c r="AA9" s="62" t="s">
        <v>128</v>
      </c>
      <c r="AB9" s="62" t="s">
        <v>145</v>
      </c>
    </row>
    <row r="10" spans="2:28" x14ac:dyDescent="0.35">
      <c r="C10" s="7">
        <v>1</v>
      </c>
      <c r="D10" s="5" t="s">
        <v>7</v>
      </c>
      <c r="E10" s="2">
        <v>16.04</v>
      </c>
      <c r="F10" s="53" t="s">
        <v>122</v>
      </c>
      <c r="G10" s="56">
        <v>60.14</v>
      </c>
      <c r="H10" s="59">
        <f>IF($F10="Vol%",+($E$3*$G10*$E10*60/(100*379.49)),IF($F10="SCFM",+($G10*$E10*60/379.49),IF(F10="ppm",+($G10*(10^-6)*$E$3*$E10*60/379.49),IF(F10="lb/MMSCF",+($G10*$E$3*60*(10^-6)),IF(F10="Saturated",+((6.1121*EXP((17.502*$E$6)/(240.97+$E$6)))*0.1*0.145038/($E$4+14.7)*$E$3*$E10*60/379.49),$G10)))))</f>
        <v>3507.8946164589315</v>
      </c>
      <c r="I10" s="96">
        <f>($H10/$E10)/($H$10/$E$10+$H$11/$E$11+$H$12/$E$12+$H$13/$E$13+$H$14/$E$14+$H$15/$E$15+$H$16/$E$16)*100</f>
        <v>60.132784065912084</v>
      </c>
      <c r="J10" s="59"/>
      <c r="K10" s="53" t="s">
        <v>122</v>
      </c>
      <c r="L10" s="56">
        <v>98.25</v>
      </c>
      <c r="M10" s="59">
        <f>IF($K10="Vol%",+($L$3*$L10*$E10*60/(100*379.49)),IF($K10="SCFM",+($L10*$E10*60/379.49),IF(K10="ppm",+($L10*(10^-6)*$L$3*$E10*60/379.49),IF(K10="lb/MMSCF",+($L10*$L$3*60*(10^-6)),IF(K10="Saturated",+((6.1121*EXP((17.502*$L$6)/(240.97+$L$6)))*0.1*0.145038/($L$4+14.7)*$L$3*$E10*60/379.49),$L10)))))</f>
        <v>3472.815670294342</v>
      </c>
      <c r="N10" s="59">
        <f>($M10/$E10)/($M$10/$E$10+$M$11/$E$11+$M$12/$E$12+$M$13/$E$13+$M$14/$E$14+$M$15/$E$15+$M$16/$E$16)*100</f>
        <v>98.243929242640988</v>
      </c>
      <c r="O10" s="59"/>
      <c r="P10" s="56">
        <v>51.82</v>
      </c>
      <c r="Q10" s="135" t="s">
        <v>408</v>
      </c>
      <c r="R10" s="265">
        <f>IF(Q10="NA",+($P$4*E10*P10*60/(100*379.49)),+($P$4*E10*Q10*60/(100*379.49)))</f>
        <v>2332.8911229882078</v>
      </c>
      <c r="S10" s="124"/>
      <c r="T10" s="53" t="s">
        <v>3</v>
      </c>
      <c r="U10" s="56">
        <f>H10</f>
        <v>3507.8946164589315</v>
      </c>
      <c r="V10" s="66">
        <f t="shared" ref="V10:V16" si="0">IF($T10="Vol%",+($V$3*$U10*$E10*60/(100*379.3)),IF($T10="SCFM",+($U10*$E10*60/379.49),IF(T10="ppm",+($U10*(10^-6)*$V$3*$E10*60/379.49),IF(T10="lb/MMSCF",+($U10*$V$3*60*(10^-6)),IF(T10="Saturated",+((6.1121*EXP((17.502*$V$6)/(240.97+$V$6)))*0.1*0.145038/($V$4+14.7)*$V$3*$E10*60/379.49),$U10)))))</f>
        <v>3507.8946164589315</v>
      </c>
      <c r="W10" s="71">
        <f t="shared" ref="W10:W16" si="1">($V10/$E10)/($V$10/$E$10+$V$11/$E$11+$V$12/$E$12+$V$13/$E$13+$V$14/$E$14+$V$15/$E$15+$V$16/$E$16)*100</f>
        <v>60.13554994043934</v>
      </c>
      <c r="X10" s="64"/>
      <c r="Y10" s="53" t="s">
        <v>122</v>
      </c>
      <c r="Z10" s="56">
        <v>60.23</v>
      </c>
      <c r="AA10" s="59">
        <f t="shared" ref="AA10:AA16" si="2">IF($Y10="Vol%",+($AA$3*$Z10*$E10*60/(100*379.49)),IF($Y10="SCFM",+($Z10*$E10*60/379.49),IF(Y10="ppm",+($Z10*(10^-6)*$AA$3*$E10*60/379.49),IF(Y10="lb/MMSCF",+($Z10*$AA$3*60*(10^-6)),IF(Y10="Saturated",+((6.1121*EXP((17.502*$AA$6)/(240.97+$AA$6)))*0.1*0.145038/($AA$4+14.7)*$AA$3*$E10*60/379.49),$Z10)))))</f>
        <v>1.5274540040580777</v>
      </c>
      <c r="AB10" s="59">
        <f>($H10/$E10)/($H$10/$E$10+$H$11/$E$11+$H$12/$E$12+$H$13/$E$13+$H$14/$E$14+$H$15/$E$15+$H$16/$E$16)*100</f>
        <v>60.132784065912084</v>
      </c>
    </row>
    <row r="11" spans="2:28" x14ac:dyDescent="0.35">
      <c r="C11" s="7">
        <v>2</v>
      </c>
      <c r="D11" s="5" t="s">
        <v>8</v>
      </c>
      <c r="E11" s="2">
        <v>44.01</v>
      </c>
      <c r="F11" s="53" t="s">
        <v>122</v>
      </c>
      <c r="G11" s="57">
        <v>38.340000000000003</v>
      </c>
      <c r="H11" s="66">
        <f t="shared" ref="H11:H16" si="3">IF($F11="Vol%",+($E$3*$G11*$E11*60/(100*379.49)),IF($F11="SCFM",+($G11*$E11*60/379.49),IF(F11="ppm",+($G11*(10^-6)*$E$3*$E11*60/379.49),IF(F11="lb/MMSCF",+($G11*$E$3*60*(10^-6)),IF(F11="Saturated",+((6.1121*EXP((17.502*$E$6)/(240.97+$E$6)))*0.1*0.145038/($E$4+14.7)*$E$3*$E11*60/379.49),$G11)))))</f>
        <v>6135.9558670847719</v>
      </c>
      <c r="I11" s="96">
        <f t="shared" ref="I11:I16" si="4">($H11/$E11)/($H$10/$E$10+$H$11/$E$11+$H$12/$E$12+$H$13/$E$13+$H$14/$E$14+$H$15/$E$15+$H$16/$E$16)*100</f>
        <v>38.335399752029751</v>
      </c>
      <c r="J11" s="59"/>
      <c r="K11" s="53" t="s">
        <v>122</v>
      </c>
      <c r="L11" s="57">
        <v>0.15</v>
      </c>
      <c r="M11" s="59">
        <f>IF($K11="Vol%",+($L$3*$L11*$E11*60/(100*379.3)),IF($K11="SCFM",+($L11*$E11*60/379.3),IF(K11="ppm",+($L11*(10^-6)*$L$3*$E11*60/379.3),IF(K11="lb/MMSCF",+($L11*$L$3*60*(10^-6)),IF(K11="Saturated",+((6.1121*EXP((17.502*$L$6)/(240.97+$L$6)))*0.1*0.145038/($L$4+14.7)*$L$3*$E11*60/379.3),$L11)))))</f>
        <v>14.554756047922748</v>
      </c>
      <c r="N11" s="59">
        <f t="shared" ref="N11:N16" si="5">($M11/$E11)/($M$10/$E$10+$M$11/$E$11+$M$12/$E$12+$M$13/$E$13+$M$14/$E$14+$M$15/$E$15+$M$16/$E$16)*100</f>
        <v>0.15006586543830169</v>
      </c>
      <c r="O11" s="59"/>
      <c r="P11" s="56">
        <v>45.44</v>
      </c>
      <c r="Q11" s="135" t="s">
        <v>408</v>
      </c>
      <c r="R11" s="265">
        <f t="shared" ref="R11:R16" si="6">IF(Q11="NA",+($P$4*E11*P11*60/(100*379.49)),+($P$4*E11*Q11*60/(100*379.49)))</f>
        <v>5612.8364699309095</v>
      </c>
      <c r="S11" s="64"/>
      <c r="T11" s="53" t="s">
        <v>3</v>
      </c>
      <c r="U11" s="56">
        <f>H11</f>
        <v>6135.9558670847719</v>
      </c>
      <c r="V11" s="59">
        <f t="shared" si="0"/>
        <v>6135.9558670847719</v>
      </c>
      <c r="W11" s="59">
        <f t="shared" si="1"/>
        <v>38.337163031533819</v>
      </c>
      <c r="X11" s="64"/>
      <c r="Y11" s="53" t="s">
        <v>122</v>
      </c>
      <c r="Z11" s="57">
        <v>38.869999999999997</v>
      </c>
      <c r="AA11" s="66">
        <f t="shared" si="2"/>
        <v>2.7046858151729949</v>
      </c>
      <c r="AB11" s="59">
        <f t="shared" ref="AB11:AB16" si="7">($H11/$E11)/($H$10/$E$10+$H$11/$E$11+$H$12/$E$12+$H$13/$E$13+$H$14/$E$14+$H$15/$E$15+$H$16/$E$16)*100</f>
        <v>38.335399752029751</v>
      </c>
    </row>
    <row r="12" spans="2:28" x14ac:dyDescent="0.35">
      <c r="B12" s="7"/>
      <c r="C12" s="7">
        <v>3</v>
      </c>
      <c r="D12" s="5" t="s">
        <v>9</v>
      </c>
      <c r="E12" s="2">
        <v>28.013999999999999</v>
      </c>
      <c r="F12" s="53" t="s">
        <v>122</v>
      </c>
      <c r="G12" s="56">
        <v>0.94</v>
      </c>
      <c r="H12" s="66">
        <f t="shared" si="3"/>
        <v>95.759468760705147</v>
      </c>
      <c r="I12" s="96">
        <f t="shared" si="4"/>
        <v>0.93988721353437577</v>
      </c>
      <c r="J12" s="59"/>
      <c r="K12" s="53" t="s">
        <v>122</v>
      </c>
      <c r="L12" s="56">
        <v>1.49</v>
      </c>
      <c r="M12" s="59">
        <f t="shared" ref="M12:M16" si="8">IF($K12="Vol%",+($L$3*$L12*$E12*60/(100*379.3)),IF($K12="SCFM",+($L12*$E12*60/379.3),IF(K12="ppm",+($L12*(10^-6)*$L$3*$E12*60/379.3),IF(K12="lb/MMSCF",+($L12*$L$3*60*(10^-6)),IF(K12="Saturated",+((6.1121*EXP((17.502*$L$6)/(240.97+$L$6)))*0.1*0.145038/($L$4+14.7)*$L$3*$E12*60/379.3),$L12)))))</f>
        <v>92.028786568279443</v>
      </c>
      <c r="N12" s="59">
        <f t="shared" si="5"/>
        <v>1.4906542633537969</v>
      </c>
      <c r="O12" s="59"/>
      <c r="P12" s="56">
        <v>1.22</v>
      </c>
      <c r="Q12" s="135" t="s">
        <v>408</v>
      </c>
      <c r="R12" s="265">
        <f t="shared" si="6"/>
        <v>95.924082284709172</v>
      </c>
      <c r="S12" s="64"/>
      <c r="T12" s="53" t="s">
        <v>3</v>
      </c>
      <c r="U12" s="56">
        <f>H12</f>
        <v>95.759468760705147</v>
      </c>
      <c r="V12" s="66">
        <f t="shared" si="0"/>
        <v>95.759468760705147</v>
      </c>
      <c r="W12" s="71">
        <f t="shared" si="1"/>
        <v>0.93993044469592568</v>
      </c>
      <c r="X12" s="64"/>
      <c r="Y12" s="53" t="s">
        <v>122</v>
      </c>
      <c r="Z12" s="56">
        <v>0.53</v>
      </c>
      <c r="AA12" s="66">
        <f t="shared" si="2"/>
        <v>2.3474800389997101E-2</v>
      </c>
      <c r="AB12" s="59">
        <f t="shared" si="7"/>
        <v>0.93988721353437577</v>
      </c>
    </row>
    <row r="13" spans="2:28" x14ac:dyDescent="0.35">
      <c r="B13" s="7"/>
      <c r="C13" s="7">
        <v>4</v>
      </c>
      <c r="D13" s="5" t="s">
        <v>10</v>
      </c>
      <c r="E13" s="90">
        <v>32</v>
      </c>
      <c r="F13" s="53" t="s">
        <v>122</v>
      </c>
      <c r="G13" s="56">
        <v>0.46</v>
      </c>
      <c r="H13" s="66">
        <f t="shared" si="3"/>
        <v>53.528683232759754</v>
      </c>
      <c r="I13" s="96">
        <f t="shared" si="4"/>
        <v>0.45994480662320519</v>
      </c>
      <c r="J13" s="59"/>
      <c r="K13" s="53" t="s">
        <v>122</v>
      </c>
      <c r="L13" s="56">
        <v>0.1</v>
      </c>
      <c r="M13" s="59">
        <f t="shared" si="8"/>
        <v>7.05524795173109</v>
      </c>
      <c r="N13" s="59">
        <f t="shared" si="5"/>
        <v>0.10004391029220111</v>
      </c>
      <c r="O13" s="59"/>
      <c r="P13" s="56">
        <v>1.46</v>
      </c>
      <c r="Q13" s="135" t="s">
        <v>408</v>
      </c>
      <c r="R13" s="265">
        <f t="shared" si="6"/>
        <v>131.12802861864188</v>
      </c>
      <c r="S13" s="64"/>
      <c r="T13" s="53" t="s">
        <v>3</v>
      </c>
      <c r="U13" s="56">
        <f>H13</f>
        <v>53.528683232759754</v>
      </c>
      <c r="V13" s="66">
        <f t="shared" si="0"/>
        <v>53.528683232759754</v>
      </c>
      <c r="W13" s="71">
        <f t="shared" si="1"/>
        <v>0.45996596229800613</v>
      </c>
      <c r="X13" s="64"/>
      <c r="Y13" s="53" t="s">
        <v>122</v>
      </c>
      <c r="Z13" s="56">
        <v>0.24</v>
      </c>
      <c r="AA13" s="66">
        <f t="shared" si="2"/>
        <v>1.2142612453556087E-2</v>
      </c>
      <c r="AB13" s="59">
        <f t="shared" si="7"/>
        <v>0.45994480662320519</v>
      </c>
    </row>
    <row r="14" spans="2:28" x14ac:dyDescent="0.35">
      <c r="B14" s="7"/>
      <c r="C14" s="7">
        <v>5</v>
      </c>
      <c r="D14" s="5" t="s">
        <v>11</v>
      </c>
      <c r="E14" s="2">
        <v>34.08</v>
      </c>
      <c r="F14" s="53" t="s">
        <v>123</v>
      </c>
      <c r="G14" s="56">
        <v>50</v>
      </c>
      <c r="H14" s="66">
        <f t="shared" si="3"/>
        <v>0.61965269177053406</v>
      </c>
      <c r="I14" s="96">
        <f>($H14/$E14)/($H$10/$E$10+$H$11/$E$11+$H$12/$E$12+$H$13/$E$13+$H$14/$E$14+$H$15/$E$15+$H$16/$E$16)*100</f>
        <v>4.999400071991361E-3</v>
      </c>
      <c r="J14" s="59"/>
      <c r="K14" s="53" t="s">
        <v>123</v>
      </c>
      <c r="L14" s="56">
        <v>4</v>
      </c>
      <c r="M14" s="59">
        <f t="shared" si="8"/>
        <v>3.0055356274374445E-2</v>
      </c>
      <c r="N14" s="59">
        <f t="shared" si="5"/>
        <v>4.0017564116880447E-4</v>
      </c>
      <c r="O14" s="59"/>
      <c r="P14" s="56">
        <v>5.9999999999999995E-4</v>
      </c>
      <c r="Q14" s="135" t="s">
        <v>408</v>
      </c>
      <c r="R14" s="265">
        <f t="shared" si="6"/>
        <v>5.7390965950213799E-2</v>
      </c>
      <c r="S14" s="64"/>
      <c r="T14" s="53" t="s">
        <v>123</v>
      </c>
      <c r="U14" s="56">
        <v>4</v>
      </c>
      <c r="V14" s="66">
        <f>IF($T14="Vol%",+($V$3*$U14*$E14*60/(100*379.3)),IF($T14="SCFM",+($U14*$E14*60/379.49),IF(T14="ppm",+($U14*(10^-6)*$V$3*$E14*60/379.49),IF(T14="lb/MMSCF",+($U14*$V$3*60*(10^-6)),IF(T14="Saturated",+((6.1121*EXP((17.502*$V$6)/(240.97+$V$6)))*0.1*0.145038/($V$4+14.7)*$V$3*$E14*60/379.49),$U14)))))</f>
        <v>4.9578164007483709E-2</v>
      </c>
      <c r="W14" s="71">
        <f t="shared" si="1"/>
        <v>4.0001839844650591E-4</v>
      </c>
      <c r="X14" s="64"/>
      <c r="Y14" s="53" t="s">
        <v>123</v>
      </c>
      <c r="Z14" s="56">
        <v>95.3</v>
      </c>
      <c r="AA14" s="66">
        <f t="shared" si="2"/>
        <v>5.1350349152810349E-4</v>
      </c>
      <c r="AB14" s="59">
        <f t="shared" si="7"/>
        <v>4.999400071991361E-3</v>
      </c>
    </row>
    <row r="15" spans="2:28" x14ac:dyDescent="0.35">
      <c r="B15" s="7"/>
      <c r="C15" s="7">
        <v>6</v>
      </c>
      <c r="D15" s="5" t="s">
        <v>12</v>
      </c>
      <c r="E15" s="2">
        <v>18.02</v>
      </c>
      <c r="F15" s="53" t="s">
        <v>122</v>
      </c>
      <c r="G15" s="262">
        <v>0.127</v>
      </c>
      <c r="H15" s="66">
        <f t="shared" si="3"/>
        <v>8.3221829297214693</v>
      </c>
      <c r="I15" s="96">
        <f>($H15/$E15)/($H$10/$E$10+$H$11/$E$11+$H$12/$E$12+$H$13/$E$13+$H$14/$E$14+$H$15/$E$15+$H$16/$E$16)*100</f>
        <v>0.12698476182858059</v>
      </c>
      <c r="J15" s="59"/>
      <c r="K15" s="53" t="s">
        <v>122</v>
      </c>
      <c r="L15" s="261">
        <v>1.49E-2</v>
      </c>
      <c r="M15" s="59">
        <f t="shared" si="8"/>
        <v>0.59197498891996703</v>
      </c>
      <c r="N15" s="59">
        <f t="shared" si="5"/>
        <v>1.4906542633537969E-2</v>
      </c>
      <c r="O15" s="59"/>
      <c r="P15" s="56">
        <v>7.0000000000000007E-2</v>
      </c>
      <c r="Q15" s="135" t="s">
        <v>408</v>
      </c>
      <c r="R15" s="265">
        <f t="shared" si="6"/>
        <v>3.5403445055555403</v>
      </c>
      <c r="S15" s="64"/>
      <c r="T15" s="53" t="s">
        <v>3</v>
      </c>
      <c r="U15" s="56">
        <f>H15</f>
        <v>8.3221829297214693</v>
      </c>
      <c r="V15" s="66">
        <f t="shared" si="0"/>
        <v>8.3221829297214693</v>
      </c>
      <c r="W15" s="71">
        <f t="shared" si="1"/>
        <v>0.12699060263444958</v>
      </c>
      <c r="X15" s="64"/>
      <c r="Y15" s="53" t="s">
        <v>124</v>
      </c>
      <c r="Z15" s="56">
        <v>54.46</v>
      </c>
      <c r="AA15" s="66">
        <f t="shared" si="2"/>
        <v>3.2675999999999998E-3</v>
      </c>
      <c r="AB15" s="59">
        <f t="shared" si="7"/>
        <v>0.12698476182858059</v>
      </c>
    </row>
    <row r="16" spans="2:28" hidden="1" x14ac:dyDescent="0.35">
      <c r="B16" s="7"/>
      <c r="C16" s="7">
        <v>7</v>
      </c>
      <c r="D16" s="5" t="s">
        <v>32</v>
      </c>
      <c r="E16" s="2">
        <v>2</v>
      </c>
      <c r="F16" s="53" t="s">
        <v>122</v>
      </c>
      <c r="G16" s="56">
        <v>0</v>
      </c>
      <c r="H16" s="66">
        <f t="shared" si="3"/>
        <v>0</v>
      </c>
      <c r="I16" s="96">
        <f t="shared" si="4"/>
        <v>0</v>
      </c>
      <c r="J16" s="59"/>
      <c r="K16" s="53" t="s">
        <v>122</v>
      </c>
      <c r="L16" s="56">
        <v>0</v>
      </c>
      <c r="M16" s="59">
        <f t="shared" si="8"/>
        <v>0</v>
      </c>
      <c r="N16" s="59">
        <f t="shared" si="5"/>
        <v>0</v>
      </c>
      <c r="O16" s="59"/>
      <c r="P16" s="56">
        <v>0</v>
      </c>
      <c r="Q16" s="135" t="s">
        <v>408</v>
      </c>
      <c r="R16" s="124">
        <f t="shared" si="6"/>
        <v>0</v>
      </c>
      <c r="S16" s="64"/>
      <c r="T16" s="53" t="s">
        <v>3</v>
      </c>
      <c r="U16" s="56">
        <f>H16</f>
        <v>0</v>
      </c>
      <c r="V16" s="66">
        <f t="shared" si="0"/>
        <v>0</v>
      </c>
      <c r="W16" s="71">
        <f t="shared" si="1"/>
        <v>0</v>
      </c>
      <c r="X16" s="64"/>
      <c r="Y16" s="53" t="s">
        <v>122</v>
      </c>
      <c r="Z16" s="56">
        <v>0</v>
      </c>
      <c r="AA16" s="66">
        <f t="shared" si="2"/>
        <v>0</v>
      </c>
      <c r="AB16" s="59">
        <f t="shared" si="7"/>
        <v>0</v>
      </c>
    </row>
    <row r="17" spans="2:26" x14ac:dyDescent="0.35">
      <c r="B17" s="7"/>
      <c r="C17"/>
      <c r="D17" s="4"/>
      <c r="E17" s="23"/>
      <c r="F17" s="23"/>
      <c r="G17" s="263">
        <f>SUM(G10:G16)-G14+G14/10000</f>
        <v>100.012</v>
      </c>
      <c r="H17" s="23"/>
      <c r="I17" s="23"/>
      <c r="J17" s="23"/>
      <c r="K17" s="24"/>
      <c r="L17" s="263">
        <f>SUM(L10:L16)-L14+L14/10000</f>
        <v>100.00529999999999</v>
      </c>
      <c r="P17" s="263">
        <f>SUM(P10:P16)-P14+P14/10000</f>
        <v>100.01000005999998</v>
      </c>
      <c r="T17" s="264" t="s">
        <v>3</v>
      </c>
      <c r="U17" s="312"/>
      <c r="V17" s="313">
        <f>SUM(V10:V16)</f>
        <v>9801.510396630898</v>
      </c>
    </row>
    <row r="18" spans="2:26" x14ac:dyDescent="0.35">
      <c r="D18" s="5" t="s">
        <v>136</v>
      </c>
      <c r="E18" s="63">
        <f>SUM(H10:H16)/(H10/$E10+H11/$E11+H12/$E12+H13/$E13+H14/$E14+H15/$E15+H16/$E16)</f>
        <v>26.951776786785587</v>
      </c>
      <c r="G18" t="s">
        <v>163</v>
      </c>
      <c r="I18" s="71"/>
      <c r="L18" s="63"/>
      <c r="U18" t="s">
        <v>136</v>
      </c>
      <c r="V18" s="63">
        <f>SUM(V10:V16)/(V10/$E10+V11/$E11+V12/$E12+V13/$E13+V14/$E14+V15/$E15+V16/$E16)</f>
        <v>26.951448916201901</v>
      </c>
      <c r="Z18" s="63">
        <f>SUM(AA10:AA16)/(AA10/$E10+AA11/$E11+AA12/$E12+AA13/$E13+AA14/$E14+AA15/$E15+AA16/$E16)</f>
        <v>27.018329877694008</v>
      </c>
    </row>
    <row r="19" spans="2:26" x14ac:dyDescent="0.35">
      <c r="D19" s="5" t="s">
        <v>137</v>
      </c>
      <c r="E19" s="89">
        <f>SUM(H10:H16)*379.49/(E18*60)</f>
        <v>2300.2759999999998</v>
      </c>
      <c r="F19" s="75" t="s">
        <v>27</v>
      </c>
      <c r="L19" s="65"/>
      <c r="P19" s="71"/>
      <c r="Q19" s="71"/>
      <c r="U19" t="s">
        <v>137</v>
      </c>
      <c r="V19" s="51">
        <f>SUM(V10:V16)*379.49/(V18*60)</f>
        <v>2300.1702011040006</v>
      </c>
      <c r="W19" s="53" t="s">
        <v>27</v>
      </c>
      <c r="Z19" s="65">
        <f>SUM(AA10:AA16)*379.49/(Z18*60)</f>
        <v>0.99994219375138726</v>
      </c>
    </row>
    <row r="20" spans="2:26" x14ac:dyDescent="0.35">
      <c r="P20" s="71"/>
      <c r="Q20" s="71"/>
    </row>
    <row r="21" spans="2:26" x14ac:dyDescent="0.35">
      <c r="D21" s="251" t="s">
        <v>248</v>
      </c>
      <c r="E21" s="143" t="s">
        <v>222</v>
      </c>
      <c r="F21" s="430" t="s">
        <v>251</v>
      </c>
      <c r="G21" s="430"/>
      <c r="H21" s="430"/>
      <c r="P21" s="71"/>
      <c r="Q21" s="71"/>
    </row>
    <row r="22" spans="2:26" x14ac:dyDescent="0.35">
      <c r="D22" s="252" t="s">
        <v>256</v>
      </c>
      <c r="E22" s="100" t="s">
        <v>63</v>
      </c>
      <c r="F22" s="431">
        <v>95</v>
      </c>
      <c r="G22" s="431"/>
      <c r="H22" s="431"/>
      <c r="P22" s="71"/>
      <c r="Q22" s="71"/>
    </row>
    <row r="23" spans="2:26" ht="14.15" customHeight="1" x14ac:dyDescent="0.35">
      <c r="D23" s="252" t="s">
        <v>257</v>
      </c>
      <c r="E23" s="100" t="s">
        <v>238</v>
      </c>
      <c r="F23" s="431">
        <v>24</v>
      </c>
      <c r="G23" s="431"/>
      <c r="H23" s="431"/>
      <c r="P23" s="71"/>
      <c r="Q23" s="71"/>
    </row>
    <row r="24" spans="2:26" x14ac:dyDescent="0.35">
      <c r="D24" s="253" t="s">
        <v>258</v>
      </c>
      <c r="E24" s="100" t="s">
        <v>238</v>
      </c>
      <c r="F24" s="431">
        <v>101</v>
      </c>
      <c r="G24" s="431"/>
      <c r="H24" s="431"/>
      <c r="P24" s="71"/>
      <c r="Q24" s="71"/>
    </row>
    <row r="25" spans="2:26" x14ac:dyDescent="0.35">
      <c r="P25" s="71"/>
      <c r="Q25" s="71"/>
    </row>
    <row r="26" spans="2:26" x14ac:dyDescent="0.35">
      <c r="D26" s="254" t="s">
        <v>248</v>
      </c>
      <c r="E26" s="143" t="s">
        <v>222</v>
      </c>
      <c r="F26" s="143" t="s">
        <v>215</v>
      </c>
      <c r="G26" s="143" t="s">
        <v>218</v>
      </c>
      <c r="H26" s="143" t="s">
        <v>214</v>
      </c>
      <c r="P26" s="71"/>
      <c r="Q26" s="71"/>
    </row>
    <row r="27" spans="2:26" x14ac:dyDescent="0.35">
      <c r="D27" s="255" t="s">
        <v>266</v>
      </c>
      <c r="E27" s="100" t="s">
        <v>5</v>
      </c>
      <c r="F27" s="222">
        <v>120</v>
      </c>
      <c r="G27" s="222">
        <v>100</v>
      </c>
      <c r="H27" s="222">
        <v>80</v>
      </c>
      <c r="P27" s="71"/>
      <c r="Q27" s="71"/>
    </row>
    <row r="28" spans="2:26" x14ac:dyDescent="0.35">
      <c r="D28" s="255" t="s">
        <v>267</v>
      </c>
      <c r="E28" s="100" t="s">
        <v>238</v>
      </c>
      <c r="F28" s="222">
        <v>150</v>
      </c>
      <c r="G28" s="222">
        <v>100</v>
      </c>
      <c r="H28" s="100">
        <v>60</v>
      </c>
      <c r="P28" s="71"/>
      <c r="Q28" s="71"/>
    </row>
    <row r="29" spans="2:26" ht="26" x14ac:dyDescent="0.35">
      <c r="D29" s="255" t="s">
        <v>540</v>
      </c>
      <c r="E29" s="100" t="s">
        <v>5</v>
      </c>
      <c r="F29" s="222">
        <v>40</v>
      </c>
      <c r="G29" s="222">
        <v>25</v>
      </c>
      <c r="H29" s="222">
        <v>20</v>
      </c>
      <c r="P29" s="71"/>
      <c r="Q29" s="71"/>
    </row>
    <row r="30" spans="2:26" ht="26" x14ac:dyDescent="0.35">
      <c r="D30" s="255" t="s">
        <v>541</v>
      </c>
      <c r="E30" s="100" t="s">
        <v>238</v>
      </c>
      <c r="F30" s="222">
        <v>35</v>
      </c>
      <c r="G30" s="222">
        <v>30</v>
      </c>
      <c r="H30" s="222">
        <v>30</v>
      </c>
      <c r="P30" s="71"/>
      <c r="Q30" s="71"/>
    </row>
    <row r="31" spans="2:26" ht="26" x14ac:dyDescent="0.35">
      <c r="D31" s="256" t="s">
        <v>542</v>
      </c>
      <c r="E31" s="142" t="s">
        <v>238</v>
      </c>
      <c r="F31" s="243">
        <v>45</v>
      </c>
      <c r="G31" s="243">
        <v>40</v>
      </c>
      <c r="H31" s="243">
        <v>40</v>
      </c>
      <c r="P31" s="71"/>
      <c r="Q31" s="71"/>
    </row>
    <row r="32" spans="2:26" x14ac:dyDescent="0.35">
      <c r="P32" s="71"/>
      <c r="Q32" s="71"/>
    </row>
    <row r="33" spans="3:25" x14ac:dyDescent="0.35">
      <c r="P33" s="71"/>
      <c r="Q33" s="71"/>
    </row>
    <row r="34" spans="3:25" x14ac:dyDescent="0.35">
      <c r="P34" s="71"/>
      <c r="Q34" s="71"/>
    </row>
    <row r="35" spans="3:25" x14ac:dyDescent="0.35">
      <c r="P35" s="71"/>
      <c r="Q35" s="71"/>
    </row>
    <row r="37" spans="3:25" x14ac:dyDescent="0.35">
      <c r="S37" s="432"/>
      <c r="T37" s="432"/>
      <c r="U37" s="257"/>
      <c r="V37" s="257"/>
      <c r="W37" s="257"/>
      <c r="X37" s="257"/>
      <c r="Y37" s="258"/>
    </row>
    <row r="38" spans="3:25" x14ac:dyDescent="0.35">
      <c r="S38" s="433"/>
      <c r="T38" s="433"/>
      <c r="U38" s="259"/>
      <c r="V38" s="260"/>
      <c r="W38" s="260"/>
      <c r="X38" s="260"/>
      <c r="Y38" s="258"/>
    </row>
    <row r="39" spans="3:25" x14ac:dyDescent="0.35">
      <c r="S39" s="433"/>
      <c r="T39" s="433"/>
      <c r="U39" s="259"/>
      <c r="V39" s="260"/>
      <c r="W39" s="260"/>
      <c r="X39" s="259"/>
      <c r="Y39" s="258"/>
    </row>
    <row r="40" spans="3:25" x14ac:dyDescent="0.35">
      <c r="S40" s="433"/>
      <c r="T40" s="433"/>
      <c r="U40" s="259"/>
      <c r="V40" s="260"/>
      <c r="W40" s="260"/>
      <c r="X40" s="260"/>
      <c r="Y40" s="258"/>
    </row>
    <row r="41" spans="3:25" x14ac:dyDescent="0.35">
      <c r="S41" s="433"/>
      <c r="T41" s="433"/>
      <c r="U41" s="259"/>
      <c r="V41" s="260"/>
      <c r="W41" s="260"/>
      <c r="X41" s="260"/>
      <c r="Y41" s="258"/>
    </row>
    <row r="42" spans="3:25" x14ac:dyDescent="0.35">
      <c r="S42" s="433"/>
      <c r="T42" s="433"/>
      <c r="U42" s="259"/>
      <c r="V42" s="260"/>
      <c r="W42" s="260"/>
      <c r="X42" s="260"/>
      <c r="Y42" s="258"/>
    </row>
    <row r="43" spans="3:25" x14ac:dyDescent="0.35">
      <c r="S43" s="258"/>
      <c r="T43" s="258"/>
      <c r="U43" s="258"/>
      <c r="V43" s="258"/>
      <c r="W43" s="258"/>
      <c r="X43" s="258"/>
      <c r="Y43" s="258"/>
    </row>
    <row r="44" spans="3:25" x14ac:dyDescent="0.35">
      <c r="S44" s="258"/>
      <c r="T44" s="258"/>
      <c r="U44" s="258"/>
      <c r="V44" s="258"/>
      <c r="W44" s="258"/>
      <c r="X44" s="258"/>
      <c r="Y44" s="258"/>
    </row>
    <row r="45" spans="3:25" x14ac:dyDescent="0.35">
      <c r="C45" s="7" t="s">
        <v>209</v>
      </c>
      <c r="G45" s="94" t="s">
        <v>195</v>
      </c>
      <c r="H45" s="94" t="s">
        <v>201</v>
      </c>
      <c r="I45" s="94" t="s">
        <v>202</v>
      </c>
      <c r="K45" t="s">
        <v>3</v>
      </c>
    </row>
    <row r="46" spans="3:25" x14ac:dyDescent="0.35">
      <c r="D46" s="5" t="s">
        <v>176</v>
      </c>
      <c r="E46">
        <v>91.08</v>
      </c>
      <c r="G46" t="s">
        <v>196</v>
      </c>
      <c r="H46">
        <v>174.64</v>
      </c>
      <c r="I46">
        <v>2.2046199999999998</v>
      </c>
      <c r="J46" s="88">
        <v>16.04</v>
      </c>
      <c r="K46">
        <f>H46*I46</f>
        <v>385.01483679999996</v>
      </c>
      <c r="L46">
        <f>(K46/J46)/((K$47/J$47)+(K$46/J$46)+(K$48/J$48)+(K$49/J$49))*100</f>
        <v>60.721902825421679</v>
      </c>
      <c r="N46">
        <v>10.888</v>
      </c>
      <c r="O46" s="95">
        <f>N46*100/N$51</f>
        <v>60.720300701562621</v>
      </c>
    </row>
    <row r="47" spans="3:25" x14ac:dyDescent="0.35">
      <c r="D47" s="5" t="s">
        <v>177</v>
      </c>
      <c r="E47">
        <v>204.66</v>
      </c>
      <c r="G47" t="s">
        <v>197</v>
      </c>
      <c r="H47">
        <v>307.66000000000003</v>
      </c>
      <c r="I47">
        <v>2.2046199999999998</v>
      </c>
      <c r="J47" s="88">
        <v>44.01</v>
      </c>
      <c r="K47">
        <f t="shared" ref="K47:K49" si="9">H47*I47</f>
        <v>678.2733892</v>
      </c>
      <c r="L47">
        <f t="shared" ref="L47:L49" si="10">(K47/J47)/((K$47/J$47)+(K$46/J$46)+(K$48/J$48)+(K$49/J$49))*100</f>
        <v>38.987526311436547</v>
      </c>
      <c r="N47">
        <v>6.9907000000000004</v>
      </c>
      <c r="O47" s="95">
        <f t="shared" ref="O47:O50" si="11">N47*100/N$51</f>
        <v>38.985801443278277</v>
      </c>
    </row>
    <row r="48" spans="3:25" x14ac:dyDescent="0.35">
      <c r="D48" s="5" t="s">
        <v>178</v>
      </c>
      <c r="E48">
        <v>107.79</v>
      </c>
      <c r="G48" t="s">
        <v>198</v>
      </c>
      <c r="H48">
        <v>1.216</v>
      </c>
      <c r="I48">
        <v>2.2046199999999998</v>
      </c>
      <c r="J48" s="90">
        <v>32</v>
      </c>
      <c r="K48">
        <f t="shared" si="9"/>
        <v>2.6808179199999995</v>
      </c>
      <c r="L48">
        <f t="shared" si="10"/>
        <v>0.2119286200764488</v>
      </c>
      <c r="N48">
        <v>3.7999999999999999E-2</v>
      </c>
      <c r="O48" s="95">
        <f t="shared" si="11"/>
        <v>0.21191875704072186</v>
      </c>
    </row>
    <row r="49" spans="4:15" x14ac:dyDescent="0.35">
      <c r="D49" s="5" t="s">
        <v>179</v>
      </c>
      <c r="E49">
        <v>74.53</v>
      </c>
      <c r="G49" t="s">
        <v>199</v>
      </c>
      <c r="H49">
        <v>0.25409999999999999</v>
      </c>
      <c r="I49">
        <v>2.2046199999999998</v>
      </c>
      <c r="J49" s="90">
        <v>18.02</v>
      </c>
      <c r="K49">
        <f t="shared" si="9"/>
        <v>0.56019394199999994</v>
      </c>
      <c r="L49">
        <f t="shared" si="10"/>
        <v>7.8642243065345008E-2</v>
      </c>
      <c r="N49">
        <v>1.41E-2</v>
      </c>
      <c r="O49" s="95">
        <f t="shared" si="11"/>
        <v>7.863301248089942E-2</v>
      </c>
    </row>
    <row r="50" spans="4:15" x14ac:dyDescent="0.35">
      <c r="D50" s="5" t="s">
        <v>180</v>
      </c>
      <c r="E50">
        <v>92.39</v>
      </c>
      <c r="G50" t="s">
        <v>200</v>
      </c>
      <c r="J50" s="88"/>
      <c r="N50">
        <v>5.9999999999999995E-4</v>
      </c>
      <c r="O50" s="95">
        <f t="shared" si="11"/>
        <v>3.346085637485082E-3</v>
      </c>
    </row>
    <row r="51" spans="4:15" x14ac:dyDescent="0.35">
      <c r="D51" s="5" t="s">
        <v>181</v>
      </c>
      <c r="E51">
        <v>44.26</v>
      </c>
      <c r="J51" s="88"/>
      <c r="N51">
        <f>SUM(N46:N50)</f>
        <v>17.9314</v>
      </c>
    </row>
    <row r="52" spans="4:15" x14ac:dyDescent="0.35">
      <c r="D52" s="5" t="s">
        <v>182</v>
      </c>
      <c r="E52">
        <v>84.98</v>
      </c>
      <c r="J52" s="88"/>
    </row>
    <row r="53" spans="4:15" x14ac:dyDescent="0.35">
      <c r="D53" s="5" t="s">
        <v>183</v>
      </c>
      <c r="E53">
        <v>39.26</v>
      </c>
    </row>
    <row r="54" spans="4:15" x14ac:dyDescent="0.35">
      <c r="D54" s="5" t="s">
        <v>184</v>
      </c>
      <c r="E54">
        <v>125.92</v>
      </c>
    </row>
    <row r="55" spans="4:15" x14ac:dyDescent="0.35">
      <c r="D55" s="5" t="s">
        <v>185</v>
      </c>
      <c r="E55">
        <v>142.66</v>
      </c>
    </row>
    <row r="56" spans="4:15" x14ac:dyDescent="0.35">
      <c r="D56" s="5" t="s">
        <v>186</v>
      </c>
      <c r="E56">
        <v>190.06</v>
      </c>
    </row>
    <row r="57" spans="4:15" x14ac:dyDescent="0.35">
      <c r="D57" s="5" t="s">
        <v>187</v>
      </c>
      <c r="E57">
        <v>120.32</v>
      </c>
    </row>
    <row r="58" spans="4:15" x14ac:dyDescent="0.35">
      <c r="D58" s="5" t="s">
        <v>188</v>
      </c>
      <c r="E58">
        <v>134.26</v>
      </c>
    </row>
    <row r="59" spans="4:15" x14ac:dyDescent="0.35">
      <c r="D59" s="5" t="s">
        <v>189</v>
      </c>
      <c r="E59">
        <v>147.13999999999999</v>
      </c>
    </row>
    <row r="60" spans="4:15" x14ac:dyDescent="0.35">
      <c r="D60" s="5" t="s">
        <v>190</v>
      </c>
      <c r="E60">
        <v>81.459999999999994</v>
      </c>
    </row>
    <row r="61" spans="4:15" x14ac:dyDescent="0.35">
      <c r="D61" s="5" t="s">
        <v>191</v>
      </c>
      <c r="E61">
        <v>150.18</v>
      </c>
    </row>
    <row r="62" spans="4:15" x14ac:dyDescent="0.35">
      <c r="D62" s="5" t="s">
        <v>192</v>
      </c>
      <c r="E62">
        <v>217.75</v>
      </c>
    </row>
    <row r="63" spans="4:15" x14ac:dyDescent="0.35">
      <c r="D63" s="5" t="s">
        <v>193</v>
      </c>
      <c r="E63">
        <v>217.75</v>
      </c>
    </row>
    <row r="64" spans="4:15" x14ac:dyDescent="0.35">
      <c r="D64" s="5" t="s">
        <v>194</v>
      </c>
      <c r="E64" s="93">
        <f>SUM(E46:E63)</f>
        <v>2266.4499999999998</v>
      </c>
    </row>
  </sheetData>
  <mergeCells count="10">
    <mergeCell ref="S38:T38"/>
    <mergeCell ref="S39:T39"/>
    <mergeCell ref="S40:T40"/>
    <mergeCell ref="S41:T41"/>
    <mergeCell ref="S42:T42"/>
    <mergeCell ref="F21:H21"/>
    <mergeCell ref="F22:H22"/>
    <mergeCell ref="F23:H23"/>
    <mergeCell ref="F24:H24"/>
    <mergeCell ref="S37:T37"/>
  </mergeCells>
  <pageMargins left="0.7" right="0.7" top="0.75" bottom="0.75" header="0.3" footer="0.3"/>
  <pageSetup orientation="portrait" horizontalDpi="4294967293"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EC4B67-9B3F-4451-9971-A4E43E3DB903}">
          <x14:formula1>
            <xm:f>Sheet1!$B$2:$B$8</xm:f>
          </x14:formula1>
          <xm:sqref>F10:F16 K10:K16 Y10:Y16 T10:T17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4F322-C132-4E29-BC31-BFE21485F967}">
  <sheetPr codeName="Sheet1">
    <pageSetUpPr fitToPage="1"/>
  </sheetPr>
  <dimension ref="A1:O112"/>
  <sheetViews>
    <sheetView zoomScale="40" zoomScaleNormal="40" workbookViewId="0">
      <selection activeCell="F15" sqref="F15"/>
    </sheetView>
  </sheetViews>
  <sheetFormatPr defaultColWidth="8.81640625" defaultRowHeight="14.5" x14ac:dyDescent="0.3"/>
  <cols>
    <col min="1" max="1" width="4" style="7" customWidth="1"/>
    <col min="2" max="2" width="24" style="308" customWidth="1"/>
    <col min="3" max="3" width="10.81640625" style="308" customWidth="1"/>
    <col min="4" max="6" width="9.81640625" style="308" customWidth="1"/>
    <col min="7" max="7" width="10.81640625" style="308" customWidth="1"/>
    <col min="8" max="8" width="9" style="308" customWidth="1"/>
    <col min="9" max="9" width="6.81640625" style="308" customWidth="1"/>
    <col min="10" max="10" width="8" style="308" customWidth="1"/>
    <col min="11" max="11" width="5" style="7" customWidth="1"/>
    <col min="12" max="12" width="9.453125" style="104" bestFit="1" customWidth="1"/>
    <col min="13" max="14" width="8.81640625" style="104"/>
    <col min="15" max="15" width="21.81640625" style="104" customWidth="1"/>
    <col min="16" max="16" width="8.81640625" style="104"/>
    <col min="17" max="17" width="10.453125" style="104" bestFit="1" customWidth="1"/>
    <col min="18" max="16384" width="8.81640625" style="104"/>
  </cols>
  <sheetData>
    <row r="1" spans="1:11" ht="13" x14ac:dyDescent="0.3">
      <c r="A1" s="635" t="s">
        <v>593</v>
      </c>
      <c r="B1" s="636"/>
      <c r="C1" s="636"/>
      <c r="D1" s="636"/>
      <c r="E1" s="636"/>
      <c r="F1" s="636"/>
      <c r="G1" s="636"/>
      <c r="H1" s="636"/>
      <c r="I1" s="636"/>
      <c r="J1" s="636"/>
      <c r="K1" s="637"/>
    </row>
    <row r="2" spans="1:11" ht="14.5" customHeight="1" x14ac:dyDescent="0.3">
      <c r="A2" s="642"/>
      <c r="B2" s="628"/>
      <c r="C2" s="283" t="s">
        <v>594</v>
      </c>
      <c r="D2" s="619" t="s">
        <v>595</v>
      </c>
      <c r="E2" s="617"/>
      <c r="F2" s="617"/>
      <c r="G2" s="618"/>
      <c r="H2" s="684" t="s">
        <v>596</v>
      </c>
      <c r="I2" s="685"/>
      <c r="J2" s="685"/>
      <c r="K2" s="686"/>
    </row>
    <row r="3" spans="1:11" ht="14.5" customHeight="1" x14ac:dyDescent="0.35">
      <c r="A3" s="629"/>
      <c r="B3" s="631"/>
      <c r="C3" s="283" t="s">
        <v>597</v>
      </c>
      <c r="D3" s="619" t="s">
        <v>598</v>
      </c>
      <c r="E3" s="617"/>
      <c r="F3" s="617"/>
      <c r="G3" s="618"/>
      <c r="H3" s="620"/>
      <c r="I3" s="621"/>
      <c r="J3" s="621"/>
      <c r="K3" s="622"/>
    </row>
    <row r="4" spans="1:11" ht="14.5" customHeight="1" x14ac:dyDescent="0.3">
      <c r="A4" s="629"/>
      <c r="B4" s="631"/>
      <c r="C4" s="283" t="s">
        <v>599</v>
      </c>
      <c r="D4" s="619" t="s">
        <v>600</v>
      </c>
      <c r="E4" s="617"/>
      <c r="F4" s="617"/>
      <c r="G4" s="618"/>
      <c r="H4" s="284" t="s">
        <v>601</v>
      </c>
      <c r="I4" s="284" t="s">
        <v>602</v>
      </c>
      <c r="J4" s="284" t="s">
        <v>603</v>
      </c>
      <c r="K4" s="285" t="s">
        <v>604</v>
      </c>
    </row>
    <row r="5" spans="1:11" ht="15" customHeight="1" x14ac:dyDescent="0.3">
      <c r="A5" s="632"/>
      <c r="B5" s="634"/>
      <c r="C5" s="283" t="s">
        <v>605</v>
      </c>
      <c r="D5" s="619" t="s">
        <v>606</v>
      </c>
      <c r="E5" s="617"/>
      <c r="F5" s="617"/>
      <c r="G5" s="618"/>
      <c r="H5" s="284" t="s">
        <v>607</v>
      </c>
      <c r="I5" s="284" t="s">
        <v>607</v>
      </c>
      <c r="J5" s="284" t="s">
        <v>607</v>
      </c>
      <c r="K5" s="286" t="s">
        <v>608</v>
      </c>
    </row>
    <row r="6" spans="1:11" ht="8.15" customHeight="1" x14ac:dyDescent="0.35">
      <c r="A6" s="620"/>
      <c r="B6" s="621"/>
      <c r="C6" s="621"/>
      <c r="D6" s="621"/>
      <c r="E6" s="621"/>
      <c r="F6" s="621"/>
      <c r="G6" s="621"/>
      <c r="H6" s="621"/>
      <c r="I6" s="621"/>
      <c r="J6" s="621"/>
      <c r="K6" s="622"/>
    </row>
    <row r="7" spans="1:11" ht="13" x14ac:dyDescent="0.3">
      <c r="A7" s="635" t="s">
        <v>609</v>
      </c>
      <c r="B7" s="636"/>
      <c r="C7" s="636"/>
      <c r="D7" s="636"/>
      <c r="E7" s="636"/>
      <c r="F7" s="636"/>
      <c r="G7" s="636"/>
      <c r="H7" s="636"/>
      <c r="I7" s="636"/>
      <c r="J7" s="637"/>
      <c r="K7" s="287" t="s">
        <v>604</v>
      </c>
    </row>
    <row r="8" spans="1:11" x14ac:dyDescent="0.3">
      <c r="A8" s="288">
        <v>1</v>
      </c>
      <c r="B8" s="283" t="s">
        <v>610</v>
      </c>
      <c r="C8" s="619" t="s">
        <v>611</v>
      </c>
      <c r="D8" s="617"/>
      <c r="E8" s="617"/>
      <c r="F8" s="617"/>
      <c r="G8" s="617"/>
      <c r="H8" s="617"/>
      <c r="I8" s="617"/>
      <c r="J8" s="618"/>
      <c r="K8" s="289"/>
    </row>
    <row r="9" spans="1:11" x14ac:dyDescent="0.3">
      <c r="A9" s="288">
        <f>A8+1</f>
        <v>2</v>
      </c>
      <c r="B9" s="283" t="s">
        <v>612</v>
      </c>
      <c r="C9" s="619" t="s">
        <v>613</v>
      </c>
      <c r="D9" s="617"/>
      <c r="E9" s="617"/>
      <c r="F9" s="617"/>
      <c r="G9" s="617"/>
      <c r="H9" s="617"/>
      <c r="I9" s="617"/>
      <c r="J9" s="618"/>
      <c r="K9" s="289"/>
    </row>
    <row r="10" spans="1:11" x14ac:dyDescent="0.3">
      <c r="A10" s="288">
        <f t="shared" ref="A10:A12" si="0">A9+1</f>
        <v>3</v>
      </c>
      <c r="B10" s="283" t="s">
        <v>614</v>
      </c>
      <c r="C10" s="619" t="s">
        <v>615</v>
      </c>
      <c r="D10" s="617"/>
      <c r="E10" s="617"/>
      <c r="F10" s="617"/>
      <c r="G10" s="617"/>
      <c r="H10" s="617"/>
      <c r="I10" s="617"/>
      <c r="J10" s="618"/>
      <c r="K10" s="289"/>
    </row>
    <row r="11" spans="1:11" ht="13" x14ac:dyDescent="0.3">
      <c r="A11" s="288">
        <f t="shared" si="0"/>
        <v>4</v>
      </c>
      <c r="B11" s="283" t="s">
        <v>616</v>
      </c>
      <c r="C11" s="619" t="s">
        <v>617</v>
      </c>
      <c r="D11" s="617"/>
      <c r="E11" s="617"/>
      <c r="F11" s="617"/>
      <c r="G11" s="617"/>
      <c r="H11" s="617"/>
      <c r="I11" s="617"/>
      <c r="J11" s="618"/>
      <c r="K11" s="285"/>
    </row>
    <row r="12" spans="1:11" ht="13.5" thickBot="1" x14ac:dyDescent="0.35">
      <c r="A12" s="288">
        <f t="shared" si="0"/>
        <v>5</v>
      </c>
      <c r="B12" s="290" t="s">
        <v>392</v>
      </c>
      <c r="C12" s="291" t="s">
        <v>393</v>
      </c>
      <c r="D12" s="292"/>
      <c r="E12" s="293"/>
      <c r="F12" s="292" t="s">
        <v>394</v>
      </c>
      <c r="G12" s="292"/>
      <c r="H12" s="294" t="s">
        <v>395</v>
      </c>
      <c r="I12" s="292"/>
      <c r="J12" s="295"/>
      <c r="K12" s="296"/>
    </row>
    <row r="13" spans="1:11" ht="20.149999999999999" customHeight="1" x14ac:dyDescent="0.3">
      <c r="A13" s="655" t="s">
        <v>712</v>
      </c>
      <c r="B13" s="636"/>
      <c r="C13" s="636"/>
      <c r="D13" s="636"/>
      <c r="E13" s="636"/>
      <c r="F13" s="636"/>
      <c r="G13" s="636"/>
      <c r="H13" s="636"/>
      <c r="I13" s="636"/>
      <c r="J13" s="637"/>
      <c r="K13" s="287"/>
    </row>
    <row r="14" spans="1:11" ht="20.149999999999999" customHeight="1" x14ac:dyDescent="0.3">
      <c r="A14" s="288">
        <f>A12+1</f>
        <v>6</v>
      </c>
      <c r="B14" s="297" t="s">
        <v>618</v>
      </c>
      <c r="C14" s="298" t="s">
        <v>619</v>
      </c>
      <c r="D14" s="299" t="s">
        <v>620</v>
      </c>
      <c r="E14" s="299" t="s">
        <v>621</v>
      </c>
      <c r="F14" s="299" t="s">
        <v>622</v>
      </c>
      <c r="G14" s="638" t="s">
        <v>623</v>
      </c>
      <c r="H14" s="624"/>
      <c r="I14" s="624"/>
      <c r="J14" s="625"/>
      <c r="K14" s="285"/>
    </row>
    <row r="15" spans="1:11" ht="20.149999999999999" customHeight="1" x14ac:dyDescent="0.3">
      <c r="A15" s="288">
        <f>A14+1</f>
        <v>7</v>
      </c>
      <c r="B15" s="283" t="s">
        <v>624</v>
      </c>
      <c r="C15" s="300" t="s">
        <v>625</v>
      </c>
      <c r="D15" s="301">
        <v>2300</v>
      </c>
      <c r="E15" s="301">
        <v>2300</v>
      </c>
      <c r="F15" s="302">
        <v>250</v>
      </c>
      <c r="G15" s="642" t="s">
        <v>626</v>
      </c>
      <c r="H15" s="627"/>
      <c r="I15" s="627"/>
      <c r="J15" s="628"/>
      <c r="K15" s="285"/>
    </row>
    <row r="16" spans="1:11" ht="20.149999999999999" customHeight="1" x14ac:dyDescent="0.3">
      <c r="A16" s="288">
        <f t="shared" ref="A16:A25" si="1">A15+1</f>
        <v>8</v>
      </c>
      <c r="B16" s="283" t="s">
        <v>627</v>
      </c>
      <c r="C16" s="300" t="s">
        <v>628</v>
      </c>
      <c r="D16" s="302">
        <v>75</v>
      </c>
      <c r="E16" s="302">
        <v>65</v>
      </c>
      <c r="F16" s="302">
        <v>60</v>
      </c>
      <c r="G16" s="629"/>
      <c r="H16" s="630"/>
      <c r="I16" s="630"/>
      <c r="J16" s="631"/>
      <c r="K16" s="285"/>
    </row>
    <row r="17" spans="1:15" ht="20.149999999999999" customHeight="1" x14ac:dyDescent="0.3">
      <c r="A17" s="288">
        <f t="shared" si="1"/>
        <v>9</v>
      </c>
      <c r="B17" s="283" t="s">
        <v>629</v>
      </c>
      <c r="C17" s="284" t="s">
        <v>630</v>
      </c>
      <c r="D17" s="302">
        <v>80</v>
      </c>
      <c r="E17" s="302">
        <v>70</v>
      </c>
      <c r="F17" s="302">
        <v>40</v>
      </c>
      <c r="G17" s="629"/>
      <c r="H17" s="630"/>
      <c r="I17" s="630"/>
      <c r="J17" s="631"/>
      <c r="K17" s="285"/>
    </row>
    <row r="18" spans="1:15" ht="20.149999999999999" customHeight="1" x14ac:dyDescent="0.3">
      <c r="A18" s="288">
        <f t="shared" si="1"/>
        <v>10</v>
      </c>
      <c r="B18" s="662" t="s">
        <v>631</v>
      </c>
      <c r="C18" s="663"/>
      <c r="D18" s="663"/>
      <c r="E18" s="663"/>
      <c r="F18" s="664"/>
      <c r="G18" s="629"/>
      <c r="H18" s="630"/>
      <c r="I18" s="630"/>
      <c r="J18" s="631"/>
      <c r="K18" s="285"/>
    </row>
    <row r="19" spans="1:15" ht="20.149999999999999" customHeight="1" x14ac:dyDescent="0.3">
      <c r="A19" s="288">
        <f t="shared" si="1"/>
        <v>11</v>
      </c>
      <c r="B19" s="283" t="s">
        <v>632</v>
      </c>
      <c r="C19" s="300" t="s">
        <v>633</v>
      </c>
      <c r="D19" s="674">
        <v>60.14</v>
      </c>
      <c r="E19" s="675"/>
      <c r="F19" s="676"/>
      <c r="G19" s="629"/>
      <c r="H19" s="630"/>
      <c r="I19" s="630"/>
      <c r="J19" s="631"/>
      <c r="K19" s="285"/>
      <c r="M19" s="104" t="s">
        <v>517</v>
      </c>
      <c r="N19" s="104">
        <v>47.378106685633</v>
      </c>
      <c r="O19" s="104">
        <v>60.09</v>
      </c>
    </row>
    <row r="20" spans="1:15" ht="20.149999999999999" customHeight="1" x14ac:dyDescent="0.3">
      <c r="A20" s="288">
        <f t="shared" si="1"/>
        <v>12</v>
      </c>
      <c r="B20" s="283" t="s">
        <v>634</v>
      </c>
      <c r="C20" s="300" t="s">
        <v>633</v>
      </c>
      <c r="D20" s="674">
        <v>38.33</v>
      </c>
      <c r="E20" s="675"/>
      <c r="F20" s="676"/>
      <c r="G20" s="629"/>
      <c r="H20" s="630"/>
      <c r="I20" s="630"/>
      <c r="J20" s="631"/>
      <c r="K20" s="285"/>
      <c r="M20" s="104" t="s">
        <v>518</v>
      </c>
      <c r="N20" s="104">
        <v>31.890682788051208</v>
      </c>
      <c r="O20" s="104">
        <v>38.35</v>
      </c>
    </row>
    <row r="21" spans="1:15" ht="20.149999999999999" customHeight="1" x14ac:dyDescent="0.3">
      <c r="A21" s="288">
        <f t="shared" si="1"/>
        <v>13</v>
      </c>
      <c r="B21" s="283" t="s">
        <v>635</v>
      </c>
      <c r="C21" s="300" t="s">
        <v>633</v>
      </c>
      <c r="D21" s="674">
        <v>0.94</v>
      </c>
      <c r="E21" s="675"/>
      <c r="F21" s="676"/>
      <c r="G21" s="629"/>
      <c r="H21" s="630"/>
      <c r="I21" s="630"/>
      <c r="J21" s="631"/>
      <c r="K21" s="285"/>
      <c r="M21" s="104" t="s">
        <v>519</v>
      </c>
      <c r="N21" s="104">
        <v>0.80953271692745365</v>
      </c>
      <c r="O21" s="104">
        <v>0.9885918068763716</v>
      </c>
    </row>
    <row r="22" spans="1:15" ht="20.149999999999999" customHeight="1" x14ac:dyDescent="0.3">
      <c r="A22" s="288">
        <f t="shared" si="1"/>
        <v>14</v>
      </c>
      <c r="B22" s="283" t="s">
        <v>636</v>
      </c>
      <c r="C22" s="300" t="s">
        <v>633</v>
      </c>
      <c r="D22" s="674">
        <v>0.46</v>
      </c>
      <c r="E22" s="675"/>
      <c r="F22" s="676"/>
      <c r="G22" s="629"/>
      <c r="H22" s="630"/>
      <c r="I22" s="630"/>
      <c r="J22" s="631"/>
      <c r="K22" s="285"/>
      <c r="M22" s="104" t="s">
        <v>520</v>
      </c>
      <c r="N22" s="104">
        <v>0.40067780938833569</v>
      </c>
      <c r="O22" s="104">
        <v>0.48930301552466876</v>
      </c>
    </row>
    <row r="23" spans="1:15" ht="20.149999999999999" customHeight="1" x14ac:dyDescent="0.3">
      <c r="A23" s="288">
        <f t="shared" si="1"/>
        <v>15</v>
      </c>
      <c r="B23" s="283" t="s">
        <v>637</v>
      </c>
      <c r="C23" s="300" t="s">
        <v>633</v>
      </c>
      <c r="D23" s="677">
        <v>4.0000000000000002E-4</v>
      </c>
      <c r="E23" s="678"/>
      <c r="F23" s="679"/>
      <c r="G23" s="629"/>
      <c r="H23" s="630"/>
      <c r="I23" s="630"/>
      <c r="J23" s="631"/>
      <c r="K23" s="285"/>
      <c r="M23" s="104" t="s">
        <v>521</v>
      </c>
      <c r="N23" s="104">
        <v>0.22500000000000001</v>
      </c>
      <c r="O23" s="104">
        <v>5.0000000000000001E-3</v>
      </c>
    </row>
    <row r="24" spans="1:15" ht="20.149999999999999" customHeight="1" x14ac:dyDescent="0.3">
      <c r="A24" s="288">
        <f t="shared" si="1"/>
        <v>16</v>
      </c>
      <c r="B24" s="283" t="s">
        <v>638</v>
      </c>
      <c r="C24" s="300" t="s">
        <v>633</v>
      </c>
      <c r="D24" s="681">
        <v>0.127</v>
      </c>
      <c r="E24" s="682"/>
      <c r="F24" s="683"/>
      <c r="G24" s="629"/>
      <c r="H24" s="630"/>
      <c r="I24" s="630"/>
      <c r="J24" s="631"/>
      <c r="K24" s="285"/>
      <c r="M24" s="104" t="s">
        <v>522</v>
      </c>
      <c r="N24" s="104">
        <v>2250</v>
      </c>
      <c r="O24" s="104">
        <v>50</v>
      </c>
    </row>
    <row r="25" spans="1:15" ht="20.149999999999999" customHeight="1" x14ac:dyDescent="0.3">
      <c r="A25" s="288">
        <f t="shared" si="1"/>
        <v>17</v>
      </c>
      <c r="B25" s="283" t="s">
        <v>639</v>
      </c>
      <c r="C25" s="300" t="s">
        <v>633</v>
      </c>
      <c r="D25" s="643" t="s">
        <v>640</v>
      </c>
      <c r="E25" s="644"/>
      <c r="F25" s="645"/>
      <c r="G25" s="632"/>
      <c r="H25" s="633"/>
      <c r="I25" s="633"/>
      <c r="J25" s="634"/>
      <c r="K25" s="285"/>
      <c r="M25" s="104" t="s">
        <v>523</v>
      </c>
      <c r="N25" s="104">
        <v>19.697709058071279</v>
      </c>
      <c r="O25" s="104">
        <v>0.1058807248846244</v>
      </c>
    </row>
    <row r="26" spans="1:15" ht="13" x14ac:dyDescent="0.3">
      <c r="A26" s="655" t="s">
        <v>713</v>
      </c>
      <c r="B26" s="636"/>
      <c r="C26" s="636"/>
      <c r="D26" s="636"/>
      <c r="E26" s="636"/>
      <c r="F26" s="636"/>
      <c r="G26" s="636"/>
      <c r="H26" s="636"/>
      <c r="I26" s="636"/>
      <c r="J26" s="637"/>
      <c r="K26" s="285"/>
    </row>
    <row r="27" spans="1:15" x14ac:dyDescent="0.3">
      <c r="A27" s="288">
        <f>A25+1</f>
        <v>18</v>
      </c>
      <c r="B27" s="297" t="s">
        <v>618</v>
      </c>
      <c r="C27" s="298" t="s">
        <v>619</v>
      </c>
      <c r="D27" s="299" t="s">
        <v>620</v>
      </c>
      <c r="E27" s="299" t="s">
        <v>621</v>
      </c>
      <c r="F27" s="299" t="s">
        <v>622</v>
      </c>
      <c r="G27" s="638" t="s">
        <v>623</v>
      </c>
      <c r="H27" s="624"/>
      <c r="I27" s="624"/>
      <c r="J27" s="625"/>
      <c r="K27" s="289"/>
      <c r="L27" s="104" t="s">
        <v>707</v>
      </c>
    </row>
    <row r="28" spans="1:15" ht="18.75" customHeight="1" x14ac:dyDescent="0.3">
      <c r="A28" s="288">
        <f>A27+1</f>
        <v>19</v>
      </c>
      <c r="B28" s="283" t="s">
        <v>641</v>
      </c>
      <c r="C28" s="300" t="s">
        <v>625</v>
      </c>
      <c r="D28" s="302">
        <v>4438</v>
      </c>
      <c r="E28" s="302">
        <v>4438</v>
      </c>
      <c r="F28" s="302">
        <v>450</v>
      </c>
      <c r="G28" s="642" t="s">
        <v>642</v>
      </c>
      <c r="H28" s="627"/>
      <c r="I28" s="627"/>
      <c r="J28" s="628"/>
      <c r="K28" s="285"/>
      <c r="L28" s="309">
        <f>D28/D15</f>
        <v>1.9295652173913043</v>
      </c>
    </row>
    <row r="29" spans="1:15" ht="18.75" customHeight="1" x14ac:dyDescent="0.3">
      <c r="A29" s="288">
        <f t="shared" ref="A29:A38" si="2">A28+1</f>
        <v>20</v>
      </c>
      <c r="B29" s="283" t="s">
        <v>643</v>
      </c>
      <c r="C29" s="300" t="s">
        <v>628</v>
      </c>
      <c r="D29" s="302">
        <v>65</v>
      </c>
      <c r="E29" s="303">
        <v>62.4</v>
      </c>
      <c r="F29" s="302">
        <v>60</v>
      </c>
      <c r="G29" s="629"/>
      <c r="H29" s="630"/>
      <c r="I29" s="630"/>
      <c r="J29" s="631"/>
      <c r="K29" s="289"/>
    </row>
    <row r="30" spans="1:15" ht="18.75" customHeight="1" x14ac:dyDescent="0.3">
      <c r="A30" s="288">
        <f t="shared" si="2"/>
        <v>21</v>
      </c>
      <c r="B30" s="283" t="s">
        <v>644</v>
      </c>
      <c r="C30" s="284" t="s">
        <v>630</v>
      </c>
      <c r="D30" s="284" t="s">
        <v>645</v>
      </c>
      <c r="E30" s="284" t="s">
        <v>645</v>
      </c>
      <c r="F30" s="284" t="s">
        <v>645</v>
      </c>
      <c r="G30" s="629"/>
      <c r="H30" s="630"/>
      <c r="I30" s="630"/>
      <c r="J30" s="631"/>
      <c r="K30" s="289"/>
    </row>
    <row r="31" spans="1:15" ht="18.75" customHeight="1" x14ac:dyDescent="0.3">
      <c r="A31" s="288">
        <f t="shared" si="2"/>
        <v>22</v>
      </c>
      <c r="B31" s="662" t="s">
        <v>646</v>
      </c>
      <c r="C31" s="663"/>
      <c r="D31" s="663"/>
      <c r="E31" s="663"/>
      <c r="F31" s="664"/>
      <c r="G31" s="629"/>
      <c r="H31" s="630"/>
      <c r="I31" s="630"/>
      <c r="J31" s="631"/>
      <c r="K31" s="289"/>
    </row>
    <row r="32" spans="1:15" ht="18.75" customHeight="1" x14ac:dyDescent="0.3">
      <c r="A32" s="288">
        <f t="shared" si="2"/>
        <v>23</v>
      </c>
      <c r="B32" s="283" t="s">
        <v>632</v>
      </c>
      <c r="C32" s="300" t="s">
        <v>633</v>
      </c>
      <c r="D32" s="674">
        <v>57.12</v>
      </c>
      <c r="E32" s="675"/>
      <c r="F32" s="676"/>
      <c r="G32" s="629"/>
      <c r="H32" s="630"/>
      <c r="I32" s="630"/>
      <c r="J32" s="631"/>
      <c r="K32" s="285"/>
    </row>
    <row r="33" spans="1:11" ht="18.75" customHeight="1" x14ac:dyDescent="0.3">
      <c r="A33" s="288">
        <f t="shared" si="2"/>
        <v>24</v>
      </c>
      <c r="B33" s="283" t="s">
        <v>634</v>
      </c>
      <c r="C33" s="300" t="s">
        <v>633</v>
      </c>
      <c r="D33" s="674">
        <v>40.590000000000003</v>
      </c>
      <c r="E33" s="675"/>
      <c r="F33" s="676"/>
      <c r="G33" s="629"/>
      <c r="H33" s="630"/>
      <c r="I33" s="630"/>
      <c r="J33" s="631"/>
      <c r="K33" s="285"/>
    </row>
    <row r="34" spans="1:11" ht="18.75" customHeight="1" x14ac:dyDescent="0.3">
      <c r="A34" s="288">
        <f t="shared" si="2"/>
        <v>25</v>
      </c>
      <c r="B34" s="283" t="s">
        <v>635</v>
      </c>
      <c r="C34" s="300" t="s">
        <v>633</v>
      </c>
      <c r="D34" s="674">
        <v>1.06</v>
      </c>
      <c r="E34" s="675"/>
      <c r="F34" s="676"/>
      <c r="G34" s="629"/>
      <c r="H34" s="630"/>
      <c r="I34" s="630"/>
      <c r="J34" s="631"/>
      <c r="K34" s="285"/>
    </row>
    <row r="35" spans="1:11" ht="18.75" customHeight="1" x14ac:dyDescent="0.3">
      <c r="A35" s="288">
        <f t="shared" si="2"/>
        <v>26</v>
      </c>
      <c r="B35" s="283" t="s">
        <v>636</v>
      </c>
      <c r="C35" s="300" t="s">
        <v>633</v>
      </c>
      <c r="D35" s="674">
        <v>1.17</v>
      </c>
      <c r="E35" s="675"/>
      <c r="F35" s="676"/>
      <c r="G35" s="629"/>
      <c r="H35" s="630"/>
      <c r="I35" s="630"/>
      <c r="J35" s="631"/>
      <c r="K35" s="285"/>
    </row>
    <row r="36" spans="1:11" ht="18.75" customHeight="1" x14ac:dyDescent="0.3">
      <c r="A36" s="288">
        <f t="shared" si="2"/>
        <v>27</v>
      </c>
      <c r="B36" s="283" t="s">
        <v>637</v>
      </c>
      <c r="C36" s="300" t="s">
        <v>647</v>
      </c>
      <c r="D36" s="677">
        <v>5.9999999999999995E-4</v>
      </c>
      <c r="E36" s="678"/>
      <c r="F36" s="679"/>
      <c r="G36" s="629"/>
      <c r="H36" s="630"/>
      <c r="I36" s="630"/>
      <c r="J36" s="631"/>
      <c r="K36" s="285"/>
    </row>
    <row r="37" spans="1:11" ht="18.75" customHeight="1" x14ac:dyDescent="0.3">
      <c r="A37" s="288">
        <f t="shared" si="2"/>
        <v>28</v>
      </c>
      <c r="B37" s="283" t="s">
        <v>638</v>
      </c>
      <c r="C37" s="300" t="s">
        <v>633</v>
      </c>
      <c r="D37" s="674">
        <v>0.06</v>
      </c>
      <c r="E37" s="675"/>
      <c r="F37" s="676"/>
      <c r="G37" s="629"/>
      <c r="H37" s="630"/>
      <c r="I37" s="630"/>
      <c r="J37" s="631"/>
      <c r="K37" s="285"/>
    </row>
    <row r="38" spans="1:11" ht="18.75" customHeight="1" x14ac:dyDescent="0.3">
      <c r="A38" s="288">
        <f t="shared" si="2"/>
        <v>29</v>
      </c>
      <c r="B38" s="283" t="s">
        <v>639</v>
      </c>
      <c r="C38" s="300" t="s">
        <v>647</v>
      </c>
      <c r="D38" s="643" t="s">
        <v>640</v>
      </c>
      <c r="E38" s="644"/>
      <c r="F38" s="645"/>
      <c r="G38" s="632"/>
      <c r="H38" s="633"/>
      <c r="I38" s="633"/>
      <c r="J38" s="634"/>
      <c r="K38" s="289"/>
    </row>
    <row r="39" spans="1:11" ht="13" x14ac:dyDescent="0.3">
      <c r="A39" s="655" t="s">
        <v>714</v>
      </c>
      <c r="B39" s="636"/>
      <c r="C39" s="636"/>
      <c r="D39" s="636"/>
      <c r="E39" s="636"/>
      <c r="F39" s="636"/>
      <c r="G39" s="636"/>
      <c r="H39" s="636"/>
      <c r="I39" s="636"/>
      <c r="J39" s="637"/>
      <c r="K39" s="285"/>
    </row>
    <row r="40" spans="1:11" x14ac:dyDescent="0.3">
      <c r="A40" s="288">
        <f>A38+1</f>
        <v>30</v>
      </c>
      <c r="B40" s="297" t="s">
        <v>618</v>
      </c>
      <c r="C40" s="298" t="s">
        <v>619</v>
      </c>
      <c r="D40" s="299" t="s">
        <v>620</v>
      </c>
      <c r="E40" s="299" t="s">
        <v>621</v>
      </c>
      <c r="F40" s="299" t="s">
        <v>622</v>
      </c>
      <c r="G40" s="671" t="s">
        <v>221</v>
      </c>
      <c r="H40" s="672"/>
      <c r="I40" s="672"/>
      <c r="J40" s="673"/>
      <c r="K40" s="289"/>
    </row>
    <row r="41" spans="1:11" ht="12.75" customHeight="1" x14ac:dyDescent="0.3">
      <c r="A41" s="288">
        <f>A40+1</f>
        <v>31</v>
      </c>
      <c r="B41" s="283" t="s">
        <v>624</v>
      </c>
      <c r="C41" s="300" t="s">
        <v>625</v>
      </c>
      <c r="D41" s="284" t="s">
        <v>645</v>
      </c>
      <c r="E41" s="301">
        <v>1379</v>
      </c>
      <c r="F41" s="284" t="s">
        <v>645</v>
      </c>
      <c r="G41" s="642" t="s">
        <v>648</v>
      </c>
      <c r="H41" s="627"/>
      <c r="I41" s="627"/>
      <c r="J41" s="628"/>
      <c r="K41" s="289"/>
    </row>
    <row r="42" spans="1:11" x14ac:dyDescent="0.3">
      <c r="A42" s="288">
        <f t="shared" ref="A42:A51" si="3">A41+1</f>
        <v>32</v>
      </c>
      <c r="B42" s="283" t="s">
        <v>649</v>
      </c>
      <c r="C42" s="300" t="s">
        <v>628</v>
      </c>
      <c r="D42" s="284" t="s">
        <v>645</v>
      </c>
      <c r="E42" s="302">
        <v>156</v>
      </c>
      <c r="F42" s="302">
        <v>150</v>
      </c>
      <c r="G42" s="629"/>
      <c r="H42" s="630"/>
      <c r="I42" s="630"/>
      <c r="J42" s="631"/>
      <c r="K42" s="289"/>
    </row>
    <row r="43" spans="1:11" x14ac:dyDescent="0.3">
      <c r="A43" s="288">
        <f t="shared" si="3"/>
        <v>33</v>
      </c>
      <c r="B43" s="283" t="s">
        <v>650</v>
      </c>
      <c r="C43" s="284" t="s">
        <v>630</v>
      </c>
      <c r="D43" s="284" t="s">
        <v>645</v>
      </c>
      <c r="E43" s="284" t="s">
        <v>645</v>
      </c>
      <c r="F43" s="284" t="s">
        <v>645</v>
      </c>
      <c r="G43" s="629"/>
      <c r="H43" s="630"/>
      <c r="I43" s="630"/>
      <c r="J43" s="631"/>
      <c r="K43" s="289"/>
    </row>
    <row r="44" spans="1:11" ht="13" x14ac:dyDescent="0.3">
      <c r="A44" s="288">
        <f t="shared" si="3"/>
        <v>34</v>
      </c>
      <c r="B44" s="283" t="s">
        <v>651</v>
      </c>
      <c r="C44" s="304" t="s">
        <v>652</v>
      </c>
      <c r="D44" s="680" t="s">
        <v>653</v>
      </c>
      <c r="E44" s="644"/>
      <c r="F44" s="645"/>
      <c r="G44" s="629"/>
      <c r="H44" s="630"/>
      <c r="I44" s="630"/>
      <c r="J44" s="631"/>
      <c r="K44" s="285" t="s">
        <v>608</v>
      </c>
    </row>
    <row r="45" spans="1:11" ht="13" x14ac:dyDescent="0.3">
      <c r="A45" s="288">
        <f t="shared" si="3"/>
        <v>35</v>
      </c>
      <c r="B45" s="283" t="s">
        <v>654</v>
      </c>
      <c r="C45" s="284" t="s">
        <v>655</v>
      </c>
      <c r="D45" s="643" t="s">
        <v>656</v>
      </c>
      <c r="E45" s="644"/>
      <c r="F45" s="645"/>
      <c r="G45" s="629"/>
      <c r="H45" s="630"/>
      <c r="I45" s="630"/>
      <c r="J45" s="631"/>
      <c r="K45" s="285"/>
    </row>
    <row r="46" spans="1:11" ht="13" x14ac:dyDescent="0.3">
      <c r="A46" s="288">
        <f t="shared" si="3"/>
        <v>36</v>
      </c>
      <c r="B46" s="662" t="s">
        <v>657</v>
      </c>
      <c r="C46" s="663"/>
      <c r="D46" s="663"/>
      <c r="E46" s="663"/>
      <c r="F46" s="664"/>
      <c r="G46" s="629"/>
      <c r="H46" s="630"/>
      <c r="I46" s="630"/>
      <c r="J46" s="631"/>
      <c r="K46" s="285"/>
    </row>
    <row r="47" spans="1:11" ht="13.5" x14ac:dyDescent="0.3">
      <c r="A47" s="288">
        <f t="shared" si="3"/>
        <v>37</v>
      </c>
      <c r="B47" s="283" t="s">
        <v>634</v>
      </c>
      <c r="C47" s="300" t="s">
        <v>633</v>
      </c>
      <c r="D47" s="643" t="s">
        <v>658</v>
      </c>
      <c r="E47" s="644"/>
      <c r="F47" s="645"/>
      <c r="G47" s="629"/>
      <c r="H47" s="630"/>
      <c r="I47" s="630"/>
      <c r="J47" s="631"/>
      <c r="K47" s="285"/>
    </row>
    <row r="48" spans="1:11" ht="13.5" x14ac:dyDescent="0.3">
      <c r="A48" s="288">
        <f t="shared" si="3"/>
        <v>38</v>
      </c>
      <c r="B48" s="283" t="s">
        <v>636</v>
      </c>
      <c r="C48" s="300" t="s">
        <v>633</v>
      </c>
      <c r="D48" s="643" t="s">
        <v>659</v>
      </c>
      <c r="E48" s="644"/>
      <c r="F48" s="645"/>
      <c r="G48" s="629"/>
      <c r="H48" s="630"/>
      <c r="I48" s="630"/>
      <c r="J48" s="631"/>
      <c r="K48" s="285"/>
    </row>
    <row r="49" spans="1:11" ht="13.5" x14ac:dyDescent="0.3">
      <c r="A49" s="288">
        <f t="shared" si="3"/>
        <v>39</v>
      </c>
      <c r="B49" s="283" t="s">
        <v>637</v>
      </c>
      <c r="C49" s="300" t="s">
        <v>647</v>
      </c>
      <c r="D49" s="643" t="s">
        <v>660</v>
      </c>
      <c r="E49" s="644"/>
      <c r="F49" s="645"/>
      <c r="G49" s="629"/>
      <c r="H49" s="630"/>
      <c r="I49" s="630"/>
      <c r="J49" s="631"/>
      <c r="K49" s="285"/>
    </row>
    <row r="50" spans="1:11" ht="13.5" x14ac:dyDescent="0.3">
      <c r="A50" s="288">
        <f t="shared" si="3"/>
        <v>40</v>
      </c>
      <c r="B50" s="283" t="s">
        <v>638</v>
      </c>
      <c r="C50" s="305" t="s">
        <v>661</v>
      </c>
      <c r="D50" s="643" t="s">
        <v>662</v>
      </c>
      <c r="E50" s="644"/>
      <c r="F50" s="645"/>
      <c r="G50" s="629"/>
      <c r="H50" s="630"/>
      <c r="I50" s="630"/>
      <c r="J50" s="631"/>
      <c r="K50" s="285"/>
    </row>
    <row r="51" spans="1:11" ht="13" x14ac:dyDescent="0.3">
      <c r="A51" s="288">
        <f t="shared" si="3"/>
        <v>41</v>
      </c>
      <c r="B51" s="283" t="s">
        <v>663</v>
      </c>
      <c r="C51" s="300" t="s">
        <v>647</v>
      </c>
      <c r="D51" s="668" t="s">
        <v>664</v>
      </c>
      <c r="E51" s="669"/>
      <c r="F51" s="670"/>
      <c r="G51" s="632"/>
      <c r="H51" s="633"/>
      <c r="I51" s="633"/>
      <c r="J51" s="634"/>
      <c r="K51" s="285"/>
    </row>
    <row r="52" spans="1:11" ht="13" x14ac:dyDescent="0.3">
      <c r="A52" s="655" t="s">
        <v>715</v>
      </c>
      <c r="B52" s="636"/>
      <c r="C52" s="636"/>
      <c r="D52" s="636"/>
      <c r="E52" s="636"/>
      <c r="F52" s="636"/>
      <c r="G52" s="636"/>
      <c r="H52" s="636"/>
      <c r="I52" s="636"/>
      <c r="J52" s="637"/>
      <c r="K52" s="285"/>
    </row>
    <row r="53" spans="1:11" ht="12.75" customHeight="1" x14ac:dyDescent="0.3">
      <c r="A53" s="288">
        <f>A51+1</f>
        <v>42</v>
      </c>
      <c r="B53" s="297" t="s">
        <v>618</v>
      </c>
      <c r="C53" s="298" t="s">
        <v>619</v>
      </c>
      <c r="D53" s="299" t="s">
        <v>620</v>
      </c>
      <c r="E53" s="299" t="s">
        <v>621</v>
      </c>
      <c r="F53" s="299" t="s">
        <v>622</v>
      </c>
      <c r="G53" s="671" t="s">
        <v>665</v>
      </c>
      <c r="H53" s="672"/>
      <c r="I53" s="672"/>
      <c r="J53" s="673"/>
      <c r="K53" s="285"/>
    </row>
    <row r="54" spans="1:11" ht="13" x14ac:dyDescent="0.3">
      <c r="A54" s="288">
        <f>A53+1</f>
        <v>43</v>
      </c>
      <c r="B54" s="283" t="s">
        <v>624</v>
      </c>
      <c r="C54" s="300" t="s">
        <v>625</v>
      </c>
      <c r="D54" s="284" t="s">
        <v>645</v>
      </c>
      <c r="E54" s="284" t="s">
        <v>645</v>
      </c>
      <c r="F54" s="284" t="s">
        <v>645</v>
      </c>
      <c r="G54" s="656" t="s">
        <v>666</v>
      </c>
      <c r="H54" s="657"/>
      <c r="I54" s="657"/>
      <c r="J54" s="658"/>
      <c r="K54" s="285"/>
    </row>
    <row r="55" spans="1:11" ht="13" x14ac:dyDescent="0.3">
      <c r="A55" s="288">
        <f t="shared" ref="A55:A63" si="4">A54+1</f>
        <v>44</v>
      </c>
      <c r="B55" s="283" t="s">
        <v>667</v>
      </c>
      <c r="C55" s="300" t="s">
        <v>628</v>
      </c>
      <c r="D55" s="284" t="s">
        <v>645</v>
      </c>
      <c r="E55" s="302">
        <v>2</v>
      </c>
      <c r="F55" s="302">
        <v>0</v>
      </c>
      <c r="G55" s="659"/>
      <c r="H55" s="660"/>
      <c r="I55" s="660"/>
      <c r="J55" s="661"/>
      <c r="K55" s="285"/>
    </row>
    <row r="56" spans="1:11" ht="13" x14ac:dyDescent="0.3">
      <c r="A56" s="288">
        <f t="shared" si="4"/>
        <v>45</v>
      </c>
      <c r="B56" s="283" t="s">
        <v>668</v>
      </c>
      <c r="C56" s="284" t="s">
        <v>630</v>
      </c>
      <c r="D56" s="284" t="s">
        <v>645</v>
      </c>
      <c r="E56" s="284" t="s">
        <v>645</v>
      </c>
      <c r="F56" s="284" t="s">
        <v>645</v>
      </c>
      <c r="G56" s="659"/>
      <c r="H56" s="660"/>
      <c r="I56" s="660"/>
      <c r="J56" s="661"/>
      <c r="K56" s="285"/>
    </row>
    <row r="57" spans="1:11" ht="13" x14ac:dyDescent="0.3">
      <c r="A57" s="288">
        <f t="shared" si="4"/>
        <v>46</v>
      </c>
      <c r="B57" s="662" t="s">
        <v>631</v>
      </c>
      <c r="C57" s="663"/>
      <c r="D57" s="663"/>
      <c r="E57" s="663"/>
      <c r="F57" s="664"/>
      <c r="G57" s="659"/>
      <c r="H57" s="660"/>
      <c r="I57" s="660"/>
      <c r="J57" s="661"/>
      <c r="K57" s="285"/>
    </row>
    <row r="58" spans="1:11" ht="13.5" x14ac:dyDescent="0.3">
      <c r="A58" s="288">
        <f t="shared" si="4"/>
        <v>47</v>
      </c>
      <c r="B58" s="283" t="s">
        <v>632</v>
      </c>
      <c r="C58" s="300" t="s">
        <v>633</v>
      </c>
      <c r="D58" s="643" t="s">
        <v>645</v>
      </c>
      <c r="E58" s="644"/>
      <c r="F58" s="645"/>
      <c r="G58" s="659"/>
      <c r="H58" s="660"/>
      <c r="I58" s="660"/>
      <c r="J58" s="661"/>
      <c r="K58" s="285"/>
    </row>
    <row r="59" spans="1:11" ht="13.5" x14ac:dyDescent="0.3">
      <c r="A59" s="288">
        <f t="shared" si="4"/>
        <v>48</v>
      </c>
      <c r="B59" s="283" t="s">
        <v>634</v>
      </c>
      <c r="C59" s="300" t="s">
        <v>633</v>
      </c>
      <c r="D59" s="643" t="s">
        <v>645</v>
      </c>
      <c r="E59" s="644"/>
      <c r="F59" s="645"/>
      <c r="G59" s="659"/>
      <c r="H59" s="660"/>
      <c r="I59" s="660"/>
      <c r="J59" s="661"/>
      <c r="K59" s="285"/>
    </row>
    <row r="60" spans="1:11" ht="13.5" x14ac:dyDescent="0.3">
      <c r="A60" s="288">
        <f t="shared" si="4"/>
        <v>49</v>
      </c>
      <c r="B60" s="283" t="s">
        <v>635</v>
      </c>
      <c r="C60" s="300" t="s">
        <v>633</v>
      </c>
      <c r="D60" s="643" t="s">
        <v>645</v>
      </c>
      <c r="E60" s="644"/>
      <c r="F60" s="645"/>
      <c r="G60" s="659"/>
      <c r="H60" s="660"/>
      <c r="I60" s="660"/>
      <c r="J60" s="661"/>
      <c r="K60" s="285"/>
    </row>
    <row r="61" spans="1:11" ht="13.5" x14ac:dyDescent="0.3">
      <c r="A61" s="288">
        <f t="shared" si="4"/>
        <v>50</v>
      </c>
      <c r="B61" s="283" t="s">
        <v>636</v>
      </c>
      <c r="C61" s="300" t="s">
        <v>633</v>
      </c>
      <c r="D61" s="643" t="s">
        <v>645</v>
      </c>
      <c r="E61" s="644"/>
      <c r="F61" s="645"/>
      <c r="G61" s="659"/>
      <c r="H61" s="660"/>
      <c r="I61" s="660"/>
      <c r="J61" s="661"/>
      <c r="K61" s="285"/>
    </row>
    <row r="62" spans="1:11" ht="13.5" x14ac:dyDescent="0.3">
      <c r="A62" s="288">
        <f t="shared" si="4"/>
        <v>51</v>
      </c>
      <c r="B62" s="283" t="s">
        <v>637</v>
      </c>
      <c r="C62" s="300" t="s">
        <v>633</v>
      </c>
      <c r="D62" s="643" t="s">
        <v>645</v>
      </c>
      <c r="E62" s="644"/>
      <c r="F62" s="645"/>
      <c r="G62" s="649"/>
      <c r="H62" s="650"/>
      <c r="I62" s="650"/>
      <c r="J62" s="651"/>
      <c r="K62" s="285"/>
    </row>
    <row r="63" spans="1:11" ht="13.5" x14ac:dyDescent="0.3">
      <c r="A63" s="288">
        <f t="shared" si="4"/>
        <v>52</v>
      </c>
      <c r="B63" s="283" t="s">
        <v>638</v>
      </c>
      <c r="C63" s="300" t="s">
        <v>633</v>
      </c>
      <c r="D63" s="643" t="s">
        <v>645</v>
      </c>
      <c r="E63" s="644"/>
      <c r="F63" s="645"/>
      <c r="G63" s="652"/>
      <c r="H63" s="653"/>
      <c r="I63" s="653"/>
      <c r="J63" s="654"/>
      <c r="K63" s="285"/>
    </row>
    <row r="64" spans="1:11" ht="13" x14ac:dyDescent="0.3">
      <c r="A64" s="655" t="s">
        <v>716</v>
      </c>
      <c r="B64" s="636"/>
      <c r="C64" s="636"/>
      <c r="D64" s="636"/>
      <c r="E64" s="636"/>
      <c r="F64" s="636"/>
      <c r="G64" s="636"/>
      <c r="H64" s="636"/>
      <c r="I64" s="636"/>
      <c r="J64" s="637"/>
      <c r="K64" s="285"/>
    </row>
    <row r="65" spans="1:11" ht="13" x14ac:dyDescent="0.3">
      <c r="A65" s="288">
        <f>A63+1</f>
        <v>53</v>
      </c>
      <c r="B65" s="297" t="s">
        <v>618</v>
      </c>
      <c r="C65" s="298" t="s">
        <v>619</v>
      </c>
      <c r="D65" s="299" t="s">
        <v>620</v>
      </c>
      <c r="E65" s="299" t="s">
        <v>621</v>
      </c>
      <c r="F65" s="299" t="s">
        <v>622</v>
      </c>
      <c r="G65" s="638" t="s">
        <v>623</v>
      </c>
      <c r="H65" s="624"/>
      <c r="I65" s="624"/>
      <c r="J65" s="625"/>
      <c r="K65" s="285"/>
    </row>
    <row r="66" spans="1:11" ht="14.5" customHeight="1" x14ac:dyDescent="0.3">
      <c r="A66" s="288">
        <f>A65+1</f>
        <v>54</v>
      </c>
      <c r="B66" s="283" t="s">
        <v>669</v>
      </c>
      <c r="C66" s="306"/>
      <c r="D66" s="643" t="s">
        <v>645</v>
      </c>
      <c r="E66" s="644"/>
      <c r="F66" s="645"/>
      <c r="G66" s="626" t="s">
        <v>722</v>
      </c>
      <c r="H66" s="627"/>
      <c r="I66" s="627"/>
      <c r="J66" s="628"/>
      <c r="K66" s="285"/>
    </row>
    <row r="67" spans="1:11" ht="15" customHeight="1" x14ac:dyDescent="0.3">
      <c r="A67" s="288">
        <f t="shared" ref="A67:A76" si="5">A66+1</f>
        <v>55</v>
      </c>
      <c r="B67" s="283" t="s">
        <v>624</v>
      </c>
      <c r="C67" s="300" t="s">
        <v>625</v>
      </c>
      <c r="D67" s="284" t="s">
        <v>645</v>
      </c>
      <c r="E67" s="284" t="s">
        <v>645</v>
      </c>
      <c r="F67" s="284" t="s">
        <v>645</v>
      </c>
      <c r="G67" s="629"/>
      <c r="H67" s="630"/>
      <c r="I67" s="630"/>
      <c r="J67" s="631"/>
      <c r="K67" s="285"/>
    </row>
    <row r="68" spans="1:11" ht="13" x14ac:dyDescent="0.3">
      <c r="A68" s="288">
        <f t="shared" si="5"/>
        <v>56</v>
      </c>
      <c r="B68" s="283" t="s">
        <v>670</v>
      </c>
      <c r="C68" s="300" t="s">
        <v>628</v>
      </c>
      <c r="D68" s="302">
        <v>5</v>
      </c>
      <c r="E68" s="302">
        <v>4</v>
      </c>
      <c r="F68" s="302">
        <v>0</v>
      </c>
      <c r="G68" s="629"/>
      <c r="H68" s="630"/>
      <c r="I68" s="630"/>
      <c r="J68" s="631"/>
      <c r="K68" s="285"/>
    </row>
    <row r="69" spans="1:11" ht="13" x14ac:dyDescent="0.3">
      <c r="A69" s="288">
        <f t="shared" si="5"/>
        <v>57</v>
      </c>
      <c r="B69" s="283" t="s">
        <v>668</v>
      </c>
      <c r="C69" s="284" t="s">
        <v>630</v>
      </c>
      <c r="D69" s="284" t="s">
        <v>645</v>
      </c>
      <c r="E69" s="284" t="s">
        <v>645</v>
      </c>
      <c r="F69" s="284" t="s">
        <v>645</v>
      </c>
      <c r="G69" s="629"/>
      <c r="H69" s="630"/>
      <c r="I69" s="630"/>
      <c r="J69" s="631"/>
      <c r="K69" s="285"/>
    </row>
    <row r="70" spans="1:11" ht="12.75" customHeight="1" x14ac:dyDescent="0.3">
      <c r="A70" s="288">
        <f t="shared" si="5"/>
        <v>58</v>
      </c>
      <c r="B70" s="662" t="s">
        <v>631</v>
      </c>
      <c r="C70" s="663"/>
      <c r="D70" s="663"/>
      <c r="E70" s="663"/>
      <c r="F70" s="664"/>
      <c r="G70" s="629"/>
      <c r="H70" s="630"/>
      <c r="I70" s="630"/>
      <c r="J70" s="631"/>
      <c r="K70" s="285"/>
    </row>
    <row r="71" spans="1:11" ht="13.5" x14ac:dyDescent="0.3">
      <c r="A71" s="288">
        <f t="shared" si="5"/>
        <v>59</v>
      </c>
      <c r="B71" s="283" t="s">
        <v>632</v>
      </c>
      <c r="C71" s="300" t="s">
        <v>633</v>
      </c>
      <c r="D71" s="643" t="s">
        <v>645</v>
      </c>
      <c r="E71" s="644"/>
      <c r="F71" s="645"/>
      <c r="G71" s="629"/>
      <c r="H71" s="630"/>
      <c r="I71" s="630"/>
      <c r="J71" s="631"/>
      <c r="K71" s="285"/>
    </row>
    <row r="72" spans="1:11" ht="13.5" x14ac:dyDescent="0.3">
      <c r="A72" s="288">
        <f t="shared" si="5"/>
        <v>60</v>
      </c>
      <c r="B72" s="283" t="s">
        <v>634</v>
      </c>
      <c r="C72" s="300" t="s">
        <v>633</v>
      </c>
      <c r="D72" s="643" t="s">
        <v>645</v>
      </c>
      <c r="E72" s="644"/>
      <c r="F72" s="645"/>
      <c r="G72" s="629"/>
      <c r="H72" s="630"/>
      <c r="I72" s="630"/>
      <c r="J72" s="631"/>
      <c r="K72" s="285"/>
    </row>
    <row r="73" spans="1:11" ht="13.5" x14ac:dyDescent="0.3">
      <c r="A73" s="288">
        <f t="shared" si="5"/>
        <v>61</v>
      </c>
      <c r="B73" s="283" t="s">
        <v>635</v>
      </c>
      <c r="C73" s="300" t="s">
        <v>633</v>
      </c>
      <c r="D73" s="643" t="s">
        <v>645</v>
      </c>
      <c r="E73" s="644"/>
      <c r="F73" s="645"/>
      <c r="G73" s="629"/>
      <c r="H73" s="630"/>
      <c r="I73" s="630"/>
      <c r="J73" s="631"/>
      <c r="K73" s="285"/>
    </row>
    <row r="74" spans="1:11" ht="13.5" x14ac:dyDescent="0.3">
      <c r="A74" s="288">
        <f t="shared" si="5"/>
        <v>62</v>
      </c>
      <c r="B74" s="283" t="s">
        <v>636</v>
      </c>
      <c r="C74" s="300" t="s">
        <v>633</v>
      </c>
      <c r="D74" s="643" t="s">
        <v>645</v>
      </c>
      <c r="E74" s="644"/>
      <c r="F74" s="645"/>
      <c r="G74" s="629"/>
      <c r="H74" s="630"/>
      <c r="I74" s="630"/>
      <c r="J74" s="631"/>
      <c r="K74" s="285"/>
    </row>
    <row r="75" spans="1:11" ht="13.5" x14ac:dyDescent="0.3">
      <c r="A75" s="288">
        <f t="shared" si="5"/>
        <v>63</v>
      </c>
      <c r="B75" s="283" t="s">
        <v>637</v>
      </c>
      <c r="C75" s="300" t="s">
        <v>633</v>
      </c>
      <c r="D75" s="643" t="s">
        <v>645</v>
      </c>
      <c r="E75" s="644"/>
      <c r="F75" s="645"/>
      <c r="G75" s="629"/>
      <c r="H75" s="630"/>
      <c r="I75" s="630"/>
      <c r="J75" s="631"/>
      <c r="K75" s="285"/>
    </row>
    <row r="76" spans="1:11" ht="13.5" x14ac:dyDescent="0.3">
      <c r="A76" s="288">
        <f t="shared" si="5"/>
        <v>64</v>
      </c>
      <c r="B76" s="283" t="s">
        <v>638</v>
      </c>
      <c r="C76" s="300" t="s">
        <v>633</v>
      </c>
      <c r="D76" s="643" t="s">
        <v>645</v>
      </c>
      <c r="E76" s="644"/>
      <c r="F76" s="645"/>
      <c r="G76" s="632"/>
      <c r="H76" s="633"/>
      <c r="I76" s="633"/>
      <c r="J76" s="634"/>
      <c r="K76" s="285"/>
    </row>
    <row r="77" spans="1:11" ht="13" x14ac:dyDescent="0.3">
      <c r="A77" s="635" t="s">
        <v>671</v>
      </c>
      <c r="B77" s="636"/>
      <c r="C77" s="636"/>
      <c r="D77" s="636"/>
      <c r="E77" s="636"/>
      <c r="F77" s="636"/>
      <c r="G77" s="636"/>
      <c r="H77" s="636"/>
      <c r="I77" s="636"/>
      <c r="J77" s="637"/>
      <c r="K77" s="285"/>
    </row>
    <row r="78" spans="1:11" ht="13" x14ac:dyDescent="0.3">
      <c r="A78" s="288">
        <f>A76+1</f>
        <v>65</v>
      </c>
      <c r="B78" s="297" t="s">
        <v>618</v>
      </c>
      <c r="C78" s="298" t="s">
        <v>619</v>
      </c>
      <c r="D78" s="299" t="s">
        <v>620</v>
      </c>
      <c r="E78" s="299" t="s">
        <v>621</v>
      </c>
      <c r="F78" s="299" t="s">
        <v>622</v>
      </c>
      <c r="G78" s="638" t="s">
        <v>623</v>
      </c>
      <c r="H78" s="624"/>
      <c r="I78" s="624"/>
      <c r="J78" s="625"/>
      <c r="K78" s="285"/>
    </row>
    <row r="79" spans="1:11" ht="13" x14ac:dyDescent="0.3">
      <c r="A79" s="288">
        <f>A78+1</f>
        <v>66</v>
      </c>
      <c r="B79" s="283" t="s">
        <v>672</v>
      </c>
      <c r="C79" s="284" t="s">
        <v>673</v>
      </c>
      <c r="D79" s="302">
        <v>120</v>
      </c>
      <c r="E79" s="302">
        <v>100</v>
      </c>
      <c r="F79" s="302">
        <v>80</v>
      </c>
      <c r="G79" s="649"/>
      <c r="H79" s="650"/>
      <c r="I79" s="650"/>
      <c r="J79" s="651"/>
      <c r="K79" s="285"/>
    </row>
    <row r="80" spans="1:11" ht="13" x14ac:dyDescent="0.3">
      <c r="A80" s="288">
        <f>A79+1</f>
        <v>67</v>
      </c>
      <c r="B80" s="283" t="s">
        <v>674</v>
      </c>
      <c r="C80" s="284" t="s">
        <v>630</v>
      </c>
      <c r="D80" s="302">
        <v>150</v>
      </c>
      <c r="E80" s="302">
        <v>100</v>
      </c>
      <c r="F80" s="302">
        <v>60</v>
      </c>
      <c r="G80" s="652"/>
      <c r="H80" s="653"/>
      <c r="I80" s="653"/>
      <c r="J80" s="654"/>
      <c r="K80" s="285"/>
    </row>
    <row r="81" spans="1:11" ht="13" x14ac:dyDescent="0.3">
      <c r="A81" s="635" t="s">
        <v>675</v>
      </c>
      <c r="B81" s="636"/>
      <c r="C81" s="636"/>
      <c r="D81" s="636"/>
      <c r="E81" s="636"/>
      <c r="F81" s="636"/>
      <c r="G81" s="636"/>
      <c r="H81" s="636"/>
      <c r="I81" s="636"/>
      <c r="J81" s="637"/>
      <c r="K81" s="285"/>
    </row>
    <row r="82" spans="1:11" ht="13" x14ac:dyDescent="0.3">
      <c r="A82" s="288">
        <f>A80+1</f>
        <v>68</v>
      </c>
      <c r="B82" s="297" t="s">
        <v>618</v>
      </c>
      <c r="C82" s="298" t="s">
        <v>619</v>
      </c>
      <c r="D82" s="638" t="s">
        <v>676</v>
      </c>
      <c r="E82" s="624"/>
      <c r="F82" s="625"/>
      <c r="G82" s="638" t="s">
        <v>623</v>
      </c>
      <c r="H82" s="624"/>
      <c r="I82" s="624"/>
      <c r="J82" s="625"/>
      <c r="K82" s="285"/>
    </row>
    <row r="83" spans="1:11" ht="13" x14ac:dyDescent="0.3">
      <c r="A83" s="288">
        <f>A82+1</f>
        <v>69</v>
      </c>
      <c r="B83" s="283" t="s">
        <v>677</v>
      </c>
      <c r="C83" s="284" t="s">
        <v>673</v>
      </c>
      <c r="D83" s="639">
        <v>250</v>
      </c>
      <c r="E83" s="640"/>
      <c r="F83" s="641"/>
      <c r="G83" s="626" t="s">
        <v>723</v>
      </c>
      <c r="H83" s="657"/>
      <c r="I83" s="657"/>
      <c r="J83" s="658"/>
      <c r="K83" s="285"/>
    </row>
    <row r="84" spans="1:11" ht="13" customHeight="1" x14ac:dyDescent="0.3">
      <c r="A84" s="288">
        <f t="shared" ref="A84:A87" si="6">A83+1</f>
        <v>70</v>
      </c>
      <c r="B84" s="283" t="s">
        <v>678</v>
      </c>
      <c r="C84" s="284" t="s">
        <v>630</v>
      </c>
      <c r="D84" s="639">
        <v>150</v>
      </c>
      <c r="E84" s="640"/>
      <c r="F84" s="641"/>
      <c r="G84" s="659"/>
      <c r="H84" s="660"/>
      <c r="I84" s="660"/>
      <c r="J84" s="661"/>
      <c r="K84" s="285"/>
    </row>
    <row r="85" spans="1:11" x14ac:dyDescent="0.3">
      <c r="A85" s="288">
        <f t="shared" si="6"/>
        <v>71</v>
      </c>
      <c r="B85" s="283" t="s">
        <v>679</v>
      </c>
      <c r="C85" s="306"/>
      <c r="D85" s="643" t="s">
        <v>680</v>
      </c>
      <c r="E85" s="644"/>
      <c r="F85" s="645"/>
      <c r="G85" s="659"/>
      <c r="H85" s="660"/>
      <c r="I85" s="660"/>
      <c r="J85" s="661"/>
      <c r="K85" s="285"/>
    </row>
    <row r="86" spans="1:11" x14ac:dyDescent="0.3">
      <c r="A86" s="288">
        <f t="shared" si="6"/>
        <v>72</v>
      </c>
      <c r="B86" s="283" t="s">
        <v>681</v>
      </c>
      <c r="C86" s="306"/>
      <c r="D86" s="643" t="s">
        <v>682</v>
      </c>
      <c r="E86" s="644"/>
      <c r="F86" s="645"/>
      <c r="G86" s="659"/>
      <c r="H86" s="660"/>
      <c r="I86" s="660"/>
      <c r="J86" s="661"/>
      <c r="K86" s="285"/>
    </row>
    <row r="87" spans="1:11" ht="16.5" customHeight="1" x14ac:dyDescent="0.3">
      <c r="A87" s="288">
        <f t="shared" si="6"/>
        <v>73</v>
      </c>
      <c r="B87" s="314" t="s">
        <v>683</v>
      </c>
      <c r="C87" s="306"/>
      <c r="D87" s="646" t="s">
        <v>213</v>
      </c>
      <c r="E87" s="647"/>
      <c r="F87" s="648"/>
      <c r="G87" s="665"/>
      <c r="H87" s="666"/>
      <c r="I87" s="666"/>
      <c r="J87" s="667"/>
      <c r="K87" s="285"/>
    </row>
    <row r="88" spans="1:11" ht="13" x14ac:dyDescent="0.3">
      <c r="A88" s="635" t="s">
        <v>684</v>
      </c>
      <c r="B88" s="636"/>
      <c r="C88" s="636"/>
      <c r="D88" s="636"/>
      <c r="E88" s="636"/>
      <c r="F88" s="636"/>
      <c r="G88" s="636"/>
      <c r="H88" s="636"/>
      <c r="I88" s="636"/>
      <c r="J88" s="637"/>
      <c r="K88" s="285"/>
    </row>
    <row r="89" spans="1:11" ht="13" x14ac:dyDescent="0.3">
      <c r="A89" s="288">
        <f>A87+1</f>
        <v>74</v>
      </c>
      <c r="B89" s="297" t="s">
        <v>618</v>
      </c>
      <c r="C89" s="298" t="s">
        <v>619</v>
      </c>
      <c r="D89" s="638" t="s">
        <v>676</v>
      </c>
      <c r="E89" s="624"/>
      <c r="F89" s="625"/>
      <c r="G89" s="638" t="s">
        <v>623</v>
      </c>
      <c r="H89" s="624"/>
      <c r="I89" s="624"/>
      <c r="J89" s="625"/>
      <c r="K89" s="285"/>
    </row>
    <row r="90" spans="1:11" ht="13" x14ac:dyDescent="0.3">
      <c r="A90" s="288">
        <f>A89+1</f>
        <v>75</v>
      </c>
      <c r="B90" s="283" t="s">
        <v>685</v>
      </c>
      <c r="C90" s="284" t="s">
        <v>686</v>
      </c>
      <c r="D90" s="639">
        <v>95</v>
      </c>
      <c r="E90" s="640"/>
      <c r="F90" s="641"/>
      <c r="G90" s="642"/>
      <c r="H90" s="627"/>
      <c r="I90" s="627"/>
      <c r="J90" s="628"/>
      <c r="K90" s="285"/>
    </row>
    <row r="91" spans="1:11" ht="13" x14ac:dyDescent="0.3">
      <c r="A91" s="288">
        <f t="shared" ref="A91:A94" si="7">A90+1</f>
        <v>76</v>
      </c>
      <c r="B91" s="283" t="s">
        <v>687</v>
      </c>
      <c r="C91" s="284" t="s">
        <v>630</v>
      </c>
      <c r="D91" s="639">
        <v>24</v>
      </c>
      <c r="E91" s="640"/>
      <c r="F91" s="641"/>
      <c r="G91" s="629"/>
      <c r="H91" s="630"/>
      <c r="I91" s="630"/>
      <c r="J91" s="631"/>
      <c r="K91" s="285"/>
    </row>
    <row r="92" spans="1:11" ht="13" x14ac:dyDescent="0.3">
      <c r="A92" s="288">
        <f t="shared" si="7"/>
        <v>77</v>
      </c>
      <c r="B92" s="283" t="s">
        <v>688</v>
      </c>
      <c r="C92" s="284" t="s">
        <v>630</v>
      </c>
      <c r="D92" s="639">
        <v>101</v>
      </c>
      <c r="E92" s="640"/>
      <c r="F92" s="641"/>
      <c r="G92" s="629"/>
      <c r="H92" s="630"/>
      <c r="I92" s="630"/>
      <c r="J92" s="631"/>
      <c r="K92" s="285"/>
    </row>
    <row r="93" spans="1:11" x14ac:dyDescent="0.3">
      <c r="A93" s="288">
        <f t="shared" si="7"/>
        <v>78</v>
      </c>
      <c r="B93" s="283" t="s">
        <v>689</v>
      </c>
      <c r="C93" s="306"/>
      <c r="D93" s="643" t="s">
        <v>690</v>
      </c>
      <c r="E93" s="644"/>
      <c r="F93" s="645"/>
      <c r="G93" s="629"/>
      <c r="H93" s="630"/>
      <c r="I93" s="630"/>
      <c r="J93" s="631"/>
      <c r="K93" s="285"/>
    </row>
    <row r="94" spans="1:11" ht="13" x14ac:dyDescent="0.3">
      <c r="A94" s="288">
        <f t="shared" si="7"/>
        <v>79</v>
      </c>
      <c r="B94" s="283" t="s">
        <v>691</v>
      </c>
      <c r="C94" s="300" t="s">
        <v>633</v>
      </c>
      <c r="D94" s="643" t="s">
        <v>692</v>
      </c>
      <c r="E94" s="644"/>
      <c r="F94" s="645"/>
      <c r="G94" s="632"/>
      <c r="H94" s="633"/>
      <c r="I94" s="633"/>
      <c r="J94" s="634"/>
      <c r="K94" s="285"/>
    </row>
    <row r="95" spans="1:11" ht="13" x14ac:dyDescent="0.3">
      <c r="A95" s="635" t="s">
        <v>693</v>
      </c>
      <c r="B95" s="636"/>
      <c r="C95" s="636"/>
      <c r="D95" s="636"/>
      <c r="E95" s="636"/>
      <c r="F95" s="636"/>
      <c r="G95" s="636"/>
      <c r="H95" s="636"/>
      <c r="I95" s="636"/>
      <c r="J95" s="637"/>
      <c r="K95" s="285"/>
    </row>
    <row r="96" spans="1:11" ht="13" x14ac:dyDescent="0.3">
      <c r="A96" s="288">
        <f>A94+1</f>
        <v>80</v>
      </c>
      <c r="B96" s="297" t="s">
        <v>618</v>
      </c>
      <c r="C96" s="298" t="s">
        <v>619</v>
      </c>
      <c r="D96" s="299" t="s">
        <v>694</v>
      </c>
      <c r="E96" s="299" t="s">
        <v>695</v>
      </c>
      <c r="F96" s="623" t="s">
        <v>221</v>
      </c>
      <c r="G96" s="624"/>
      <c r="H96" s="624"/>
      <c r="I96" s="624"/>
      <c r="J96" s="625"/>
      <c r="K96" s="285"/>
    </row>
    <row r="97" spans="1:11" x14ac:dyDescent="0.3">
      <c r="A97" s="288">
        <f>A96+1</f>
        <v>81</v>
      </c>
      <c r="B97" s="315" t="s">
        <v>717</v>
      </c>
      <c r="C97" s="316" t="s">
        <v>696</v>
      </c>
      <c r="D97" s="306"/>
      <c r="E97" s="306"/>
      <c r="F97" s="626" t="s">
        <v>718</v>
      </c>
      <c r="G97" s="627"/>
      <c r="H97" s="627"/>
      <c r="I97" s="627"/>
      <c r="J97" s="628"/>
      <c r="K97" s="285"/>
    </row>
    <row r="98" spans="1:11" ht="15" customHeight="1" x14ac:dyDescent="0.3">
      <c r="A98" s="288">
        <f t="shared" ref="A98:A103" si="8">A97+1</f>
        <v>82</v>
      </c>
      <c r="B98" s="283" t="s">
        <v>697</v>
      </c>
      <c r="C98" s="307" t="s">
        <v>696</v>
      </c>
      <c r="D98" s="306"/>
      <c r="E98" s="306"/>
      <c r="F98" s="629"/>
      <c r="G98" s="630"/>
      <c r="H98" s="630"/>
      <c r="I98" s="630"/>
      <c r="J98" s="631"/>
      <c r="K98" s="285"/>
    </row>
    <row r="99" spans="1:11" ht="15" customHeight="1" x14ac:dyDescent="0.3">
      <c r="A99" s="288">
        <f t="shared" si="8"/>
        <v>83</v>
      </c>
      <c r="B99" s="315" t="s">
        <v>719</v>
      </c>
      <c r="C99" s="307" t="s">
        <v>696</v>
      </c>
      <c r="D99" s="306"/>
      <c r="E99" s="306"/>
      <c r="F99" s="629"/>
      <c r="G99" s="630"/>
      <c r="H99" s="630"/>
      <c r="I99" s="630"/>
      <c r="J99" s="631"/>
      <c r="K99" s="285"/>
    </row>
    <row r="100" spans="1:11" ht="15" customHeight="1" x14ac:dyDescent="0.3">
      <c r="A100" s="288">
        <f t="shared" si="8"/>
        <v>84</v>
      </c>
      <c r="B100" s="283" t="s">
        <v>698</v>
      </c>
      <c r="C100" s="284" t="s">
        <v>630</v>
      </c>
      <c r="D100" s="302">
        <v>240</v>
      </c>
      <c r="E100" s="284" t="s">
        <v>645</v>
      </c>
      <c r="F100" s="629"/>
      <c r="G100" s="630"/>
      <c r="H100" s="630"/>
      <c r="I100" s="630"/>
      <c r="J100" s="631"/>
      <c r="K100" s="285"/>
    </row>
    <row r="101" spans="1:11" ht="14.5" customHeight="1" x14ac:dyDescent="0.3">
      <c r="A101" s="288">
        <f t="shared" si="8"/>
        <v>85</v>
      </c>
      <c r="B101" s="283" t="s">
        <v>699</v>
      </c>
      <c r="C101" s="307" t="s">
        <v>696</v>
      </c>
      <c r="D101" s="306"/>
      <c r="E101" s="306"/>
      <c r="F101" s="629"/>
      <c r="G101" s="630"/>
      <c r="H101" s="630"/>
      <c r="I101" s="630"/>
      <c r="J101" s="631"/>
      <c r="K101" s="285"/>
    </row>
    <row r="102" spans="1:11" x14ac:dyDescent="0.3">
      <c r="A102" s="288">
        <f t="shared" si="8"/>
        <v>86</v>
      </c>
      <c r="B102" s="283" t="s">
        <v>700</v>
      </c>
      <c r="C102" s="307" t="s">
        <v>696</v>
      </c>
      <c r="D102" s="306"/>
      <c r="E102" s="306"/>
      <c r="F102" s="629"/>
      <c r="G102" s="630"/>
      <c r="H102" s="630"/>
      <c r="I102" s="630"/>
      <c r="J102" s="631"/>
      <c r="K102" s="285"/>
    </row>
    <row r="103" spans="1:11" x14ac:dyDescent="0.3">
      <c r="A103" s="288">
        <f t="shared" si="8"/>
        <v>87</v>
      </c>
      <c r="B103" s="283" t="s">
        <v>701</v>
      </c>
      <c r="C103" s="307" t="s">
        <v>696</v>
      </c>
      <c r="D103" s="306"/>
      <c r="E103" s="306"/>
      <c r="F103" s="632"/>
      <c r="G103" s="633"/>
      <c r="H103" s="633"/>
      <c r="I103" s="633"/>
      <c r="J103" s="634"/>
      <c r="K103" s="285"/>
    </row>
    <row r="104" spans="1:11" ht="13" x14ac:dyDescent="0.3">
      <c r="A104" s="635" t="s">
        <v>702</v>
      </c>
      <c r="B104" s="636"/>
      <c r="C104" s="636"/>
      <c r="D104" s="636"/>
      <c r="E104" s="636"/>
      <c r="F104" s="636"/>
      <c r="G104" s="636"/>
      <c r="H104" s="636"/>
      <c r="I104" s="636"/>
      <c r="J104" s="637"/>
      <c r="K104" s="285"/>
    </row>
    <row r="105" spans="1:11" ht="13" x14ac:dyDescent="0.3">
      <c r="A105" s="616" t="s">
        <v>336</v>
      </c>
      <c r="B105" s="617"/>
      <c r="C105" s="617"/>
      <c r="D105" s="617"/>
      <c r="E105" s="617"/>
      <c r="F105" s="617"/>
      <c r="G105" s="617"/>
      <c r="H105" s="617"/>
      <c r="I105" s="617"/>
      <c r="J105" s="618"/>
      <c r="K105" s="285" t="s">
        <v>608</v>
      </c>
    </row>
    <row r="106" spans="1:11" ht="13" x14ac:dyDescent="0.3">
      <c r="A106" s="619" t="s">
        <v>703</v>
      </c>
      <c r="B106" s="617"/>
      <c r="C106" s="617"/>
      <c r="D106" s="617"/>
      <c r="E106" s="617"/>
      <c r="F106" s="617"/>
      <c r="G106" s="617"/>
      <c r="H106" s="617"/>
      <c r="I106" s="617"/>
      <c r="J106" s="618"/>
      <c r="K106" s="285"/>
    </row>
    <row r="107" spans="1:11" ht="13" x14ac:dyDescent="0.3">
      <c r="A107" s="616" t="s">
        <v>720</v>
      </c>
      <c r="B107" s="617"/>
      <c r="C107" s="617"/>
      <c r="D107" s="617"/>
      <c r="E107" s="617"/>
      <c r="F107" s="617"/>
      <c r="G107" s="617"/>
      <c r="H107" s="617"/>
      <c r="I107" s="617"/>
      <c r="J107" s="618"/>
      <c r="K107" s="285" t="s">
        <v>608</v>
      </c>
    </row>
    <row r="108" spans="1:11" ht="13" x14ac:dyDescent="0.3">
      <c r="A108" s="619" t="s">
        <v>704</v>
      </c>
      <c r="B108" s="617"/>
      <c r="C108" s="617"/>
      <c r="D108" s="617"/>
      <c r="E108" s="617"/>
      <c r="F108" s="617"/>
      <c r="G108" s="617"/>
      <c r="H108" s="617"/>
      <c r="I108" s="617"/>
      <c r="J108" s="618"/>
      <c r="K108" s="285"/>
    </row>
    <row r="109" spans="1:11" ht="13" x14ac:dyDescent="0.3">
      <c r="A109" s="616" t="s">
        <v>721</v>
      </c>
      <c r="B109" s="617"/>
      <c r="C109" s="617"/>
      <c r="D109" s="617"/>
      <c r="E109" s="617"/>
      <c r="F109" s="617"/>
      <c r="G109" s="617"/>
      <c r="H109" s="617"/>
      <c r="I109" s="617"/>
      <c r="J109" s="618"/>
      <c r="K109" s="285" t="s">
        <v>608</v>
      </c>
    </row>
    <row r="110" spans="1:11" ht="13" x14ac:dyDescent="0.3">
      <c r="A110" s="619" t="s">
        <v>705</v>
      </c>
      <c r="B110" s="617"/>
      <c r="C110" s="617"/>
      <c r="D110" s="617"/>
      <c r="E110" s="617"/>
      <c r="F110" s="617"/>
      <c r="G110" s="617"/>
      <c r="H110" s="617"/>
      <c r="I110" s="617"/>
      <c r="J110" s="618"/>
      <c r="K110" s="285"/>
    </row>
    <row r="111" spans="1:11" x14ac:dyDescent="0.35">
      <c r="A111" s="620"/>
      <c r="B111" s="621"/>
      <c r="C111" s="621"/>
      <c r="D111" s="621"/>
      <c r="E111" s="621"/>
      <c r="F111" s="621"/>
      <c r="G111" s="621"/>
      <c r="H111" s="621"/>
      <c r="I111" s="621"/>
      <c r="J111" s="622"/>
      <c r="K111" s="285"/>
    </row>
    <row r="112" spans="1:11" x14ac:dyDescent="0.3">
      <c r="A112" s="613" t="s">
        <v>706</v>
      </c>
      <c r="B112" s="614"/>
      <c r="C112" s="614"/>
      <c r="D112" s="614"/>
      <c r="E112" s="614"/>
      <c r="F112" s="614"/>
      <c r="G112" s="614"/>
      <c r="H112" s="614"/>
      <c r="I112" s="614"/>
      <c r="J112" s="614"/>
      <c r="K112" s="615"/>
    </row>
  </sheetData>
  <mergeCells count="102">
    <mergeCell ref="A1:K1"/>
    <mergeCell ref="A7:J7"/>
    <mergeCell ref="C11:J11"/>
    <mergeCell ref="C9:J9"/>
    <mergeCell ref="C8:J8"/>
    <mergeCell ref="D4:G4"/>
    <mergeCell ref="D5:G5"/>
    <mergeCell ref="A6:K6"/>
    <mergeCell ref="A13:J13"/>
    <mergeCell ref="D2:G2"/>
    <mergeCell ref="H2:K2"/>
    <mergeCell ref="D3:G3"/>
    <mergeCell ref="H3:K3"/>
    <mergeCell ref="A2:B5"/>
    <mergeCell ref="C10:J10"/>
    <mergeCell ref="G14:J14"/>
    <mergeCell ref="G15:J25"/>
    <mergeCell ref="A26:J26"/>
    <mergeCell ref="G27:J27"/>
    <mergeCell ref="G28:J38"/>
    <mergeCell ref="D34:F34"/>
    <mergeCell ref="D35:F35"/>
    <mergeCell ref="D36:F36"/>
    <mergeCell ref="D37:F37"/>
    <mergeCell ref="D20:F20"/>
    <mergeCell ref="D21:F21"/>
    <mergeCell ref="D24:F24"/>
    <mergeCell ref="D25:F25"/>
    <mergeCell ref="B18:F18"/>
    <mergeCell ref="D19:F19"/>
    <mergeCell ref="B46:F46"/>
    <mergeCell ref="D51:F51"/>
    <mergeCell ref="A52:J52"/>
    <mergeCell ref="G53:J53"/>
    <mergeCell ref="D22:F22"/>
    <mergeCell ref="D23:F23"/>
    <mergeCell ref="A39:J39"/>
    <mergeCell ref="G40:J40"/>
    <mergeCell ref="D47:F47"/>
    <mergeCell ref="D49:F49"/>
    <mergeCell ref="D50:F50"/>
    <mergeCell ref="D45:F45"/>
    <mergeCell ref="D48:F48"/>
    <mergeCell ref="D32:F32"/>
    <mergeCell ref="B31:F31"/>
    <mergeCell ref="D33:F33"/>
    <mergeCell ref="G41:J51"/>
    <mergeCell ref="D44:F44"/>
    <mergeCell ref="D38:F38"/>
    <mergeCell ref="D72:F72"/>
    <mergeCell ref="D73:F73"/>
    <mergeCell ref="D74:F74"/>
    <mergeCell ref="D76:F76"/>
    <mergeCell ref="D71:F71"/>
    <mergeCell ref="A95:J95"/>
    <mergeCell ref="A64:J64"/>
    <mergeCell ref="G65:J65"/>
    <mergeCell ref="D58:F58"/>
    <mergeCell ref="D59:F59"/>
    <mergeCell ref="D60:F60"/>
    <mergeCell ref="D61:F61"/>
    <mergeCell ref="G54:J61"/>
    <mergeCell ref="G62:J63"/>
    <mergeCell ref="D66:F66"/>
    <mergeCell ref="G66:J76"/>
    <mergeCell ref="B70:F70"/>
    <mergeCell ref="D75:F75"/>
    <mergeCell ref="B57:F57"/>
    <mergeCell ref="D62:F62"/>
    <mergeCell ref="D63:F63"/>
    <mergeCell ref="D83:F83"/>
    <mergeCell ref="G83:J87"/>
    <mergeCell ref="D84:F84"/>
    <mergeCell ref="D85:F85"/>
    <mergeCell ref="D86:F86"/>
    <mergeCell ref="D87:F87"/>
    <mergeCell ref="A77:J77"/>
    <mergeCell ref="G78:J78"/>
    <mergeCell ref="G79:J80"/>
    <mergeCell ref="A81:J81"/>
    <mergeCell ref="D82:F82"/>
    <mergeCell ref="G82:J82"/>
    <mergeCell ref="A88:J88"/>
    <mergeCell ref="D89:F89"/>
    <mergeCell ref="G89:J89"/>
    <mergeCell ref="D90:F90"/>
    <mergeCell ref="G90:J94"/>
    <mergeCell ref="D91:F91"/>
    <mergeCell ref="D92:F92"/>
    <mergeCell ref="D93:F93"/>
    <mergeCell ref="D94:F94"/>
    <mergeCell ref="A112:K112"/>
    <mergeCell ref="A107:J107"/>
    <mergeCell ref="A108:J108"/>
    <mergeCell ref="A109:J109"/>
    <mergeCell ref="A110:J110"/>
    <mergeCell ref="A111:J111"/>
    <mergeCell ref="F96:J96"/>
    <mergeCell ref="F97:J103"/>
    <mergeCell ref="A104:J104"/>
    <mergeCell ref="A105:J105"/>
    <mergeCell ref="A106:J106"/>
  </mergeCells>
  <pageMargins left="0.7" right="0.7" top="0.75" bottom="0.75" header="0.3" footer="0.3"/>
  <pageSetup paperSize="8" scale="76"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6172" r:id="rId4" name="Check Box 28">
              <controlPr defaultSize="0" autoFill="0" autoLine="0" autoPict="0">
                <anchor moveWithCells="1">
                  <from>
                    <xdr:col>2</xdr:col>
                    <xdr:colOff>12700</xdr:colOff>
                    <xdr:row>10</xdr:row>
                    <xdr:rowOff>146050</xdr:rowOff>
                  </from>
                  <to>
                    <xdr:col>2</xdr:col>
                    <xdr:colOff>431800</xdr:colOff>
                    <xdr:row>12</xdr:row>
                    <xdr:rowOff>38100</xdr:rowOff>
                  </to>
                </anchor>
              </controlPr>
            </control>
          </mc:Choice>
        </mc:AlternateContent>
        <mc:AlternateContent xmlns:mc="http://schemas.openxmlformats.org/markup-compatibility/2006">
          <mc:Choice Requires="x14">
            <control shapeId="6173" r:id="rId5" name="Check Box 29">
              <controlPr defaultSize="0" autoFill="0" autoLine="0" autoPict="0">
                <anchor moveWithCells="1">
                  <from>
                    <xdr:col>6</xdr:col>
                    <xdr:colOff>755650</xdr:colOff>
                    <xdr:row>10</xdr:row>
                    <xdr:rowOff>152400</xdr:rowOff>
                  </from>
                  <to>
                    <xdr:col>7</xdr:col>
                    <xdr:colOff>412750</xdr:colOff>
                    <xdr:row>12</xdr:row>
                    <xdr:rowOff>38100</xdr:rowOff>
                  </to>
                </anchor>
              </controlPr>
            </control>
          </mc:Choice>
        </mc:AlternateContent>
        <mc:AlternateContent xmlns:mc="http://schemas.openxmlformats.org/markup-compatibility/2006">
          <mc:Choice Requires="x14">
            <control shapeId="6174" r:id="rId6" name="Check Box 30">
              <controlPr defaultSize="0" autoFill="0" autoLine="0" autoPict="0">
                <anchor moveWithCells="1">
                  <from>
                    <xdr:col>4</xdr:col>
                    <xdr:colOff>431800</xdr:colOff>
                    <xdr:row>10</xdr:row>
                    <xdr:rowOff>146050</xdr:rowOff>
                  </from>
                  <to>
                    <xdr:col>5</xdr:col>
                    <xdr:colOff>152400</xdr:colOff>
                    <xdr:row>12</xdr:row>
                    <xdr:rowOff>31750</xdr:rowOff>
                  </to>
                </anchor>
              </controlPr>
            </control>
          </mc:Choice>
        </mc:AlternateContent>
        <mc:AlternateContent xmlns:mc="http://schemas.openxmlformats.org/markup-compatibility/2006">
          <mc:Choice Requires="x14">
            <control shapeId="6175" r:id="rId7" name="Check Box 31">
              <controlPr defaultSize="0" autoFill="0" autoLine="0" autoPict="0">
                <anchor moveWithCells="1">
                  <from>
                    <xdr:col>2</xdr:col>
                    <xdr:colOff>31750</xdr:colOff>
                    <xdr:row>10</xdr:row>
                    <xdr:rowOff>165100</xdr:rowOff>
                  </from>
                  <to>
                    <xdr:col>2</xdr:col>
                    <xdr:colOff>450850</xdr:colOff>
                    <xdr:row>12</xdr:row>
                    <xdr:rowOff>38100</xdr:rowOff>
                  </to>
                </anchor>
              </controlPr>
            </control>
          </mc:Choice>
        </mc:AlternateContent>
        <mc:AlternateContent xmlns:mc="http://schemas.openxmlformats.org/markup-compatibility/2006">
          <mc:Choice Requires="x14">
            <control shapeId="6176" r:id="rId8" name="Check Box 32">
              <controlPr defaultSize="0" autoFill="0" autoLine="0" autoPict="0">
                <anchor moveWithCells="1">
                  <from>
                    <xdr:col>7</xdr:col>
                    <xdr:colOff>31750</xdr:colOff>
                    <xdr:row>10</xdr:row>
                    <xdr:rowOff>165100</xdr:rowOff>
                  </from>
                  <to>
                    <xdr:col>7</xdr:col>
                    <xdr:colOff>431800</xdr:colOff>
                    <xdr:row>12</xdr:row>
                    <xdr:rowOff>38100</xdr:rowOff>
                  </to>
                </anchor>
              </controlPr>
            </control>
          </mc:Choice>
        </mc:AlternateContent>
        <mc:AlternateContent xmlns:mc="http://schemas.openxmlformats.org/markup-compatibility/2006">
          <mc:Choice Requires="x14">
            <control shapeId="6178" r:id="rId9" name="Check Box 34">
              <controlPr defaultSize="0" autoFill="0" autoLine="0" autoPict="0">
                <anchor moveWithCells="1">
                  <from>
                    <xdr:col>3</xdr:col>
                    <xdr:colOff>228600</xdr:colOff>
                    <xdr:row>96</xdr:row>
                    <xdr:rowOff>317500</xdr:rowOff>
                  </from>
                  <to>
                    <xdr:col>3</xdr:col>
                    <xdr:colOff>609600</xdr:colOff>
                    <xdr:row>98</xdr:row>
                    <xdr:rowOff>31750</xdr:rowOff>
                  </to>
                </anchor>
              </controlPr>
            </control>
          </mc:Choice>
        </mc:AlternateContent>
        <mc:AlternateContent xmlns:mc="http://schemas.openxmlformats.org/markup-compatibility/2006">
          <mc:Choice Requires="x14">
            <control shapeId="6179" r:id="rId10" name="Check Box 35">
              <controlPr defaultSize="0" autoFill="0" autoLine="0" autoPict="0">
                <anchor moveWithCells="1">
                  <from>
                    <xdr:col>4</xdr:col>
                    <xdr:colOff>222250</xdr:colOff>
                    <xdr:row>96</xdr:row>
                    <xdr:rowOff>317500</xdr:rowOff>
                  </from>
                  <to>
                    <xdr:col>4</xdr:col>
                    <xdr:colOff>603250</xdr:colOff>
                    <xdr:row>98</xdr:row>
                    <xdr:rowOff>31750</xdr:rowOff>
                  </to>
                </anchor>
              </controlPr>
            </control>
          </mc:Choice>
        </mc:AlternateContent>
        <mc:AlternateContent xmlns:mc="http://schemas.openxmlformats.org/markup-compatibility/2006">
          <mc:Choice Requires="x14">
            <control shapeId="6180" r:id="rId11" name="Check Box 36">
              <controlPr defaultSize="0" autoFill="0" autoLine="0" autoPict="0">
                <anchor moveWithCells="1">
                  <from>
                    <xdr:col>3</xdr:col>
                    <xdr:colOff>260350</xdr:colOff>
                    <xdr:row>101</xdr:row>
                    <xdr:rowOff>317500</xdr:rowOff>
                  </from>
                  <to>
                    <xdr:col>3</xdr:col>
                    <xdr:colOff>641350</xdr:colOff>
                    <xdr:row>103</xdr:row>
                    <xdr:rowOff>31750</xdr:rowOff>
                  </to>
                </anchor>
              </controlPr>
            </control>
          </mc:Choice>
        </mc:AlternateContent>
        <mc:AlternateContent xmlns:mc="http://schemas.openxmlformats.org/markup-compatibility/2006">
          <mc:Choice Requires="x14">
            <control shapeId="6181" r:id="rId12" name="Check Box 37">
              <controlPr defaultSize="0" autoFill="0" autoLine="0" autoPict="0">
                <anchor moveWithCells="1">
                  <from>
                    <xdr:col>4</xdr:col>
                    <xdr:colOff>228600</xdr:colOff>
                    <xdr:row>101</xdr:row>
                    <xdr:rowOff>317500</xdr:rowOff>
                  </from>
                  <to>
                    <xdr:col>4</xdr:col>
                    <xdr:colOff>622300</xdr:colOff>
                    <xdr:row>103</xdr:row>
                    <xdr:rowOff>31750</xdr:rowOff>
                  </to>
                </anchor>
              </controlPr>
            </control>
          </mc:Choice>
        </mc:AlternateContent>
        <mc:AlternateContent xmlns:mc="http://schemas.openxmlformats.org/markup-compatibility/2006">
          <mc:Choice Requires="x14">
            <control shapeId="6182" r:id="rId13" name="Check Box 38">
              <controlPr defaultSize="0" autoFill="0" autoLine="0" autoPict="0">
                <anchor moveWithCells="1">
                  <from>
                    <xdr:col>3</xdr:col>
                    <xdr:colOff>241300</xdr:colOff>
                    <xdr:row>101</xdr:row>
                    <xdr:rowOff>69850</xdr:rowOff>
                  </from>
                  <to>
                    <xdr:col>3</xdr:col>
                    <xdr:colOff>622300</xdr:colOff>
                    <xdr:row>101</xdr:row>
                    <xdr:rowOff>279400</xdr:rowOff>
                  </to>
                </anchor>
              </controlPr>
            </control>
          </mc:Choice>
        </mc:AlternateContent>
        <mc:AlternateContent xmlns:mc="http://schemas.openxmlformats.org/markup-compatibility/2006">
          <mc:Choice Requires="x14">
            <control shapeId="6183" r:id="rId14" name="Check Box 39">
              <controlPr defaultSize="0" autoFill="0" autoLine="0" autoPict="0">
                <anchor moveWithCells="1">
                  <from>
                    <xdr:col>4</xdr:col>
                    <xdr:colOff>222250</xdr:colOff>
                    <xdr:row>101</xdr:row>
                    <xdr:rowOff>69850</xdr:rowOff>
                  </from>
                  <to>
                    <xdr:col>4</xdr:col>
                    <xdr:colOff>609600</xdr:colOff>
                    <xdr:row>101</xdr:row>
                    <xdr:rowOff>279400</xdr:rowOff>
                  </to>
                </anchor>
              </controlPr>
            </control>
          </mc:Choice>
        </mc:AlternateContent>
        <mc:AlternateContent xmlns:mc="http://schemas.openxmlformats.org/markup-compatibility/2006">
          <mc:Choice Requires="x14">
            <control shapeId="6184" r:id="rId15" name="Check Box 40">
              <controlPr defaultSize="0" autoFill="0" autoLine="0" autoPict="0">
                <anchor moveWithCells="1">
                  <from>
                    <xdr:col>3</xdr:col>
                    <xdr:colOff>228600</xdr:colOff>
                    <xdr:row>99</xdr:row>
                    <xdr:rowOff>184150</xdr:rowOff>
                  </from>
                  <to>
                    <xdr:col>3</xdr:col>
                    <xdr:colOff>609600</xdr:colOff>
                    <xdr:row>101</xdr:row>
                    <xdr:rowOff>31750</xdr:rowOff>
                  </to>
                </anchor>
              </controlPr>
            </control>
          </mc:Choice>
        </mc:AlternateContent>
        <mc:AlternateContent xmlns:mc="http://schemas.openxmlformats.org/markup-compatibility/2006">
          <mc:Choice Requires="x14">
            <control shapeId="6185" r:id="rId16" name="Check Box 41">
              <controlPr defaultSize="0" autoFill="0" autoLine="0" autoPict="0">
                <anchor moveWithCells="1">
                  <from>
                    <xdr:col>4</xdr:col>
                    <xdr:colOff>222250</xdr:colOff>
                    <xdr:row>99</xdr:row>
                    <xdr:rowOff>184150</xdr:rowOff>
                  </from>
                  <to>
                    <xdr:col>4</xdr:col>
                    <xdr:colOff>603250</xdr:colOff>
                    <xdr:row>101</xdr:row>
                    <xdr:rowOff>31750</xdr:rowOff>
                  </to>
                </anchor>
              </controlPr>
            </control>
          </mc:Choice>
        </mc:AlternateContent>
        <mc:AlternateContent xmlns:mc="http://schemas.openxmlformats.org/markup-compatibility/2006">
          <mc:Choice Requires="x14">
            <control shapeId="6186" r:id="rId17" name="Check Box 42">
              <controlPr defaultSize="0" autoFill="0" autoLine="0" autoPict="0">
                <anchor moveWithCells="1">
                  <from>
                    <xdr:col>3</xdr:col>
                    <xdr:colOff>241300</xdr:colOff>
                    <xdr:row>98</xdr:row>
                    <xdr:rowOff>12700</xdr:rowOff>
                  </from>
                  <to>
                    <xdr:col>3</xdr:col>
                    <xdr:colOff>622300</xdr:colOff>
                    <xdr:row>99</xdr:row>
                    <xdr:rowOff>38100</xdr:rowOff>
                  </to>
                </anchor>
              </controlPr>
            </control>
          </mc:Choice>
        </mc:AlternateContent>
        <mc:AlternateContent xmlns:mc="http://schemas.openxmlformats.org/markup-compatibility/2006">
          <mc:Choice Requires="x14">
            <control shapeId="6187" r:id="rId18" name="Check Box 43">
              <controlPr defaultSize="0" autoFill="0" autoLine="0" autoPict="0">
                <anchor moveWithCells="1">
                  <from>
                    <xdr:col>4</xdr:col>
                    <xdr:colOff>222250</xdr:colOff>
                    <xdr:row>98</xdr:row>
                    <xdr:rowOff>12700</xdr:rowOff>
                  </from>
                  <to>
                    <xdr:col>4</xdr:col>
                    <xdr:colOff>609600</xdr:colOff>
                    <xdr:row>99</xdr:row>
                    <xdr:rowOff>38100</xdr:rowOff>
                  </to>
                </anchor>
              </controlPr>
            </control>
          </mc:Choice>
        </mc:AlternateContent>
        <mc:AlternateContent xmlns:mc="http://schemas.openxmlformats.org/markup-compatibility/2006">
          <mc:Choice Requires="x14">
            <control shapeId="6188" r:id="rId19" name="Check Box 44">
              <controlPr defaultSize="0" autoFill="0" autoLine="0" autoPict="0">
                <anchor moveWithCells="1">
                  <from>
                    <xdr:col>3</xdr:col>
                    <xdr:colOff>228600</xdr:colOff>
                    <xdr:row>95</xdr:row>
                    <xdr:rowOff>317500</xdr:rowOff>
                  </from>
                  <to>
                    <xdr:col>3</xdr:col>
                    <xdr:colOff>609600</xdr:colOff>
                    <xdr:row>96</xdr:row>
                    <xdr:rowOff>222250</xdr:rowOff>
                  </to>
                </anchor>
              </controlPr>
            </control>
          </mc:Choice>
        </mc:AlternateContent>
        <mc:AlternateContent xmlns:mc="http://schemas.openxmlformats.org/markup-compatibility/2006">
          <mc:Choice Requires="x14">
            <control shapeId="6189" r:id="rId20" name="Check Box 45">
              <controlPr defaultSize="0" autoFill="0" autoLine="0" autoPict="0">
                <anchor moveWithCells="1">
                  <from>
                    <xdr:col>4</xdr:col>
                    <xdr:colOff>222250</xdr:colOff>
                    <xdr:row>95</xdr:row>
                    <xdr:rowOff>317500</xdr:rowOff>
                  </from>
                  <to>
                    <xdr:col>4</xdr:col>
                    <xdr:colOff>603250</xdr:colOff>
                    <xdr:row>96</xdr:row>
                    <xdr:rowOff>222250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5D614-A63B-4E54-90A9-288B7999BB52}">
  <sheetPr>
    <pageSetUpPr fitToPage="1"/>
  </sheetPr>
  <dimension ref="A1:P96"/>
  <sheetViews>
    <sheetView topLeftCell="A64" zoomScale="70" zoomScaleNormal="70" workbookViewId="0">
      <selection activeCell="M85" sqref="M85"/>
    </sheetView>
  </sheetViews>
  <sheetFormatPr defaultColWidth="8.81640625" defaultRowHeight="13" x14ac:dyDescent="0.3"/>
  <cols>
    <col min="1" max="1" width="3.453125" style="152" customWidth="1"/>
    <col min="2" max="2" width="29.81640625" style="104" customWidth="1"/>
    <col min="3" max="3" width="10.1796875" style="104" customWidth="1"/>
    <col min="4" max="4" width="9.81640625" style="104" bestFit="1" customWidth="1"/>
    <col min="5" max="5" width="9.453125" style="104" bestFit="1" customWidth="1"/>
    <col min="6" max="6" width="9.1796875" style="104" customWidth="1"/>
    <col min="7" max="7" width="10.81640625" style="104" customWidth="1"/>
    <col min="8" max="8" width="8.54296875" style="104" bestFit="1" customWidth="1"/>
    <col min="9" max="9" width="6.81640625" style="104" bestFit="1" customWidth="1"/>
    <col min="10" max="10" width="7.1796875" style="104" customWidth="1"/>
    <col min="11" max="11" width="5" style="104" customWidth="1"/>
    <col min="12" max="12" width="8.81640625" style="104"/>
    <col min="13" max="13" width="19.453125" style="104" bestFit="1" customWidth="1"/>
    <col min="14" max="14" width="8.81640625" style="104"/>
    <col min="15" max="16" width="28.1796875" style="104" customWidth="1"/>
    <col min="17" max="16384" width="8.81640625" style="104"/>
  </cols>
  <sheetData>
    <row r="1" spans="1:16" ht="13.5" thickBot="1" x14ac:dyDescent="0.35">
      <c r="A1" s="707" t="s">
        <v>224</v>
      </c>
      <c r="B1" s="708"/>
      <c r="C1" s="708"/>
      <c r="D1" s="708"/>
      <c r="E1" s="708"/>
      <c r="F1" s="708"/>
      <c r="G1" s="708"/>
      <c r="H1" s="708"/>
      <c r="I1" s="708"/>
      <c r="J1" s="708"/>
      <c r="K1" s="709"/>
    </row>
    <row r="2" spans="1:16" ht="14.5" customHeight="1" x14ac:dyDescent="0.3">
      <c r="A2" s="731"/>
      <c r="B2" s="732"/>
      <c r="C2" s="122" t="s">
        <v>219</v>
      </c>
      <c r="D2" s="737" t="s">
        <v>220</v>
      </c>
      <c r="E2" s="737"/>
      <c r="F2" s="737"/>
      <c r="G2" s="737"/>
      <c r="H2" s="738" t="s">
        <v>274</v>
      </c>
      <c r="I2" s="738"/>
      <c r="J2" s="738"/>
      <c r="K2" s="739"/>
    </row>
    <row r="3" spans="1:16" ht="14.5" customHeight="1" x14ac:dyDescent="0.3">
      <c r="A3" s="733"/>
      <c r="B3" s="734"/>
      <c r="C3" s="119" t="s">
        <v>210</v>
      </c>
      <c r="D3" s="602" t="s">
        <v>332</v>
      </c>
      <c r="E3" s="602"/>
      <c r="F3" s="602"/>
      <c r="G3" s="602"/>
      <c r="H3" s="593" t="s">
        <v>223</v>
      </c>
      <c r="I3" s="593"/>
      <c r="J3" s="593"/>
      <c r="K3" s="740"/>
    </row>
    <row r="4" spans="1:16" ht="14.5" customHeight="1" x14ac:dyDescent="0.3">
      <c r="A4" s="733"/>
      <c r="B4" s="734"/>
      <c r="C4" s="119" t="s">
        <v>212</v>
      </c>
      <c r="D4" s="602" t="s">
        <v>226</v>
      </c>
      <c r="E4" s="602"/>
      <c r="F4" s="602"/>
      <c r="G4" s="602"/>
      <c r="H4" s="105" t="s">
        <v>231</v>
      </c>
      <c r="I4" s="105" t="s">
        <v>229</v>
      </c>
      <c r="J4" s="105" t="s">
        <v>230</v>
      </c>
      <c r="K4" s="111" t="s">
        <v>235</v>
      </c>
    </row>
    <row r="5" spans="1:16" ht="15" customHeight="1" thickBot="1" x14ac:dyDescent="0.35">
      <c r="A5" s="735"/>
      <c r="B5" s="736"/>
      <c r="C5" s="121" t="s">
        <v>227</v>
      </c>
      <c r="D5" s="741" t="s">
        <v>228</v>
      </c>
      <c r="E5" s="741"/>
      <c r="F5" s="741"/>
      <c r="G5" s="741"/>
      <c r="H5" s="102" t="s">
        <v>232</v>
      </c>
      <c r="I5" s="102" t="s">
        <v>234</v>
      </c>
      <c r="J5" s="102" t="s">
        <v>233</v>
      </c>
      <c r="K5" s="103" t="s">
        <v>46</v>
      </c>
    </row>
    <row r="6" spans="1:16" ht="8.15" customHeight="1" thickBot="1" x14ac:dyDescent="0.35">
      <c r="A6" s="742"/>
      <c r="B6" s="743"/>
      <c r="C6" s="743"/>
      <c r="D6" s="743"/>
      <c r="E6" s="743"/>
      <c r="F6" s="743"/>
      <c r="G6" s="743"/>
      <c r="H6" s="743"/>
      <c r="I6" s="743"/>
      <c r="J6" s="743"/>
      <c r="K6" s="744"/>
    </row>
    <row r="7" spans="1:16" ht="13.5" thickBot="1" x14ac:dyDescent="0.35">
      <c r="A7" s="745" t="s">
        <v>236</v>
      </c>
      <c r="B7" s="746"/>
      <c r="C7" s="746"/>
      <c r="D7" s="746"/>
      <c r="E7" s="746"/>
      <c r="F7" s="746"/>
      <c r="G7" s="746"/>
      <c r="H7" s="746"/>
      <c r="I7" s="746"/>
      <c r="J7" s="747"/>
      <c r="K7" s="110" t="s">
        <v>211</v>
      </c>
      <c r="M7" s="104" t="s">
        <v>6</v>
      </c>
      <c r="O7" s="137">
        <v>4</v>
      </c>
      <c r="P7" s="137">
        <v>5</v>
      </c>
    </row>
    <row r="8" spans="1:16" x14ac:dyDescent="0.3">
      <c r="A8" s="147">
        <v>1</v>
      </c>
      <c r="B8" s="122" t="s">
        <v>277</v>
      </c>
      <c r="C8" s="737" t="s">
        <v>276</v>
      </c>
      <c r="D8" s="737"/>
      <c r="E8" s="737"/>
      <c r="F8" s="737"/>
      <c r="G8" s="737"/>
      <c r="H8" s="737"/>
      <c r="I8" s="737"/>
      <c r="J8" s="748"/>
      <c r="K8" s="108"/>
      <c r="M8" s="104" t="s">
        <v>14</v>
      </c>
      <c r="O8" s="104" t="str">
        <f>HLOOKUP(O7,'Property Calc_Design Flow'!$E$2:$ED$3,2,FALSE)</f>
        <v>FEED+RECYCLE TO COMPRESSOR</v>
      </c>
      <c r="P8" s="104" t="str">
        <f>HLOOKUP(P7,'Property Calc_Design Flow'!$E$2:$ED$3,2,FALSE)</f>
        <v>COMPRESSOR DISCHARGE TO AFTERCOOLER</v>
      </c>
    </row>
    <row r="9" spans="1:16" ht="14.5" x14ac:dyDescent="0.35">
      <c r="A9" s="148">
        <f>A8+1</f>
        <v>2</v>
      </c>
      <c r="B9" s="119" t="s">
        <v>275</v>
      </c>
      <c r="C9" s="602" t="s">
        <v>278</v>
      </c>
      <c r="D9" s="602"/>
      <c r="E9" s="602"/>
      <c r="F9" s="602"/>
      <c r="G9" s="602"/>
      <c r="H9" s="602"/>
      <c r="I9" s="602"/>
      <c r="J9" s="749"/>
      <c r="K9" s="108"/>
      <c r="M9" s="19" t="s">
        <v>1</v>
      </c>
      <c r="N9" s="73" t="s">
        <v>5</v>
      </c>
      <c r="O9" s="73">
        <f>HLOOKUP(O$8,'Property Calc_Design Flow'!$E$3:$EJ$25,MATCH(M9,'Property Calc_Design Flow'!$C$3:$C$24,0),FALSE)</f>
        <v>62.5</v>
      </c>
      <c r="P9" s="73">
        <f>HLOOKUP(P$8,'Property Calc_Design Flow'!$E$3:$EJ$25,MATCH(M9,'Property Calc_Design Flow'!$C$3:$C$24,0),FALSE)</f>
        <v>200</v>
      </c>
    </row>
    <row r="10" spans="1:16" ht="14.5" x14ac:dyDescent="0.35">
      <c r="A10" s="149">
        <f>A9+1</f>
        <v>3</v>
      </c>
      <c r="B10" s="136" t="s">
        <v>279</v>
      </c>
      <c r="C10" s="602" t="s">
        <v>280</v>
      </c>
      <c r="D10" s="602"/>
      <c r="E10" s="602"/>
      <c r="F10" s="602"/>
      <c r="G10" s="602"/>
      <c r="H10" s="602"/>
      <c r="I10" s="602"/>
      <c r="J10" s="749"/>
      <c r="K10" s="108"/>
      <c r="M10" s="19" t="s">
        <v>0</v>
      </c>
      <c r="N10" s="73" t="s">
        <v>4</v>
      </c>
      <c r="O10" s="73">
        <f>HLOOKUP(O$8,'Property Calc_Design Flow'!$E$3:$EJ$25,MATCH(M10,'Property Calc_Design Flow'!$C$3:$C$24,0),FALSE)</f>
        <v>92.740094703881937</v>
      </c>
      <c r="P10" s="73">
        <f>HLOOKUP(P$8,'Property Calc_Design Flow'!$E$3:$EJ$25,MATCH(M10,'Property Calc_Design Flow'!$C$3:$C$24,0),FALSE)</f>
        <v>245</v>
      </c>
    </row>
    <row r="11" spans="1:16" ht="14.5" x14ac:dyDescent="0.35">
      <c r="A11" s="149">
        <f>A10+1</f>
        <v>4</v>
      </c>
      <c r="B11" s="136" t="s">
        <v>355</v>
      </c>
      <c r="C11" s="146"/>
      <c r="D11" s="692" t="s">
        <v>356</v>
      </c>
      <c r="E11" s="692"/>
      <c r="F11" s="703"/>
      <c r="G11" s="145"/>
      <c r="H11" s="692" t="s">
        <v>357</v>
      </c>
      <c r="I11" s="692"/>
      <c r="J11" s="693"/>
      <c r="K11" s="108"/>
      <c r="M11" s="19"/>
      <c r="N11" s="73"/>
      <c r="O11" s="73"/>
      <c r="P11" s="73"/>
    </row>
    <row r="12" spans="1:16" ht="14.5" x14ac:dyDescent="0.35">
      <c r="A12" s="148">
        <f>A11+1</f>
        <v>5</v>
      </c>
      <c r="B12" s="157" t="s">
        <v>225</v>
      </c>
      <c r="C12" s="602" t="s">
        <v>281</v>
      </c>
      <c r="D12" s="602"/>
      <c r="E12" s="602"/>
      <c r="F12" s="602"/>
      <c r="G12" s="602"/>
      <c r="H12" s="602"/>
      <c r="I12" s="602"/>
      <c r="J12" s="749"/>
      <c r="K12" s="108"/>
      <c r="M12" s="19" t="s">
        <v>26</v>
      </c>
      <c r="N12" s="73" t="s">
        <v>27</v>
      </c>
      <c r="O12" s="73">
        <f>HLOOKUP(O$8,'Property Calc_Design Flow'!$E$3:$EJ$25,MATCH(M12,'Property Calc_Design Flow'!$C$3:$C$24,0),FALSE)</f>
        <v>4075.5358663686952</v>
      </c>
      <c r="P12" s="73">
        <f>HLOOKUP(P$8,'Property Calc_Design Flow'!$E$3:$EJ$25,MATCH(M12,'Property Calc_Design Flow'!$C$3:$C$24,0),FALSE)</f>
        <v>4075.5358663686952</v>
      </c>
    </row>
    <row r="13" spans="1:16" ht="15" thickBot="1" x14ac:dyDescent="0.4">
      <c r="A13" s="163">
        <f>A12+1</f>
        <v>6</v>
      </c>
      <c r="B13" s="161" t="s">
        <v>392</v>
      </c>
      <c r="C13" s="166" t="s">
        <v>393</v>
      </c>
      <c r="D13" s="167"/>
      <c r="E13" s="168"/>
      <c r="F13" s="167" t="s">
        <v>394</v>
      </c>
      <c r="G13" s="167"/>
      <c r="H13" s="169" t="s">
        <v>395</v>
      </c>
      <c r="I13" s="167"/>
      <c r="J13" s="170"/>
      <c r="K13" s="108"/>
      <c r="M13" s="19"/>
      <c r="N13" s="73"/>
      <c r="O13" s="73"/>
      <c r="P13" s="73"/>
    </row>
    <row r="14" spans="1:16" ht="15" thickBot="1" x14ac:dyDescent="0.4">
      <c r="A14" s="707" t="s">
        <v>284</v>
      </c>
      <c r="B14" s="708"/>
      <c r="C14" s="708"/>
      <c r="D14" s="708"/>
      <c r="E14" s="708"/>
      <c r="F14" s="708"/>
      <c r="G14" s="708"/>
      <c r="H14" s="708"/>
      <c r="I14" s="708"/>
      <c r="J14" s="709"/>
      <c r="K14" s="109"/>
      <c r="M14" s="19" t="s">
        <v>28</v>
      </c>
      <c r="N14" s="73" t="s">
        <v>29</v>
      </c>
      <c r="O14" s="73">
        <f>HLOOKUP(O$8,'Property Calc_Design Flow'!$E$3:$EJ$25,MATCH(M14,'Property Calc_Design Flow'!$C$3:$C$24,0),FALSE)</f>
        <v>824.90204232168674</v>
      </c>
      <c r="P14" s="73">
        <f>HLOOKUP(P$8,'Property Calc_Design Flow'!$E$3:$EJ$25,MATCH(M14,'Property Calc_Design Flow'!$C$3:$C$24,0),FALSE)</f>
        <v>378.3169355371715</v>
      </c>
    </row>
    <row r="15" spans="1:16" ht="14.5" x14ac:dyDescent="0.35">
      <c r="A15" s="147">
        <f>A13+1</f>
        <v>7</v>
      </c>
      <c r="B15" s="106" t="s">
        <v>248</v>
      </c>
      <c r="C15" s="116" t="s">
        <v>222</v>
      </c>
      <c r="D15" s="116" t="s">
        <v>215</v>
      </c>
      <c r="E15" s="116" t="s">
        <v>218</v>
      </c>
      <c r="F15" s="116" t="s">
        <v>214</v>
      </c>
      <c r="G15" s="710" t="s">
        <v>221</v>
      </c>
      <c r="H15" s="710"/>
      <c r="I15" s="710"/>
      <c r="J15" s="711"/>
      <c r="K15" s="107"/>
      <c r="M15" s="19" t="s">
        <v>2</v>
      </c>
      <c r="N15" s="73" t="s">
        <v>3</v>
      </c>
      <c r="O15" s="73">
        <f>HLOOKUP(O$8,'Property Calc_Design Flow'!$E$3:$EJ$25,MATCH(M15,'Property Calc_Design Flow'!$C$3:$C$24,0),FALSE)</f>
        <v>17977.887835924874</v>
      </c>
      <c r="P15" s="73">
        <f>HLOOKUP(P$8,'Property Calc_Design Flow'!$E$3:$EJ$25,MATCH(M15,'Property Calc_Design Flow'!$C$3:$C$24,0),FALSE)</f>
        <v>17977.887835924874</v>
      </c>
    </row>
    <row r="16" spans="1:16" ht="14.5" x14ac:dyDescent="0.35">
      <c r="A16" s="148">
        <f>A15+1</f>
        <v>8</v>
      </c>
      <c r="B16" s="119" t="s">
        <v>282</v>
      </c>
      <c r="C16" s="100" t="s">
        <v>27</v>
      </c>
      <c r="D16" s="117">
        <f>O12</f>
        <v>4075.5358663686952</v>
      </c>
      <c r="E16" s="117">
        <f>D16</f>
        <v>4075.5358663686952</v>
      </c>
      <c r="F16" s="100">
        <v>450</v>
      </c>
      <c r="G16" s="687" t="s">
        <v>333</v>
      </c>
      <c r="H16" s="687"/>
      <c r="I16" s="687"/>
      <c r="J16" s="688"/>
      <c r="K16" s="107"/>
      <c r="M16" s="19" t="s">
        <v>30</v>
      </c>
      <c r="N16" s="73" t="s">
        <v>31</v>
      </c>
      <c r="O16" s="73">
        <f>HLOOKUP(O$8,'Property Calc_Design Flow'!$E$3:$EJ$25,MATCH(M16,'Property Calc_Design Flow'!$C$3:$C$24,0),FALSE)</f>
        <v>644.37047611826847</v>
      </c>
      <c r="P16" s="73">
        <f>HLOOKUP(P$8,'Property Calc_Design Flow'!$E$3:$EJ$25,MATCH(M16,'Property Calc_Design Flow'!$C$3:$C$24,0),FALSE)</f>
        <v>644.37047611826847</v>
      </c>
    </row>
    <row r="17" spans="1:16" ht="14.5" x14ac:dyDescent="0.35">
      <c r="A17" s="148">
        <f>A16+1</f>
        <v>9</v>
      </c>
      <c r="B17" s="99" t="s">
        <v>288</v>
      </c>
      <c r="C17" s="100" t="s">
        <v>237</v>
      </c>
      <c r="D17" s="138">
        <v>75</v>
      </c>
      <c r="E17" s="138">
        <f>O9</f>
        <v>62.5</v>
      </c>
      <c r="F17" s="118">
        <v>40</v>
      </c>
      <c r="G17" s="687"/>
      <c r="H17" s="687"/>
      <c r="I17" s="687"/>
      <c r="J17" s="688"/>
      <c r="K17" s="107"/>
      <c r="M17" s="19" t="s">
        <v>18</v>
      </c>
      <c r="N17" s="73"/>
      <c r="O17" s="73">
        <f>HLOOKUP(O$8,'Property Calc_Design Flow'!$E$3:$EJ$25,MATCH(M17,'Property Calc_Design Flow'!$C$3:$C$24,0),FALSE)</f>
        <v>27.899924813788633</v>
      </c>
      <c r="P17" s="73">
        <f>HLOOKUP(P$8,'Property Calc_Design Flow'!$E$3:$EJ$25,MATCH(M17,'Property Calc_Design Flow'!$C$3:$C$24,0),FALSE)</f>
        <v>27.899924813788633</v>
      </c>
    </row>
    <row r="18" spans="1:16" ht="14.5" x14ac:dyDescent="0.35">
      <c r="A18" s="148">
        <f t="shared" ref="A18:A27" si="0">A17+1</f>
        <v>10</v>
      </c>
      <c r="B18" s="99" t="s">
        <v>0</v>
      </c>
      <c r="C18" s="100" t="s">
        <v>238</v>
      </c>
      <c r="D18" s="138">
        <f>O10</f>
        <v>92.740094703881937</v>
      </c>
      <c r="E18" s="138">
        <f>D18</f>
        <v>92.740094703881937</v>
      </c>
      <c r="F18" s="138">
        <f>E18</f>
        <v>92.740094703881937</v>
      </c>
      <c r="G18" s="687"/>
      <c r="H18" s="687"/>
      <c r="I18" s="687"/>
      <c r="J18" s="688"/>
      <c r="K18" s="107"/>
      <c r="M18" s="19" t="s">
        <v>22</v>
      </c>
      <c r="N18" s="73" t="s">
        <v>23</v>
      </c>
      <c r="O18" s="73">
        <f>HLOOKUP(O$8,'Property Calc_Design Flow'!$E$3:$EJ$25,MATCH(M18,'Property Calc_Design Flow'!$C$3:$C$24,0),FALSE)</f>
        <v>0.99980339092408066</v>
      </c>
      <c r="P18" s="73">
        <f>HLOOKUP(P$8,'Property Calc_Design Flow'!$E$3:$EJ$25,MATCH(M18,'Property Calc_Design Flow'!$C$3:$C$24,0),FALSE)</f>
        <v>0.99980339092408033</v>
      </c>
    </row>
    <row r="19" spans="1:16" ht="14.5" x14ac:dyDescent="0.35">
      <c r="A19" s="148">
        <f t="shared" si="0"/>
        <v>11</v>
      </c>
      <c r="B19" s="99" t="s">
        <v>286</v>
      </c>
      <c r="C19" s="100"/>
      <c r="D19" s="138">
        <f>E19*1.1</f>
        <v>30.689917295167501</v>
      </c>
      <c r="E19" s="138">
        <f>O17</f>
        <v>27.899924813788633</v>
      </c>
      <c r="F19" s="138">
        <f>E19*0.9</f>
        <v>25.10993233240977</v>
      </c>
      <c r="G19" s="687"/>
      <c r="H19" s="687"/>
      <c r="I19" s="687"/>
      <c r="J19" s="688"/>
      <c r="K19" s="107"/>
      <c r="M19" s="19" t="s">
        <v>20</v>
      </c>
      <c r="N19" s="73" t="s">
        <v>21</v>
      </c>
      <c r="O19" s="73">
        <f>HLOOKUP(O$8,'Property Calc_Design Flow'!$E$3:$EJ$25,MATCH(M19,'Property Calc_Design Flow'!$C$3:$C$24,0),FALSE)</f>
        <v>0.36326099452416943</v>
      </c>
      <c r="P19" s="73">
        <f>HLOOKUP(P$8,'Property Calc_Design Flow'!$E$3:$EJ$25,MATCH(M19,'Property Calc_Design Flow'!$C$3:$C$24,0),FALSE)</f>
        <v>0.79207328070924266</v>
      </c>
    </row>
    <row r="20" spans="1:16" ht="14.5" x14ac:dyDescent="0.35">
      <c r="A20" s="148">
        <f t="shared" si="0"/>
        <v>12</v>
      </c>
      <c r="B20" s="729" t="s">
        <v>287</v>
      </c>
      <c r="C20" s="729"/>
      <c r="D20" s="729"/>
      <c r="E20" s="729"/>
      <c r="F20" s="729"/>
      <c r="G20" s="687"/>
      <c r="H20" s="687"/>
      <c r="I20" s="687"/>
      <c r="J20" s="688"/>
      <c r="K20" s="107"/>
      <c r="M20" s="139"/>
      <c r="N20" s="140"/>
      <c r="O20" s="73"/>
      <c r="P20" s="73"/>
    </row>
    <row r="21" spans="1:16" ht="15" x14ac:dyDescent="0.4">
      <c r="A21" s="148">
        <f t="shared" si="0"/>
        <v>13</v>
      </c>
      <c r="B21" s="99" t="s">
        <v>240</v>
      </c>
      <c r="C21" s="100" t="s">
        <v>122</v>
      </c>
      <c r="D21" s="728">
        <f>O22</f>
        <v>56.51077684448169</v>
      </c>
      <c r="E21" s="728"/>
      <c r="F21" s="728"/>
      <c r="G21" s="687"/>
      <c r="H21" s="687"/>
      <c r="I21" s="687"/>
      <c r="J21" s="688"/>
      <c r="K21" s="107"/>
      <c r="M21" s="98" t="s">
        <v>159</v>
      </c>
      <c r="N21" s="125" t="s">
        <v>3</v>
      </c>
      <c r="O21" s="73" t="str">
        <f>HLOOKUP(O$8,'Property Calc_Design Flow'!$E$3:$EJ$25,MATCH(M21,'Property Calc_Design Flow'!$C$3:$C$24,0),FALSE)</f>
        <v/>
      </c>
      <c r="P21" s="73" t="str">
        <f>HLOOKUP(P$8,'Property Calc_Design Flow'!$E$3:$EJ$25,MATCH(M21,'Property Calc_Design Flow'!$C$3:$C$24,0),FALSE)</f>
        <v/>
      </c>
    </row>
    <row r="22" spans="1:16" ht="15" x14ac:dyDescent="0.4">
      <c r="A22" s="148">
        <f t="shared" si="0"/>
        <v>14</v>
      </c>
      <c r="B22" s="99" t="s">
        <v>241</v>
      </c>
      <c r="C22" s="100" t="s">
        <v>122</v>
      </c>
      <c r="D22" s="728">
        <f t="shared" ref="D22:D23" si="1">O23</f>
        <v>41.429169310472346</v>
      </c>
      <c r="E22" s="728"/>
      <c r="F22" s="728"/>
      <c r="G22" s="687"/>
      <c r="H22" s="687"/>
      <c r="I22" s="687"/>
      <c r="J22" s="688"/>
      <c r="K22" s="107"/>
      <c r="M22" s="19" t="s">
        <v>7</v>
      </c>
      <c r="N22" s="73" t="s">
        <v>122</v>
      </c>
      <c r="O22" s="73">
        <f>HLOOKUP(O$8,'Property Calc_Design Flow'!$E$3:$EJ$25,MATCH(M22,'Property Calc_Design Flow'!$C$3:$C$24,0),FALSE)</f>
        <v>56.51077684448169</v>
      </c>
      <c r="P22" s="73">
        <f>HLOOKUP(P$8,'Property Calc_Design Flow'!$E$3:$EJ$25,MATCH(M22,'Property Calc_Design Flow'!$C$3:$C$24,0),FALSE)</f>
        <v>56.51077684448169</v>
      </c>
    </row>
    <row r="23" spans="1:16" ht="15" x14ac:dyDescent="0.4">
      <c r="A23" s="148">
        <f t="shared" si="0"/>
        <v>15</v>
      </c>
      <c r="B23" s="99" t="s">
        <v>242</v>
      </c>
      <c r="C23" s="100" t="s">
        <v>122</v>
      </c>
      <c r="D23" s="728">
        <f t="shared" si="1"/>
        <v>1.0618766924323708</v>
      </c>
      <c r="E23" s="728"/>
      <c r="F23" s="728"/>
      <c r="G23" s="687"/>
      <c r="H23" s="687"/>
      <c r="I23" s="687"/>
      <c r="J23" s="688"/>
      <c r="K23" s="107"/>
      <c r="M23" s="19" t="s">
        <v>8</v>
      </c>
      <c r="N23" s="73" t="s">
        <v>122</v>
      </c>
      <c r="O23" s="73">
        <f>HLOOKUP(O$8,'Property Calc_Design Flow'!$E$3:$EJ$25,MATCH(M23,'Property Calc_Design Flow'!$C$3:$C$24,0),FALSE)</f>
        <v>41.429169310472346</v>
      </c>
      <c r="P23" s="73">
        <f>HLOOKUP(P$8,'Property Calc_Design Flow'!$E$3:$EJ$25,MATCH(M23,'Property Calc_Design Flow'!$C$3:$C$24,0),FALSE)</f>
        <v>41.429169310472346</v>
      </c>
    </row>
    <row r="24" spans="1:16" ht="15" x14ac:dyDescent="0.4">
      <c r="A24" s="148">
        <f t="shared" si="0"/>
        <v>16</v>
      </c>
      <c r="B24" s="99" t="s">
        <v>243</v>
      </c>
      <c r="C24" s="100" t="s">
        <v>122</v>
      </c>
      <c r="D24" s="728">
        <f>'HMB_Design Case'!E22</f>
        <v>0.45996596229800635</v>
      </c>
      <c r="E24" s="728"/>
      <c r="F24" s="728"/>
      <c r="G24" s="687"/>
      <c r="H24" s="687"/>
      <c r="I24" s="687"/>
      <c r="J24" s="688"/>
      <c r="K24" s="107"/>
      <c r="M24" s="19" t="s">
        <v>9</v>
      </c>
      <c r="N24" s="73" t="s">
        <v>122</v>
      </c>
      <c r="O24" s="73">
        <f>HLOOKUP(O$8,'Property Calc_Design Flow'!$E$3:$EJ$25,MATCH(M24,'Property Calc_Design Flow'!$C$3:$C$24,0),FALSE)</f>
        <v>1.0618766924323708</v>
      </c>
      <c r="P24" s="73">
        <f>HLOOKUP(P$8,'Property Calc_Design Flow'!$E$3:$EJ$25,MATCH(M24,'Property Calc_Design Flow'!$C$3:$C$24,0),FALSE)</f>
        <v>1.0618766924323708</v>
      </c>
    </row>
    <row r="25" spans="1:16" ht="15" x14ac:dyDescent="0.4">
      <c r="A25" s="148">
        <f t="shared" si="0"/>
        <v>17</v>
      </c>
      <c r="B25" s="99" t="s">
        <v>244</v>
      </c>
      <c r="C25" s="100" t="s">
        <v>239</v>
      </c>
      <c r="D25" s="728">
        <f>'HMB_Design Case'!E23*10^4</f>
        <v>4.0001839844650604</v>
      </c>
      <c r="E25" s="728"/>
      <c r="F25" s="728"/>
      <c r="G25" s="687"/>
      <c r="H25" s="687"/>
      <c r="I25" s="687"/>
      <c r="J25" s="688"/>
      <c r="K25" s="107"/>
      <c r="M25" s="19" t="s">
        <v>10</v>
      </c>
      <c r="N25" s="73" t="s">
        <v>122</v>
      </c>
      <c r="O25" s="73">
        <f>HLOOKUP(O$8,'Property Calc_Design Flow'!$E$3:$EJ$25,MATCH(M25,'Property Calc_Design Flow'!$C$3:$C$24,0),FALSE)</f>
        <v>0.8955286530379728</v>
      </c>
      <c r="P25" s="73">
        <f>HLOOKUP(P$8,'Property Calc_Design Flow'!$E$3:$EJ$25,MATCH(M25,'Property Calc_Design Flow'!$C$3:$C$24,0),FALSE)</f>
        <v>0.8955286530379728</v>
      </c>
    </row>
    <row r="26" spans="1:16" ht="15" x14ac:dyDescent="0.4">
      <c r="A26" s="148">
        <f t="shared" si="0"/>
        <v>18</v>
      </c>
      <c r="B26" s="99" t="s">
        <v>245</v>
      </c>
      <c r="C26" s="100" t="s">
        <v>122</v>
      </c>
      <c r="D26" s="728">
        <f>'HMB_Design Case'!E24</f>
        <v>0.12699060263444958</v>
      </c>
      <c r="E26" s="728"/>
      <c r="F26" s="728"/>
      <c r="G26" s="687"/>
      <c r="H26" s="687"/>
      <c r="I26" s="687"/>
      <c r="J26" s="688"/>
      <c r="K26" s="107"/>
      <c r="M26" s="19" t="s">
        <v>11</v>
      </c>
      <c r="N26" s="73" t="s">
        <v>122</v>
      </c>
      <c r="O26" s="73">
        <f>HLOOKUP(O$8,'Property Calc_Design Flow'!$E$3:$EJ$25,MATCH(M26,'Property Calc_Design Flow'!$C$3:$C$24,0),FALSE)</f>
        <v>4.8710573602162201E-4</v>
      </c>
      <c r="P26" s="73">
        <f>HLOOKUP(P$8,'Property Calc_Design Flow'!$E$3:$EJ$25,MATCH(M26,'Property Calc_Design Flow'!$C$3:$C$24,0),FALSE)</f>
        <v>4.8710573602162201E-4</v>
      </c>
    </row>
    <row r="27" spans="1:16" ht="15" thickBot="1" x14ac:dyDescent="0.4">
      <c r="A27" s="148">
        <f t="shared" si="0"/>
        <v>19</v>
      </c>
      <c r="B27" s="101" t="s">
        <v>216</v>
      </c>
      <c r="C27" s="120" t="s">
        <v>239</v>
      </c>
      <c r="D27" s="730" t="s">
        <v>217</v>
      </c>
      <c r="E27" s="730"/>
      <c r="F27" s="730"/>
      <c r="G27" s="689"/>
      <c r="H27" s="689"/>
      <c r="I27" s="689"/>
      <c r="J27" s="690"/>
      <c r="K27" s="107"/>
      <c r="M27" s="19" t="s">
        <v>12</v>
      </c>
      <c r="N27" s="73" t="s">
        <v>122</v>
      </c>
      <c r="O27" s="73">
        <f>HLOOKUP(O$8,'Property Calc_Design Flow'!$E$3:$EJ$25,MATCH(M27,'Property Calc_Design Flow'!$C$3:$C$24,0),FALSE)</f>
        <v>0.10216139383959934</v>
      </c>
      <c r="P27" s="73">
        <f>HLOOKUP(P$8,'Property Calc_Design Flow'!$E$3:$EJ$25,MATCH(M27,'Property Calc_Design Flow'!$C$3:$C$24,0),FALSE)</f>
        <v>0.10216139383959934</v>
      </c>
    </row>
    <row r="28" spans="1:16" ht="15" thickBot="1" x14ac:dyDescent="0.4">
      <c r="A28" s="707" t="s">
        <v>283</v>
      </c>
      <c r="B28" s="708"/>
      <c r="C28" s="708"/>
      <c r="D28" s="708"/>
      <c r="E28" s="708"/>
      <c r="F28" s="708"/>
      <c r="G28" s="708"/>
      <c r="H28" s="708"/>
      <c r="I28" s="708"/>
      <c r="J28" s="709"/>
      <c r="K28" s="109"/>
      <c r="M28" s="19" t="s">
        <v>32</v>
      </c>
      <c r="N28" s="73" t="s">
        <v>122</v>
      </c>
      <c r="O28" s="73">
        <f>HLOOKUP(O$8,'Property Calc_Design Flow'!$E$3:$EJ$25,MATCH(M28,'Property Calc_Design Flow'!$C$3:$C$24,0),FALSE)</f>
        <v>0</v>
      </c>
      <c r="P28" s="73">
        <f>HLOOKUP(P$8,'Property Calc_Design Flow'!$E$3:$EJ$25,MATCH(M28,'Property Calc_Design Flow'!$C$3:$C$24,0),FALSE)</f>
        <v>0</v>
      </c>
    </row>
    <row r="29" spans="1:16" x14ac:dyDescent="0.3">
      <c r="A29" s="147">
        <f>A27+1</f>
        <v>20</v>
      </c>
      <c r="B29" s="106" t="s">
        <v>248</v>
      </c>
      <c r="C29" s="116" t="s">
        <v>222</v>
      </c>
      <c r="D29" s="116" t="s">
        <v>215</v>
      </c>
      <c r="E29" s="116" t="s">
        <v>218</v>
      </c>
      <c r="F29" s="116" t="s">
        <v>214</v>
      </c>
      <c r="G29" s="710" t="s">
        <v>247</v>
      </c>
      <c r="H29" s="710"/>
      <c r="I29" s="710"/>
      <c r="J29" s="711"/>
      <c r="K29" s="107"/>
    </row>
    <row r="30" spans="1:16" x14ac:dyDescent="0.3">
      <c r="A30" s="148">
        <f>A29+1</f>
        <v>21</v>
      </c>
      <c r="B30" s="99" t="s">
        <v>1</v>
      </c>
      <c r="C30" s="100" t="s">
        <v>237</v>
      </c>
      <c r="D30" s="117">
        <v>225</v>
      </c>
      <c r="E30" s="117">
        <f>P9</f>
        <v>200</v>
      </c>
      <c r="F30" s="100">
        <v>200</v>
      </c>
      <c r="G30" s="687" t="s">
        <v>334</v>
      </c>
      <c r="H30" s="687"/>
      <c r="I30" s="687"/>
      <c r="J30" s="688"/>
      <c r="K30" s="107"/>
    </row>
    <row r="31" spans="1:16" x14ac:dyDescent="0.3">
      <c r="A31" s="148">
        <f t="shared" ref="A31:A41" si="2">A30+1</f>
        <v>22</v>
      </c>
      <c r="B31" s="99" t="s">
        <v>390</v>
      </c>
      <c r="C31" s="100" t="s">
        <v>238</v>
      </c>
      <c r="D31" s="138">
        <f>E31</f>
        <v>245</v>
      </c>
      <c r="E31" s="138">
        <f>P10</f>
        <v>245</v>
      </c>
      <c r="F31" s="138">
        <f>E31</f>
        <v>245</v>
      </c>
      <c r="G31" s="687"/>
      <c r="H31" s="687"/>
      <c r="I31" s="687"/>
      <c r="J31" s="688"/>
      <c r="K31" s="107"/>
    </row>
    <row r="32" spans="1:16" x14ac:dyDescent="0.3">
      <c r="A32" s="148">
        <f t="shared" si="2"/>
        <v>23</v>
      </c>
      <c r="B32" s="99" t="s">
        <v>391</v>
      </c>
      <c r="C32" s="100" t="s">
        <v>238</v>
      </c>
      <c r="D32" s="138">
        <v>50</v>
      </c>
      <c r="E32" s="138">
        <v>50</v>
      </c>
      <c r="F32" s="138">
        <v>50</v>
      </c>
      <c r="G32" s="687"/>
      <c r="H32" s="687"/>
      <c r="I32" s="687"/>
      <c r="J32" s="688"/>
      <c r="K32" s="107"/>
    </row>
    <row r="33" spans="1:11" x14ac:dyDescent="0.3">
      <c r="A33" s="148">
        <f t="shared" si="2"/>
        <v>24</v>
      </c>
      <c r="B33" s="99" t="s">
        <v>291</v>
      </c>
      <c r="C33" s="100"/>
      <c r="D33" s="118" t="s">
        <v>246</v>
      </c>
      <c r="E33" s="118" t="s">
        <v>246</v>
      </c>
      <c r="F33" s="118" t="s">
        <v>246</v>
      </c>
      <c r="G33" s="687"/>
      <c r="H33" s="687"/>
      <c r="I33" s="687"/>
      <c r="J33" s="688"/>
      <c r="K33" s="107"/>
    </row>
    <row r="34" spans="1:11" x14ac:dyDescent="0.3">
      <c r="A34" s="148">
        <f t="shared" si="2"/>
        <v>25</v>
      </c>
      <c r="B34" s="99" t="s">
        <v>292</v>
      </c>
      <c r="C34" s="100"/>
      <c r="D34" s="128" t="s">
        <v>246</v>
      </c>
      <c r="E34" s="128" t="s">
        <v>246</v>
      </c>
      <c r="F34" s="128" t="s">
        <v>246</v>
      </c>
      <c r="G34" s="687"/>
      <c r="H34" s="687"/>
      <c r="I34" s="687"/>
      <c r="J34" s="688"/>
      <c r="K34" s="107"/>
    </row>
    <row r="35" spans="1:11" x14ac:dyDescent="0.3">
      <c r="A35" s="148">
        <f t="shared" si="2"/>
        <v>26</v>
      </c>
      <c r="B35" s="99" t="s">
        <v>293</v>
      </c>
      <c r="C35" s="100" t="s">
        <v>238</v>
      </c>
      <c r="D35" s="128" t="s">
        <v>246</v>
      </c>
      <c r="E35" s="128" t="s">
        <v>246</v>
      </c>
      <c r="F35" s="128" t="s">
        <v>246</v>
      </c>
      <c r="G35" s="687"/>
      <c r="H35" s="687"/>
      <c r="I35" s="687"/>
      <c r="J35" s="688"/>
      <c r="K35" s="107"/>
    </row>
    <row r="36" spans="1:11" x14ac:dyDescent="0.3">
      <c r="A36" s="148">
        <f t="shared" si="2"/>
        <v>27</v>
      </c>
      <c r="B36" s="99" t="s">
        <v>294</v>
      </c>
      <c r="C36" s="100" t="s">
        <v>123</v>
      </c>
      <c r="D36" s="728" t="s">
        <v>295</v>
      </c>
      <c r="E36" s="728"/>
      <c r="F36" s="728"/>
      <c r="G36" s="687"/>
      <c r="H36" s="687"/>
      <c r="I36" s="687"/>
      <c r="J36" s="688"/>
      <c r="K36" s="107"/>
    </row>
    <row r="37" spans="1:11" x14ac:dyDescent="0.3">
      <c r="A37" s="148">
        <f t="shared" si="2"/>
        <v>28</v>
      </c>
      <c r="B37" s="99" t="s">
        <v>296</v>
      </c>
      <c r="C37" s="100" t="s">
        <v>297</v>
      </c>
      <c r="D37" s="728" t="s">
        <v>246</v>
      </c>
      <c r="E37" s="728"/>
      <c r="F37" s="728"/>
      <c r="G37" s="687"/>
      <c r="H37" s="687"/>
      <c r="I37" s="687"/>
      <c r="J37" s="688"/>
      <c r="K37" s="107"/>
    </row>
    <row r="38" spans="1:11" ht="15" customHeight="1" x14ac:dyDescent="0.3">
      <c r="A38" s="148">
        <f t="shared" si="2"/>
        <v>29</v>
      </c>
      <c r="B38" s="99" t="s">
        <v>298</v>
      </c>
      <c r="C38" s="100" t="s">
        <v>299</v>
      </c>
      <c r="D38" s="128" t="s">
        <v>246</v>
      </c>
      <c r="E38" s="128" t="s">
        <v>246</v>
      </c>
      <c r="F38" s="128" t="s">
        <v>246</v>
      </c>
      <c r="G38" s="687"/>
      <c r="H38" s="687"/>
      <c r="I38" s="687"/>
      <c r="J38" s="688"/>
      <c r="K38" s="107"/>
    </row>
    <row r="39" spans="1:11" x14ac:dyDescent="0.3">
      <c r="A39" s="148">
        <f t="shared" si="2"/>
        <v>30</v>
      </c>
      <c r="B39" s="99" t="s">
        <v>300</v>
      </c>
      <c r="C39" s="100" t="s">
        <v>301</v>
      </c>
      <c r="D39" s="128" t="s">
        <v>246</v>
      </c>
      <c r="E39" s="128" t="s">
        <v>246</v>
      </c>
      <c r="F39" s="128" t="s">
        <v>246</v>
      </c>
      <c r="G39" s="687"/>
      <c r="H39" s="687"/>
      <c r="I39" s="687"/>
      <c r="J39" s="688"/>
      <c r="K39" s="107"/>
    </row>
    <row r="40" spans="1:11" x14ac:dyDescent="0.3">
      <c r="A40" s="148">
        <f t="shared" si="2"/>
        <v>31</v>
      </c>
      <c r="B40" s="141" t="s">
        <v>302</v>
      </c>
      <c r="C40" s="142" t="s">
        <v>149</v>
      </c>
      <c r="D40" s="128" t="s">
        <v>246</v>
      </c>
      <c r="E40" s="128" t="s">
        <v>246</v>
      </c>
      <c r="F40" s="128" t="s">
        <v>246</v>
      </c>
      <c r="G40" s="726"/>
      <c r="H40" s="726"/>
      <c r="I40" s="726"/>
      <c r="J40" s="727"/>
      <c r="K40" s="107"/>
    </row>
    <row r="41" spans="1:11" ht="13.5" thickBot="1" x14ac:dyDescent="0.35">
      <c r="A41" s="148">
        <f t="shared" si="2"/>
        <v>32</v>
      </c>
      <c r="B41" s="141" t="s">
        <v>303</v>
      </c>
      <c r="C41" s="142"/>
      <c r="D41" s="128" t="s">
        <v>246</v>
      </c>
      <c r="E41" s="128" t="s">
        <v>246</v>
      </c>
      <c r="F41" s="128" t="s">
        <v>246</v>
      </c>
      <c r="G41" s="726"/>
      <c r="H41" s="726"/>
      <c r="I41" s="726"/>
      <c r="J41" s="727"/>
      <c r="K41" s="107"/>
    </row>
    <row r="42" spans="1:11" ht="13.5" thickBot="1" x14ac:dyDescent="0.35">
      <c r="A42" s="707" t="s">
        <v>304</v>
      </c>
      <c r="B42" s="708"/>
      <c r="C42" s="708"/>
      <c r="D42" s="708"/>
      <c r="E42" s="708"/>
      <c r="F42" s="708"/>
      <c r="G42" s="708"/>
      <c r="H42" s="708"/>
      <c r="I42" s="708"/>
      <c r="J42" s="709"/>
      <c r="K42" s="107"/>
    </row>
    <row r="43" spans="1:11" x14ac:dyDescent="0.3">
      <c r="A43" s="147">
        <f>A41+1</f>
        <v>33</v>
      </c>
      <c r="B43" s="106" t="s">
        <v>248</v>
      </c>
      <c r="C43" s="116" t="s">
        <v>222</v>
      </c>
      <c r="D43" s="116" t="s">
        <v>215</v>
      </c>
      <c r="E43" s="116" t="s">
        <v>218</v>
      </c>
      <c r="F43" s="116" t="s">
        <v>214</v>
      </c>
      <c r="G43" s="710" t="s">
        <v>247</v>
      </c>
      <c r="H43" s="710"/>
      <c r="I43" s="710"/>
      <c r="J43" s="711"/>
      <c r="K43" s="107"/>
    </row>
    <row r="44" spans="1:11" x14ac:dyDescent="0.3">
      <c r="A44" s="148">
        <f>A43+1</f>
        <v>34</v>
      </c>
      <c r="B44" s="119" t="s">
        <v>305</v>
      </c>
      <c r="C44" s="100" t="s">
        <v>330</v>
      </c>
      <c r="D44" s="704" t="s">
        <v>262</v>
      </c>
      <c r="E44" s="705"/>
      <c r="F44" s="706"/>
      <c r="G44" s="687"/>
      <c r="H44" s="687"/>
      <c r="I44" s="687"/>
      <c r="J44" s="688"/>
      <c r="K44" s="107"/>
    </row>
    <row r="45" spans="1:11" x14ac:dyDescent="0.3">
      <c r="A45" s="148">
        <f>A44+1</f>
        <v>35</v>
      </c>
      <c r="B45" s="129" t="s">
        <v>376</v>
      </c>
      <c r="C45" s="100" t="s">
        <v>330</v>
      </c>
      <c r="D45" s="704" t="s">
        <v>262</v>
      </c>
      <c r="E45" s="705"/>
      <c r="F45" s="706"/>
      <c r="G45" s="687"/>
      <c r="H45" s="687"/>
      <c r="I45" s="687"/>
      <c r="J45" s="688"/>
      <c r="K45" s="107"/>
    </row>
    <row r="46" spans="1:11" x14ac:dyDescent="0.3">
      <c r="A46" s="148">
        <f>A45+1</f>
        <v>36</v>
      </c>
      <c r="B46" s="99" t="s">
        <v>306</v>
      </c>
      <c r="C46" s="100"/>
      <c r="D46" s="118" t="s">
        <v>307</v>
      </c>
      <c r="E46" s="118" t="s">
        <v>308</v>
      </c>
      <c r="F46" s="118" t="s">
        <v>309</v>
      </c>
      <c r="G46" s="687"/>
      <c r="H46" s="687"/>
      <c r="I46" s="687"/>
      <c r="J46" s="688"/>
      <c r="K46" s="107"/>
    </row>
    <row r="47" spans="1:11" x14ac:dyDescent="0.3">
      <c r="A47" s="148">
        <f t="shared" ref="A47:A48" si="3">A46+1</f>
        <v>37</v>
      </c>
      <c r="B47" s="99" t="s">
        <v>310</v>
      </c>
      <c r="C47" s="100" t="s">
        <v>330</v>
      </c>
      <c r="D47" s="704" t="s">
        <v>262</v>
      </c>
      <c r="E47" s="705"/>
      <c r="F47" s="706"/>
      <c r="G47" s="687"/>
      <c r="H47" s="687"/>
      <c r="I47" s="687"/>
      <c r="J47" s="688"/>
      <c r="K47" s="107"/>
    </row>
    <row r="48" spans="1:11" ht="13.5" thickBot="1" x14ac:dyDescent="0.35">
      <c r="A48" s="148">
        <f t="shared" si="3"/>
        <v>38</v>
      </c>
      <c r="B48" s="99" t="s">
        <v>311</v>
      </c>
      <c r="C48" s="100"/>
      <c r="D48" s="128" t="s">
        <v>246</v>
      </c>
      <c r="E48" s="128" t="s">
        <v>308</v>
      </c>
      <c r="F48" s="128" t="s">
        <v>246</v>
      </c>
      <c r="G48" s="687"/>
      <c r="H48" s="687"/>
      <c r="I48" s="687"/>
      <c r="J48" s="688"/>
      <c r="K48" s="107"/>
    </row>
    <row r="49" spans="1:11" ht="13.5" thickBot="1" x14ac:dyDescent="0.35">
      <c r="A49" s="707" t="s">
        <v>312</v>
      </c>
      <c r="B49" s="708"/>
      <c r="C49" s="708"/>
      <c r="D49" s="708"/>
      <c r="E49" s="708"/>
      <c r="F49" s="708"/>
      <c r="G49" s="708"/>
      <c r="H49" s="708"/>
      <c r="I49" s="708"/>
      <c r="J49" s="709"/>
      <c r="K49" s="107"/>
    </row>
    <row r="50" spans="1:11" x14ac:dyDescent="0.3">
      <c r="A50" s="147">
        <f>A48+1</f>
        <v>39</v>
      </c>
      <c r="B50" s="106" t="s">
        <v>248</v>
      </c>
      <c r="C50" s="126" t="s">
        <v>222</v>
      </c>
      <c r="D50" s="126" t="s">
        <v>215</v>
      </c>
      <c r="E50" s="126" t="s">
        <v>218</v>
      </c>
      <c r="F50" s="126" t="s">
        <v>214</v>
      </c>
      <c r="G50" s="710" t="s">
        <v>247</v>
      </c>
      <c r="H50" s="710"/>
      <c r="I50" s="710"/>
      <c r="J50" s="711"/>
      <c r="K50" s="107"/>
    </row>
    <row r="51" spans="1:11" ht="14.5" customHeight="1" x14ac:dyDescent="0.3">
      <c r="A51" s="148">
        <f>A50+1</f>
        <v>40</v>
      </c>
      <c r="B51" s="129" t="s">
        <v>266</v>
      </c>
      <c r="C51" s="100" t="s">
        <v>5</v>
      </c>
      <c r="D51" s="127">
        <v>150</v>
      </c>
      <c r="E51" s="127">
        <v>100</v>
      </c>
      <c r="F51" s="127">
        <v>80</v>
      </c>
      <c r="G51" s="687" t="s">
        <v>325</v>
      </c>
      <c r="H51" s="687"/>
      <c r="I51" s="687"/>
      <c r="J51" s="688"/>
      <c r="K51" s="107"/>
    </row>
    <row r="52" spans="1:11" ht="14.5" customHeight="1" x14ac:dyDescent="0.3">
      <c r="A52" s="148">
        <f t="shared" ref="A52:A55" si="4">A51+1</f>
        <v>41</v>
      </c>
      <c r="B52" s="129" t="s">
        <v>267</v>
      </c>
      <c r="C52" s="100" t="s">
        <v>238</v>
      </c>
      <c r="D52" s="127">
        <v>150</v>
      </c>
      <c r="E52" s="127">
        <v>100</v>
      </c>
      <c r="F52" s="100">
        <v>60</v>
      </c>
      <c r="G52" s="687"/>
      <c r="H52" s="687"/>
      <c r="I52" s="687"/>
      <c r="J52" s="688"/>
      <c r="K52" s="107"/>
    </row>
    <row r="53" spans="1:11" ht="14.5" customHeight="1" x14ac:dyDescent="0.3">
      <c r="A53" s="148">
        <f t="shared" si="4"/>
        <v>42</v>
      </c>
      <c r="B53" s="129" t="s">
        <v>322</v>
      </c>
      <c r="C53" s="100" t="s">
        <v>5</v>
      </c>
      <c r="D53" s="127">
        <v>200</v>
      </c>
      <c r="E53" s="127">
        <v>100</v>
      </c>
      <c r="F53" s="127">
        <v>60</v>
      </c>
      <c r="G53" s="687"/>
      <c r="H53" s="687"/>
      <c r="I53" s="687"/>
      <c r="J53" s="688"/>
      <c r="K53" s="107"/>
    </row>
    <row r="54" spans="1:11" ht="14.5" customHeight="1" x14ac:dyDescent="0.3">
      <c r="A54" s="148">
        <f t="shared" si="4"/>
        <v>43</v>
      </c>
      <c r="B54" s="129" t="s">
        <v>323</v>
      </c>
      <c r="C54" s="100" t="s">
        <v>238</v>
      </c>
      <c r="D54" s="127">
        <v>35</v>
      </c>
      <c r="E54" s="127">
        <v>30</v>
      </c>
      <c r="F54" s="127">
        <v>30</v>
      </c>
      <c r="G54" s="687"/>
      <c r="H54" s="687"/>
      <c r="I54" s="687"/>
      <c r="J54" s="688"/>
      <c r="K54" s="107"/>
    </row>
    <row r="55" spans="1:11" ht="14.5" customHeight="1" thickBot="1" x14ac:dyDescent="0.35">
      <c r="A55" s="150">
        <f t="shared" si="4"/>
        <v>44</v>
      </c>
      <c r="B55" s="131" t="s">
        <v>324</v>
      </c>
      <c r="C55" s="130" t="s">
        <v>238</v>
      </c>
      <c r="D55" s="112">
        <v>45</v>
      </c>
      <c r="E55" s="112">
        <v>40</v>
      </c>
      <c r="F55" s="112">
        <v>40</v>
      </c>
      <c r="G55" s="689"/>
      <c r="H55" s="689"/>
      <c r="I55" s="689"/>
      <c r="J55" s="690"/>
      <c r="K55" s="107"/>
    </row>
    <row r="56" spans="1:11" ht="15" customHeight="1" thickBot="1" x14ac:dyDescent="0.35">
      <c r="A56" s="707" t="s">
        <v>313</v>
      </c>
      <c r="B56" s="708"/>
      <c r="C56" s="708"/>
      <c r="D56" s="708"/>
      <c r="E56" s="708"/>
      <c r="F56" s="708"/>
      <c r="G56" s="708"/>
      <c r="H56" s="708"/>
      <c r="I56" s="708"/>
      <c r="J56" s="709"/>
      <c r="K56" s="107"/>
    </row>
    <row r="57" spans="1:11" x14ac:dyDescent="0.3">
      <c r="A57" s="147">
        <f>A55+1</f>
        <v>45</v>
      </c>
      <c r="B57" s="106" t="s">
        <v>248</v>
      </c>
      <c r="C57" s="116" t="s">
        <v>222</v>
      </c>
      <c r="D57" s="710" t="s">
        <v>251</v>
      </c>
      <c r="E57" s="710"/>
      <c r="F57" s="710"/>
      <c r="G57" s="710" t="s">
        <v>247</v>
      </c>
      <c r="H57" s="710"/>
      <c r="I57" s="710"/>
      <c r="J57" s="711"/>
      <c r="K57" s="107"/>
    </row>
    <row r="58" spans="1:11" ht="13" customHeight="1" x14ac:dyDescent="0.3">
      <c r="A58" s="148">
        <f>A57+1</f>
        <v>46</v>
      </c>
      <c r="B58" s="119" t="s">
        <v>315</v>
      </c>
      <c r="C58" s="100" t="s">
        <v>5</v>
      </c>
      <c r="D58" s="431">
        <v>250</v>
      </c>
      <c r="E58" s="431"/>
      <c r="F58" s="431"/>
      <c r="G58" s="687" t="s">
        <v>383</v>
      </c>
      <c r="H58" s="687"/>
      <c r="I58" s="687"/>
      <c r="J58" s="688"/>
      <c r="K58" s="107"/>
    </row>
    <row r="59" spans="1:11" x14ac:dyDescent="0.3">
      <c r="A59" s="148">
        <f t="shared" ref="A59:A62" si="5">A58+1</f>
        <v>47</v>
      </c>
      <c r="B59" s="119" t="s">
        <v>326</v>
      </c>
      <c r="C59" s="100" t="s">
        <v>238</v>
      </c>
      <c r="D59" s="431" t="s">
        <v>246</v>
      </c>
      <c r="E59" s="431"/>
      <c r="F59" s="431"/>
      <c r="G59" s="687"/>
      <c r="H59" s="687"/>
      <c r="I59" s="687"/>
      <c r="J59" s="688"/>
      <c r="K59" s="107"/>
    </row>
    <row r="60" spans="1:11" x14ac:dyDescent="0.3">
      <c r="A60" s="148">
        <f t="shared" si="5"/>
        <v>48</v>
      </c>
      <c r="B60" s="99" t="s">
        <v>249</v>
      </c>
      <c r="C60" s="100"/>
      <c r="D60" s="431" t="s">
        <v>250</v>
      </c>
      <c r="E60" s="431"/>
      <c r="F60" s="431"/>
      <c r="G60" s="687"/>
      <c r="H60" s="687"/>
      <c r="I60" s="687"/>
      <c r="J60" s="688"/>
      <c r="K60" s="107"/>
    </row>
    <row r="61" spans="1:11" x14ac:dyDescent="0.3">
      <c r="A61" s="148">
        <f t="shared" si="5"/>
        <v>49</v>
      </c>
      <c r="B61" s="99" t="s">
        <v>327</v>
      </c>
      <c r="C61" s="100"/>
      <c r="D61" s="593" t="s">
        <v>246</v>
      </c>
      <c r="E61" s="593"/>
      <c r="F61" s="593"/>
      <c r="G61" s="687"/>
      <c r="H61" s="687"/>
      <c r="I61" s="687"/>
      <c r="J61" s="688"/>
      <c r="K61" s="107"/>
    </row>
    <row r="62" spans="1:11" ht="13.5" thickBot="1" x14ac:dyDescent="0.35">
      <c r="A62" s="148">
        <f t="shared" si="5"/>
        <v>50</v>
      </c>
      <c r="B62" s="101" t="s">
        <v>254</v>
      </c>
      <c r="C62" s="120"/>
      <c r="D62" s="725" t="s">
        <v>213</v>
      </c>
      <c r="E62" s="725"/>
      <c r="F62" s="725"/>
      <c r="G62" s="689"/>
      <c r="H62" s="689"/>
      <c r="I62" s="689"/>
      <c r="J62" s="690"/>
      <c r="K62" s="107"/>
    </row>
    <row r="63" spans="1:11" ht="13.5" thickBot="1" x14ac:dyDescent="0.35">
      <c r="A63" s="707" t="s">
        <v>382</v>
      </c>
      <c r="B63" s="708"/>
      <c r="C63" s="708"/>
      <c r="D63" s="708"/>
      <c r="E63" s="708"/>
      <c r="F63" s="708"/>
      <c r="G63" s="708"/>
      <c r="H63" s="708"/>
      <c r="I63" s="708"/>
      <c r="J63" s="709"/>
      <c r="K63" s="107"/>
    </row>
    <row r="64" spans="1:11" x14ac:dyDescent="0.3">
      <c r="A64" s="147">
        <f>A62+1</f>
        <v>51</v>
      </c>
      <c r="B64" s="106" t="s">
        <v>248</v>
      </c>
      <c r="C64" s="116" t="s">
        <v>222</v>
      </c>
      <c r="D64" s="710" t="s">
        <v>251</v>
      </c>
      <c r="E64" s="710"/>
      <c r="F64" s="710"/>
      <c r="G64" s="710" t="s">
        <v>247</v>
      </c>
      <c r="H64" s="710"/>
      <c r="I64" s="710"/>
      <c r="J64" s="711"/>
      <c r="K64" s="107"/>
    </row>
    <row r="65" spans="1:11" x14ac:dyDescent="0.3">
      <c r="A65" s="148">
        <f>A64+1</f>
        <v>52</v>
      </c>
      <c r="B65" s="119" t="s">
        <v>256</v>
      </c>
      <c r="C65" s="100" t="s">
        <v>63</v>
      </c>
      <c r="D65" s="431">
        <f>'AL Datasheet'!D77</f>
        <v>0</v>
      </c>
      <c r="E65" s="431"/>
      <c r="F65" s="431"/>
      <c r="G65" s="687" t="s">
        <v>343</v>
      </c>
      <c r="H65" s="687"/>
      <c r="I65" s="687"/>
      <c r="J65" s="688"/>
      <c r="K65" s="107"/>
    </row>
    <row r="66" spans="1:11" x14ac:dyDescent="0.3">
      <c r="A66" s="148">
        <f t="shared" ref="A66:A69" si="6">A65+1</f>
        <v>53</v>
      </c>
      <c r="B66" s="119" t="s">
        <v>257</v>
      </c>
      <c r="C66" s="100" t="s">
        <v>238</v>
      </c>
      <c r="D66" s="431" t="str">
        <f>'AL Datasheet'!D78</f>
        <v>Maximum</v>
      </c>
      <c r="E66" s="431"/>
      <c r="F66" s="431"/>
      <c r="G66" s="687"/>
      <c r="H66" s="687"/>
      <c r="I66" s="687"/>
      <c r="J66" s="688"/>
      <c r="K66" s="107"/>
    </row>
    <row r="67" spans="1:11" x14ac:dyDescent="0.3">
      <c r="A67" s="148">
        <f t="shared" si="6"/>
        <v>54</v>
      </c>
      <c r="B67" s="99" t="s">
        <v>258</v>
      </c>
      <c r="C67" s="100" t="s">
        <v>238</v>
      </c>
      <c r="D67" s="431">
        <f>'AL Datasheet'!D79</f>
        <v>120</v>
      </c>
      <c r="E67" s="431"/>
      <c r="F67" s="431"/>
      <c r="G67" s="687"/>
      <c r="H67" s="687"/>
      <c r="I67" s="687"/>
      <c r="J67" s="688"/>
      <c r="K67" s="107"/>
    </row>
    <row r="68" spans="1:11" x14ac:dyDescent="0.3">
      <c r="A68" s="148">
        <f t="shared" si="6"/>
        <v>55</v>
      </c>
      <c r="B68" s="99" t="s">
        <v>259</v>
      </c>
      <c r="C68" s="100"/>
      <c r="D68" s="593" t="s">
        <v>255</v>
      </c>
      <c r="E68" s="593"/>
      <c r="F68" s="593"/>
      <c r="G68" s="687"/>
      <c r="H68" s="687"/>
      <c r="I68" s="687"/>
      <c r="J68" s="688"/>
      <c r="K68" s="107"/>
    </row>
    <row r="69" spans="1:11" ht="13.5" thickBot="1" x14ac:dyDescent="0.35">
      <c r="A69" s="148">
        <f t="shared" si="6"/>
        <v>56</v>
      </c>
      <c r="B69" s="101" t="s">
        <v>260</v>
      </c>
      <c r="C69" s="120" t="s">
        <v>122</v>
      </c>
      <c r="D69" s="721" t="s">
        <v>335</v>
      </c>
      <c r="E69" s="721"/>
      <c r="F69" s="721"/>
      <c r="G69" s="689"/>
      <c r="H69" s="689"/>
      <c r="I69" s="689"/>
      <c r="J69" s="690"/>
      <c r="K69" s="107"/>
    </row>
    <row r="70" spans="1:11" ht="13.5" thickBot="1" x14ac:dyDescent="0.35">
      <c r="A70" s="707" t="s">
        <v>261</v>
      </c>
      <c r="B70" s="708"/>
      <c r="C70" s="708"/>
      <c r="D70" s="708"/>
      <c r="E70" s="708"/>
      <c r="F70" s="708"/>
      <c r="G70" s="708"/>
      <c r="H70" s="708"/>
      <c r="I70" s="708"/>
      <c r="J70" s="709"/>
      <c r="K70" s="107"/>
    </row>
    <row r="71" spans="1:11" x14ac:dyDescent="0.3">
      <c r="A71" s="147">
        <f>A69+1</f>
        <v>57</v>
      </c>
      <c r="B71" s="106" t="s">
        <v>248</v>
      </c>
      <c r="C71" s="116" t="s">
        <v>222</v>
      </c>
      <c r="D71" s="116" t="s">
        <v>262</v>
      </c>
      <c r="E71" s="116" t="s">
        <v>263</v>
      </c>
      <c r="F71" s="710" t="s">
        <v>247</v>
      </c>
      <c r="G71" s="710"/>
      <c r="H71" s="710"/>
      <c r="I71" s="710"/>
      <c r="J71" s="711"/>
      <c r="K71" s="107"/>
    </row>
    <row r="72" spans="1:11" x14ac:dyDescent="0.3">
      <c r="A72" s="151">
        <f>A71+1</f>
        <v>58</v>
      </c>
      <c r="B72" s="129" t="s">
        <v>319</v>
      </c>
      <c r="C72" s="144" t="s">
        <v>330</v>
      </c>
      <c r="D72" s="143"/>
      <c r="E72" s="143"/>
      <c r="F72" s="694"/>
      <c r="G72" s="695"/>
      <c r="H72" s="695"/>
      <c r="I72" s="695"/>
      <c r="J72" s="696"/>
      <c r="K72" s="107"/>
    </row>
    <row r="73" spans="1:11" ht="14.5" customHeight="1" x14ac:dyDescent="0.3">
      <c r="A73" s="151">
        <f t="shared" ref="A73:A82" si="7">A72+1</f>
        <v>59</v>
      </c>
      <c r="B73" s="129" t="s">
        <v>320</v>
      </c>
      <c r="C73" s="144" t="s">
        <v>330</v>
      </c>
      <c r="D73" s="143"/>
      <c r="E73" s="143"/>
      <c r="F73" s="697"/>
      <c r="G73" s="698"/>
      <c r="H73" s="698"/>
      <c r="I73" s="698"/>
      <c r="J73" s="699"/>
      <c r="K73" s="107"/>
    </row>
    <row r="74" spans="1:11" ht="13" customHeight="1" x14ac:dyDescent="0.3">
      <c r="A74" s="151">
        <f t="shared" si="7"/>
        <v>60</v>
      </c>
      <c r="B74" s="119" t="s">
        <v>384</v>
      </c>
      <c r="C74" s="144" t="s">
        <v>330</v>
      </c>
      <c r="D74" s="143"/>
      <c r="E74" s="143"/>
      <c r="F74" s="697"/>
      <c r="G74" s="698"/>
      <c r="H74" s="698"/>
      <c r="I74" s="698"/>
      <c r="J74" s="699"/>
      <c r="K74" s="107"/>
    </row>
    <row r="75" spans="1:11" ht="14.5" customHeight="1" x14ac:dyDescent="0.3">
      <c r="A75" s="151">
        <f t="shared" si="7"/>
        <v>61</v>
      </c>
      <c r="B75" s="129" t="s">
        <v>316</v>
      </c>
      <c r="C75" s="100" t="s">
        <v>238</v>
      </c>
      <c r="D75" s="100" t="s">
        <v>246</v>
      </c>
      <c r="E75" s="100" t="s">
        <v>246</v>
      </c>
      <c r="F75" s="697"/>
      <c r="G75" s="698"/>
      <c r="H75" s="698"/>
      <c r="I75" s="698"/>
      <c r="J75" s="699"/>
      <c r="K75" s="107"/>
    </row>
    <row r="76" spans="1:11" ht="14.5" customHeight="1" x14ac:dyDescent="0.3">
      <c r="A76" s="151">
        <f t="shared" si="7"/>
        <v>62</v>
      </c>
      <c r="B76" s="119" t="s">
        <v>385</v>
      </c>
      <c r="C76" s="100" t="s">
        <v>330</v>
      </c>
      <c r="D76" s="100"/>
      <c r="E76" s="113"/>
      <c r="F76" s="697"/>
      <c r="G76" s="698"/>
      <c r="H76" s="698"/>
      <c r="I76" s="698"/>
      <c r="J76" s="699"/>
      <c r="K76" s="107"/>
    </row>
    <row r="77" spans="1:11" ht="14.5" customHeight="1" x14ac:dyDescent="0.3">
      <c r="A77" s="151">
        <f t="shared" si="7"/>
        <v>63</v>
      </c>
      <c r="B77" s="129" t="s">
        <v>317</v>
      </c>
      <c r="C77" s="100" t="s">
        <v>238</v>
      </c>
      <c r="D77" s="100" t="s">
        <v>246</v>
      </c>
      <c r="E77" s="127">
        <v>40</v>
      </c>
      <c r="F77" s="697"/>
      <c r="G77" s="698"/>
      <c r="H77" s="698"/>
      <c r="I77" s="698"/>
      <c r="J77" s="699"/>
      <c r="K77" s="107"/>
    </row>
    <row r="78" spans="1:11" ht="14.5" customHeight="1" x14ac:dyDescent="0.3">
      <c r="A78" s="151">
        <f t="shared" si="7"/>
        <v>64</v>
      </c>
      <c r="B78" s="129" t="s">
        <v>318</v>
      </c>
      <c r="C78" s="100" t="s">
        <v>330</v>
      </c>
      <c r="D78" s="100"/>
      <c r="E78" s="113"/>
      <c r="F78" s="697"/>
      <c r="G78" s="698"/>
      <c r="H78" s="698"/>
      <c r="I78" s="698"/>
      <c r="J78" s="699"/>
      <c r="K78" s="107"/>
    </row>
    <row r="79" spans="1:11" ht="14.5" customHeight="1" x14ac:dyDescent="0.3">
      <c r="A79" s="151">
        <f t="shared" si="7"/>
        <v>65</v>
      </c>
      <c r="B79" s="119" t="s">
        <v>386</v>
      </c>
      <c r="C79" s="100" t="s">
        <v>238</v>
      </c>
      <c r="D79" s="100">
        <v>40</v>
      </c>
      <c r="E79" s="117">
        <v>50</v>
      </c>
      <c r="F79" s="697"/>
      <c r="G79" s="698"/>
      <c r="H79" s="698"/>
      <c r="I79" s="698"/>
      <c r="J79" s="699"/>
      <c r="K79" s="107"/>
    </row>
    <row r="80" spans="1:11" ht="14.5" customHeight="1" x14ac:dyDescent="0.3">
      <c r="A80" s="151">
        <f t="shared" si="7"/>
        <v>66</v>
      </c>
      <c r="B80" s="99" t="s">
        <v>252</v>
      </c>
      <c r="C80" s="100" t="s">
        <v>330</v>
      </c>
      <c r="D80" s="100"/>
      <c r="E80" s="113"/>
      <c r="F80" s="697"/>
      <c r="G80" s="698"/>
      <c r="H80" s="698"/>
      <c r="I80" s="698"/>
      <c r="J80" s="699"/>
      <c r="K80" s="107"/>
    </row>
    <row r="81" spans="1:11" ht="14.5" customHeight="1" x14ac:dyDescent="0.3">
      <c r="A81" s="151">
        <f t="shared" si="7"/>
        <v>67</v>
      </c>
      <c r="B81" s="99" t="s">
        <v>321</v>
      </c>
      <c r="C81" s="100" t="s">
        <v>330</v>
      </c>
      <c r="D81" s="100"/>
      <c r="E81" s="113"/>
      <c r="F81" s="697"/>
      <c r="G81" s="698"/>
      <c r="H81" s="698"/>
      <c r="I81" s="698"/>
      <c r="J81" s="699"/>
      <c r="K81" s="107"/>
    </row>
    <row r="82" spans="1:11" ht="15" customHeight="1" thickBot="1" x14ac:dyDescent="0.35">
      <c r="A82" s="151">
        <f t="shared" si="7"/>
        <v>68</v>
      </c>
      <c r="B82" s="101" t="s">
        <v>264</v>
      </c>
      <c r="C82" s="120" t="s">
        <v>330</v>
      </c>
      <c r="D82" s="120"/>
      <c r="E82" s="114"/>
      <c r="F82" s="700"/>
      <c r="G82" s="701"/>
      <c r="H82" s="701"/>
      <c r="I82" s="701"/>
      <c r="J82" s="702"/>
      <c r="K82" s="107"/>
    </row>
    <row r="83" spans="1:11" ht="13.5" thickBot="1" x14ac:dyDescent="0.35">
      <c r="A83" s="707" t="s">
        <v>265</v>
      </c>
      <c r="B83" s="708"/>
      <c r="C83" s="708"/>
      <c r="D83" s="708"/>
      <c r="E83" s="708"/>
      <c r="F83" s="708"/>
      <c r="G83" s="708"/>
      <c r="H83" s="708"/>
      <c r="I83" s="708"/>
      <c r="J83" s="709"/>
      <c r="K83" s="107"/>
    </row>
    <row r="84" spans="1:11" x14ac:dyDescent="0.3">
      <c r="A84" s="722" t="s">
        <v>387</v>
      </c>
      <c r="B84" s="723"/>
      <c r="C84" s="723"/>
      <c r="D84" s="723"/>
      <c r="E84" s="723"/>
      <c r="F84" s="723"/>
      <c r="G84" s="723"/>
      <c r="H84" s="723"/>
      <c r="I84" s="723"/>
      <c r="J84" s="724"/>
      <c r="K84" s="107"/>
    </row>
    <row r="85" spans="1:11" x14ac:dyDescent="0.3">
      <c r="A85" s="691" t="s">
        <v>349</v>
      </c>
      <c r="B85" s="692"/>
      <c r="C85" s="692"/>
      <c r="D85" s="692"/>
      <c r="E85" s="692"/>
      <c r="F85" s="692"/>
      <c r="G85" s="692"/>
      <c r="H85" s="692"/>
      <c r="I85" s="692"/>
      <c r="J85" s="693"/>
      <c r="K85" s="107"/>
    </row>
    <row r="86" spans="1:11" x14ac:dyDescent="0.3">
      <c r="A86" s="691" t="s">
        <v>350</v>
      </c>
      <c r="B86" s="692"/>
      <c r="C86" s="692"/>
      <c r="D86" s="692"/>
      <c r="E86" s="692"/>
      <c r="F86" s="692"/>
      <c r="G86" s="692"/>
      <c r="H86" s="692"/>
      <c r="I86" s="692"/>
      <c r="J86" s="693"/>
      <c r="K86" s="107"/>
    </row>
    <row r="87" spans="1:11" x14ac:dyDescent="0.3">
      <c r="A87" s="691" t="s">
        <v>388</v>
      </c>
      <c r="B87" s="692"/>
      <c r="C87" s="692"/>
      <c r="D87" s="692"/>
      <c r="E87" s="692"/>
      <c r="F87" s="692"/>
      <c r="G87" s="692"/>
      <c r="H87" s="692"/>
      <c r="I87" s="692"/>
      <c r="J87" s="693"/>
      <c r="K87" s="107"/>
    </row>
    <row r="88" spans="1:11" x14ac:dyDescent="0.3">
      <c r="A88" s="691" t="s">
        <v>268</v>
      </c>
      <c r="B88" s="692"/>
      <c r="C88" s="692"/>
      <c r="D88" s="692"/>
      <c r="E88" s="692"/>
      <c r="F88" s="692"/>
      <c r="G88" s="692"/>
      <c r="H88" s="692"/>
      <c r="I88" s="692"/>
      <c r="J88" s="693"/>
      <c r="K88" s="107"/>
    </row>
    <row r="89" spans="1:11" x14ac:dyDescent="0.3">
      <c r="A89" s="691" t="s">
        <v>389</v>
      </c>
      <c r="B89" s="692"/>
      <c r="C89" s="692"/>
      <c r="D89" s="692"/>
      <c r="E89" s="692"/>
      <c r="F89" s="692"/>
      <c r="G89" s="692"/>
      <c r="H89" s="692"/>
      <c r="I89" s="692"/>
      <c r="J89" s="693"/>
      <c r="K89" s="107"/>
    </row>
    <row r="90" spans="1:11" x14ac:dyDescent="0.3">
      <c r="A90" s="691" t="s">
        <v>331</v>
      </c>
      <c r="B90" s="692"/>
      <c r="C90" s="692"/>
      <c r="D90" s="692"/>
      <c r="E90" s="692"/>
      <c r="F90" s="692"/>
      <c r="G90" s="692"/>
      <c r="H90" s="692"/>
      <c r="I90" s="692"/>
      <c r="J90" s="693"/>
      <c r="K90" s="107"/>
    </row>
    <row r="91" spans="1:11" x14ac:dyDescent="0.3">
      <c r="A91" s="691"/>
      <c r="B91" s="692"/>
      <c r="C91" s="692"/>
      <c r="D91" s="692"/>
      <c r="E91" s="692"/>
      <c r="F91" s="692"/>
      <c r="G91" s="692"/>
      <c r="H91" s="692"/>
      <c r="I91" s="692"/>
      <c r="J91" s="693"/>
      <c r="K91" s="107"/>
    </row>
    <row r="92" spans="1:11" x14ac:dyDescent="0.3">
      <c r="A92" s="718"/>
      <c r="B92" s="719"/>
      <c r="C92" s="719"/>
      <c r="D92" s="719"/>
      <c r="E92" s="719"/>
      <c r="F92" s="719"/>
      <c r="G92" s="719"/>
      <c r="H92" s="719"/>
      <c r="I92" s="719"/>
      <c r="J92" s="720"/>
      <c r="K92" s="107"/>
    </row>
    <row r="93" spans="1:11" ht="15" customHeight="1" x14ac:dyDescent="0.3">
      <c r="A93" s="718"/>
      <c r="B93" s="719"/>
      <c r="C93" s="719"/>
      <c r="D93" s="719"/>
      <c r="E93" s="719"/>
      <c r="F93" s="719"/>
      <c r="G93" s="719"/>
      <c r="H93" s="719"/>
      <c r="I93" s="719"/>
      <c r="J93" s="720"/>
      <c r="K93" s="107"/>
    </row>
    <row r="94" spans="1:11" ht="15" customHeight="1" thickBot="1" x14ac:dyDescent="0.35">
      <c r="A94" s="712"/>
      <c r="B94" s="713"/>
      <c r="C94" s="713"/>
      <c r="D94" s="713"/>
      <c r="E94" s="713"/>
      <c r="F94" s="713"/>
      <c r="G94" s="713"/>
      <c r="H94" s="713"/>
      <c r="I94" s="713"/>
      <c r="J94" s="714"/>
      <c r="K94" s="115"/>
    </row>
    <row r="95" spans="1:11" ht="15" customHeight="1" thickBot="1" x14ac:dyDescent="0.35">
      <c r="A95" s="715" t="s">
        <v>269</v>
      </c>
      <c r="B95" s="716"/>
      <c r="C95" s="716"/>
      <c r="D95" s="716"/>
      <c r="E95" s="716"/>
      <c r="F95" s="716"/>
      <c r="G95" s="716"/>
      <c r="H95" s="716"/>
      <c r="I95" s="716"/>
      <c r="J95" s="716"/>
      <c r="K95" s="717"/>
    </row>
    <row r="96" spans="1:11" ht="14.5" customHeight="1" x14ac:dyDescent="0.3"/>
  </sheetData>
  <sheetProtection algorithmName="SHA-512" hashValue="Z9lCx+QDV50cJeLfsnrn5pLXcRPyeGa3KOO7SNOxxLSjSG0gcMfvV2NqAl7SCUKVbsfuowA3gaFu/zXeYuotLg==" saltValue="yeYZDDw1rnJfUtEw1l+XPg==" spinCount="100000" sheet="1" objects="1" scenarios="1"/>
  <mergeCells count="75">
    <mergeCell ref="A14:J14"/>
    <mergeCell ref="A1:K1"/>
    <mergeCell ref="A2:B5"/>
    <mergeCell ref="D2:G2"/>
    <mergeCell ref="H2:K2"/>
    <mergeCell ref="D3:G3"/>
    <mergeCell ref="H3:K3"/>
    <mergeCell ref="D4:G4"/>
    <mergeCell ref="D5:G5"/>
    <mergeCell ref="A6:K6"/>
    <mergeCell ref="A7:J7"/>
    <mergeCell ref="C8:J8"/>
    <mergeCell ref="C9:J9"/>
    <mergeCell ref="C12:J12"/>
    <mergeCell ref="C10:J10"/>
    <mergeCell ref="G15:J15"/>
    <mergeCell ref="G16:J27"/>
    <mergeCell ref="B20:F20"/>
    <mergeCell ref="D21:F21"/>
    <mergeCell ref="D22:F22"/>
    <mergeCell ref="D23:F23"/>
    <mergeCell ref="D24:F24"/>
    <mergeCell ref="D25:F25"/>
    <mergeCell ref="D26:F26"/>
    <mergeCell ref="D27:F27"/>
    <mergeCell ref="A28:J28"/>
    <mergeCell ref="G29:J29"/>
    <mergeCell ref="G30:J41"/>
    <mergeCell ref="D36:F36"/>
    <mergeCell ref="D37:F37"/>
    <mergeCell ref="A49:J49"/>
    <mergeCell ref="G50:J50"/>
    <mergeCell ref="A42:J42"/>
    <mergeCell ref="G43:J43"/>
    <mergeCell ref="G44:J48"/>
    <mergeCell ref="D44:F44"/>
    <mergeCell ref="D47:F47"/>
    <mergeCell ref="A56:J56"/>
    <mergeCell ref="D58:F58"/>
    <mergeCell ref="G58:J62"/>
    <mergeCell ref="D59:F59"/>
    <mergeCell ref="D60:F60"/>
    <mergeCell ref="D61:F61"/>
    <mergeCell ref="D62:F62"/>
    <mergeCell ref="D57:F57"/>
    <mergeCell ref="G57:J57"/>
    <mergeCell ref="D69:F69"/>
    <mergeCell ref="A70:J70"/>
    <mergeCell ref="F71:J71"/>
    <mergeCell ref="A83:J83"/>
    <mergeCell ref="A84:J84"/>
    <mergeCell ref="A94:J94"/>
    <mergeCell ref="A95:K95"/>
    <mergeCell ref="A88:J88"/>
    <mergeCell ref="A89:J89"/>
    <mergeCell ref="A90:J90"/>
    <mergeCell ref="A91:J91"/>
    <mergeCell ref="A92:J92"/>
    <mergeCell ref="A93:J93"/>
    <mergeCell ref="G51:J55"/>
    <mergeCell ref="A87:J87"/>
    <mergeCell ref="A86:J86"/>
    <mergeCell ref="F72:J82"/>
    <mergeCell ref="D11:F11"/>
    <mergeCell ref="H11:J11"/>
    <mergeCell ref="D45:F45"/>
    <mergeCell ref="A85:J85"/>
    <mergeCell ref="A63:J63"/>
    <mergeCell ref="D64:F64"/>
    <mergeCell ref="G64:J64"/>
    <mergeCell ref="D65:F65"/>
    <mergeCell ref="G65:J69"/>
    <mergeCell ref="D66:F66"/>
    <mergeCell ref="D67:F67"/>
    <mergeCell ref="D68:F68"/>
  </mergeCells>
  <pageMargins left="0.7" right="0.7" top="0.75" bottom="0.75" header="0.3" footer="0.3"/>
  <pageSetup paperSize="8" scale="78"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3</xdr:col>
                    <xdr:colOff>260350</xdr:colOff>
                    <xdr:row>70</xdr:row>
                    <xdr:rowOff>146050</xdr:rowOff>
                  </from>
                  <to>
                    <xdr:col>3</xdr:col>
                    <xdr:colOff>679450</xdr:colOff>
                    <xdr:row>72</xdr:row>
                    <xdr:rowOff>38100</xdr:rowOff>
                  </to>
                </anchor>
              </controlPr>
            </control>
          </mc:Choice>
        </mc:AlternateContent>
        <mc:AlternateContent xmlns:mc="http://schemas.openxmlformats.org/markup-compatibility/2006">
          <mc:Choice Requires="x14">
            <control shapeId="7171" r:id="rId5" name="Check Box 3">
              <controlPr defaultSize="0" autoFill="0" autoLine="0" autoPict="0">
                <anchor moveWithCells="1">
                  <from>
                    <xdr:col>3</xdr:col>
                    <xdr:colOff>260350</xdr:colOff>
                    <xdr:row>78</xdr:row>
                    <xdr:rowOff>146050</xdr:rowOff>
                  </from>
                  <to>
                    <xdr:col>3</xdr:col>
                    <xdr:colOff>679450</xdr:colOff>
                    <xdr:row>79</xdr:row>
                    <xdr:rowOff>184150</xdr:rowOff>
                  </to>
                </anchor>
              </controlPr>
            </control>
          </mc:Choice>
        </mc:AlternateContent>
        <mc:AlternateContent xmlns:mc="http://schemas.openxmlformats.org/markup-compatibility/2006">
          <mc:Choice Requires="x14">
            <control shapeId="7172" r:id="rId6" name="Check Box 4">
              <controlPr defaultSize="0" autoFill="0" autoLine="0" autoPict="0">
                <anchor moveWithCells="1">
                  <from>
                    <xdr:col>3</xdr:col>
                    <xdr:colOff>260350</xdr:colOff>
                    <xdr:row>79</xdr:row>
                    <xdr:rowOff>146050</xdr:rowOff>
                  </from>
                  <to>
                    <xdr:col>3</xdr:col>
                    <xdr:colOff>679450</xdr:colOff>
                    <xdr:row>80</xdr:row>
                    <xdr:rowOff>184150</xdr:rowOff>
                  </to>
                </anchor>
              </controlPr>
            </control>
          </mc:Choice>
        </mc:AlternateContent>
        <mc:AlternateContent xmlns:mc="http://schemas.openxmlformats.org/markup-compatibility/2006">
          <mc:Choice Requires="x14">
            <control shapeId="7173" r:id="rId7" name="Check Box 5">
              <controlPr defaultSize="0" autoFill="0" autoLine="0" autoPict="0">
                <anchor moveWithCells="1">
                  <from>
                    <xdr:col>4</xdr:col>
                    <xdr:colOff>241300</xdr:colOff>
                    <xdr:row>70</xdr:row>
                    <xdr:rowOff>146050</xdr:rowOff>
                  </from>
                  <to>
                    <xdr:col>4</xdr:col>
                    <xdr:colOff>647700</xdr:colOff>
                    <xdr:row>72</xdr:row>
                    <xdr:rowOff>38100</xdr:rowOff>
                  </to>
                </anchor>
              </controlPr>
            </control>
          </mc:Choice>
        </mc:AlternateContent>
        <mc:AlternateContent xmlns:mc="http://schemas.openxmlformats.org/markup-compatibility/2006">
          <mc:Choice Requires="x14">
            <control shapeId="7175" r:id="rId8" name="Check Box 7">
              <controlPr defaultSize="0" autoFill="0" autoLine="0" autoPict="0">
                <anchor moveWithCells="1">
                  <from>
                    <xdr:col>4</xdr:col>
                    <xdr:colOff>241300</xdr:colOff>
                    <xdr:row>78</xdr:row>
                    <xdr:rowOff>146050</xdr:rowOff>
                  </from>
                  <to>
                    <xdr:col>4</xdr:col>
                    <xdr:colOff>647700</xdr:colOff>
                    <xdr:row>79</xdr:row>
                    <xdr:rowOff>184150</xdr:rowOff>
                  </to>
                </anchor>
              </controlPr>
            </control>
          </mc:Choice>
        </mc:AlternateContent>
        <mc:AlternateContent xmlns:mc="http://schemas.openxmlformats.org/markup-compatibility/2006">
          <mc:Choice Requires="x14">
            <control shapeId="7176" r:id="rId9" name="Check Box 8">
              <controlPr defaultSize="0" autoFill="0" autoLine="0" autoPict="0">
                <anchor moveWithCells="1">
                  <from>
                    <xdr:col>4</xdr:col>
                    <xdr:colOff>241300</xdr:colOff>
                    <xdr:row>79</xdr:row>
                    <xdr:rowOff>146050</xdr:rowOff>
                  </from>
                  <to>
                    <xdr:col>4</xdr:col>
                    <xdr:colOff>660400</xdr:colOff>
                    <xdr:row>80</xdr:row>
                    <xdr:rowOff>184150</xdr:rowOff>
                  </to>
                </anchor>
              </controlPr>
            </control>
          </mc:Choice>
        </mc:AlternateContent>
        <mc:AlternateContent xmlns:mc="http://schemas.openxmlformats.org/markup-compatibility/2006">
          <mc:Choice Requires="x14">
            <control shapeId="7177" r:id="rId10" name="Check Box 9">
              <controlPr defaultSize="0" autoFill="0" autoLine="0" autoPict="0">
                <anchor moveWithCells="1">
                  <from>
                    <xdr:col>3</xdr:col>
                    <xdr:colOff>260350</xdr:colOff>
                    <xdr:row>80</xdr:row>
                    <xdr:rowOff>146050</xdr:rowOff>
                  </from>
                  <to>
                    <xdr:col>3</xdr:col>
                    <xdr:colOff>679450</xdr:colOff>
                    <xdr:row>81</xdr:row>
                    <xdr:rowOff>184150</xdr:rowOff>
                  </to>
                </anchor>
              </controlPr>
            </control>
          </mc:Choice>
        </mc:AlternateContent>
        <mc:AlternateContent xmlns:mc="http://schemas.openxmlformats.org/markup-compatibility/2006">
          <mc:Choice Requires="x14">
            <control shapeId="7178" r:id="rId11" name="Check Box 10">
              <controlPr defaultSize="0" autoFill="0" autoLine="0" autoPict="0">
                <anchor moveWithCells="1">
                  <from>
                    <xdr:col>4</xdr:col>
                    <xdr:colOff>241300</xdr:colOff>
                    <xdr:row>80</xdr:row>
                    <xdr:rowOff>146050</xdr:rowOff>
                  </from>
                  <to>
                    <xdr:col>4</xdr:col>
                    <xdr:colOff>647700</xdr:colOff>
                    <xdr:row>81</xdr:row>
                    <xdr:rowOff>184150</xdr:rowOff>
                  </to>
                </anchor>
              </controlPr>
            </control>
          </mc:Choice>
        </mc:AlternateContent>
        <mc:AlternateContent xmlns:mc="http://schemas.openxmlformats.org/markup-compatibility/2006">
          <mc:Choice Requires="x14">
            <control shapeId="7184" r:id="rId12" name="Check Box 16">
              <controlPr defaultSize="0" autoFill="0" autoLine="0" autoPict="0">
                <anchor moveWithCells="1">
                  <from>
                    <xdr:col>3</xdr:col>
                    <xdr:colOff>260350</xdr:colOff>
                    <xdr:row>74</xdr:row>
                    <xdr:rowOff>152400</xdr:rowOff>
                  </from>
                  <to>
                    <xdr:col>3</xdr:col>
                    <xdr:colOff>679450</xdr:colOff>
                    <xdr:row>75</xdr:row>
                    <xdr:rowOff>184150</xdr:rowOff>
                  </to>
                </anchor>
              </controlPr>
            </control>
          </mc:Choice>
        </mc:AlternateContent>
        <mc:AlternateContent xmlns:mc="http://schemas.openxmlformats.org/markup-compatibility/2006">
          <mc:Choice Requires="x14">
            <control shapeId="7185" r:id="rId13" name="Check Box 17">
              <controlPr defaultSize="0" autoFill="0" autoLine="0" autoPict="0">
                <anchor moveWithCells="1">
                  <from>
                    <xdr:col>4</xdr:col>
                    <xdr:colOff>241300</xdr:colOff>
                    <xdr:row>74</xdr:row>
                    <xdr:rowOff>146050</xdr:rowOff>
                  </from>
                  <to>
                    <xdr:col>4</xdr:col>
                    <xdr:colOff>660400</xdr:colOff>
                    <xdr:row>75</xdr:row>
                    <xdr:rowOff>184150</xdr:rowOff>
                  </to>
                </anchor>
              </controlPr>
            </control>
          </mc:Choice>
        </mc:AlternateContent>
        <mc:AlternateContent xmlns:mc="http://schemas.openxmlformats.org/markup-compatibility/2006">
          <mc:Choice Requires="x14">
            <control shapeId="7186" r:id="rId14" name="Check Box 18">
              <controlPr defaultSize="0" autoFill="0" autoLine="0" autoPict="0">
                <anchor moveWithCells="1">
                  <from>
                    <xdr:col>3</xdr:col>
                    <xdr:colOff>260350</xdr:colOff>
                    <xdr:row>76</xdr:row>
                    <xdr:rowOff>152400</xdr:rowOff>
                  </from>
                  <to>
                    <xdr:col>3</xdr:col>
                    <xdr:colOff>679450</xdr:colOff>
                    <xdr:row>78</xdr:row>
                    <xdr:rowOff>0</xdr:rowOff>
                  </to>
                </anchor>
              </controlPr>
            </control>
          </mc:Choice>
        </mc:AlternateContent>
        <mc:AlternateContent xmlns:mc="http://schemas.openxmlformats.org/markup-compatibility/2006">
          <mc:Choice Requires="x14">
            <control shapeId="7187" r:id="rId15" name="Check Box 19">
              <controlPr defaultSize="0" autoFill="0" autoLine="0" autoPict="0">
                <anchor moveWithCells="1">
                  <from>
                    <xdr:col>4</xdr:col>
                    <xdr:colOff>241300</xdr:colOff>
                    <xdr:row>76</xdr:row>
                    <xdr:rowOff>146050</xdr:rowOff>
                  </from>
                  <to>
                    <xdr:col>4</xdr:col>
                    <xdr:colOff>660400</xdr:colOff>
                    <xdr:row>77</xdr:row>
                    <xdr:rowOff>184150</xdr:rowOff>
                  </to>
                </anchor>
              </controlPr>
            </control>
          </mc:Choice>
        </mc:AlternateContent>
        <mc:AlternateContent xmlns:mc="http://schemas.openxmlformats.org/markup-compatibility/2006">
          <mc:Choice Requires="x14">
            <control shapeId="7190" r:id="rId16" name="Check Box 22">
              <controlPr defaultSize="0" autoFill="0" autoLine="0" autoPict="0">
                <anchor moveWithCells="1">
                  <from>
                    <xdr:col>3</xdr:col>
                    <xdr:colOff>260350</xdr:colOff>
                    <xdr:row>72</xdr:row>
                    <xdr:rowOff>146050</xdr:rowOff>
                  </from>
                  <to>
                    <xdr:col>3</xdr:col>
                    <xdr:colOff>679450</xdr:colOff>
                    <xdr:row>74</xdr:row>
                    <xdr:rowOff>12700</xdr:rowOff>
                  </to>
                </anchor>
              </controlPr>
            </control>
          </mc:Choice>
        </mc:AlternateContent>
        <mc:AlternateContent xmlns:mc="http://schemas.openxmlformats.org/markup-compatibility/2006">
          <mc:Choice Requires="x14">
            <control shapeId="7191" r:id="rId17" name="Check Box 23">
              <controlPr defaultSize="0" autoFill="0" autoLine="0" autoPict="0">
                <anchor moveWithCells="1">
                  <from>
                    <xdr:col>4</xdr:col>
                    <xdr:colOff>241300</xdr:colOff>
                    <xdr:row>72</xdr:row>
                    <xdr:rowOff>146050</xdr:rowOff>
                  </from>
                  <to>
                    <xdr:col>4</xdr:col>
                    <xdr:colOff>647700</xdr:colOff>
                    <xdr:row>74</xdr:row>
                    <xdr:rowOff>12700</xdr:rowOff>
                  </to>
                </anchor>
              </controlPr>
            </control>
          </mc:Choice>
        </mc:AlternateContent>
        <mc:AlternateContent xmlns:mc="http://schemas.openxmlformats.org/markup-compatibility/2006">
          <mc:Choice Requires="x14">
            <control shapeId="7192" r:id="rId18" name="Check Box 24">
              <controlPr defaultSize="0" autoFill="0" autoLine="0" autoPict="0">
                <anchor moveWithCells="1">
                  <from>
                    <xdr:col>3</xdr:col>
                    <xdr:colOff>260350</xdr:colOff>
                    <xdr:row>71</xdr:row>
                    <xdr:rowOff>146050</xdr:rowOff>
                  </from>
                  <to>
                    <xdr:col>3</xdr:col>
                    <xdr:colOff>679450</xdr:colOff>
                    <xdr:row>73</xdr:row>
                    <xdr:rowOff>12700</xdr:rowOff>
                  </to>
                </anchor>
              </controlPr>
            </control>
          </mc:Choice>
        </mc:AlternateContent>
        <mc:AlternateContent xmlns:mc="http://schemas.openxmlformats.org/markup-compatibility/2006">
          <mc:Choice Requires="x14">
            <control shapeId="7193" r:id="rId19" name="Check Box 25">
              <controlPr defaultSize="0" autoFill="0" autoLine="0" autoPict="0">
                <anchor moveWithCells="1">
                  <from>
                    <xdr:col>4</xdr:col>
                    <xdr:colOff>241300</xdr:colOff>
                    <xdr:row>71</xdr:row>
                    <xdr:rowOff>146050</xdr:rowOff>
                  </from>
                  <to>
                    <xdr:col>4</xdr:col>
                    <xdr:colOff>647700</xdr:colOff>
                    <xdr:row>73</xdr:row>
                    <xdr:rowOff>12700</xdr:rowOff>
                  </to>
                </anchor>
              </controlPr>
            </control>
          </mc:Choice>
        </mc:AlternateContent>
        <mc:AlternateContent xmlns:mc="http://schemas.openxmlformats.org/markup-compatibility/2006">
          <mc:Choice Requires="x14">
            <control shapeId="7194" r:id="rId20" name="Check Box 26">
              <controlPr defaultSize="0" autoFill="0" autoLine="0" autoPict="0">
                <anchor moveWithCells="1">
                  <from>
                    <xdr:col>2</xdr:col>
                    <xdr:colOff>222250</xdr:colOff>
                    <xdr:row>9</xdr:row>
                    <xdr:rowOff>184150</xdr:rowOff>
                  </from>
                  <to>
                    <xdr:col>2</xdr:col>
                    <xdr:colOff>622300</xdr:colOff>
                    <xdr:row>11</xdr:row>
                    <xdr:rowOff>31750</xdr:rowOff>
                  </to>
                </anchor>
              </controlPr>
            </control>
          </mc:Choice>
        </mc:AlternateContent>
        <mc:AlternateContent xmlns:mc="http://schemas.openxmlformats.org/markup-compatibility/2006">
          <mc:Choice Requires="x14">
            <control shapeId="7195" r:id="rId21" name="Check Box 27">
              <controlPr defaultSize="0" autoFill="0" autoLine="0" autoPict="0">
                <anchor moveWithCells="1">
                  <from>
                    <xdr:col>6</xdr:col>
                    <xdr:colOff>222250</xdr:colOff>
                    <xdr:row>9</xdr:row>
                    <xdr:rowOff>184150</xdr:rowOff>
                  </from>
                  <to>
                    <xdr:col>6</xdr:col>
                    <xdr:colOff>641350</xdr:colOff>
                    <xdr:row>11</xdr:row>
                    <xdr:rowOff>31750</xdr:rowOff>
                  </to>
                </anchor>
              </controlPr>
            </control>
          </mc:Choice>
        </mc:AlternateContent>
        <mc:AlternateContent xmlns:mc="http://schemas.openxmlformats.org/markup-compatibility/2006">
          <mc:Choice Requires="x14">
            <control shapeId="7196" r:id="rId22" name="Check Box 28">
              <controlPr defaultSize="0" autoFill="0" autoLine="0" autoPict="0">
                <anchor moveWithCells="1">
                  <from>
                    <xdr:col>2</xdr:col>
                    <xdr:colOff>12700</xdr:colOff>
                    <xdr:row>11</xdr:row>
                    <xdr:rowOff>165100</xdr:rowOff>
                  </from>
                  <to>
                    <xdr:col>2</xdr:col>
                    <xdr:colOff>431800</xdr:colOff>
                    <xdr:row>13</xdr:row>
                    <xdr:rowOff>12700</xdr:rowOff>
                  </to>
                </anchor>
              </controlPr>
            </control>
          </mc:Choice>
        </mc:AlternateContent>
        <mc:AlternateContent xmlns:mc="http://schemas.openxmlformats.org/markup-compatibility/2006">
          <mc:Choice Requires="x14">
            <control shapeId="7199" r:id="rId23" name="Check Box 31">
              <controlPr defaultSize="0" autoFill="0" autoLine="0" autoPict="0">
                <anchor moveWithCells="1">
                  <from>
                    <xdr:col>6</xdr:col>
                    <xdr:colOff>755650</xdr:colOff>
                    <xdr:row>11</xdr:row>
                    <xdr:rowOff>184150</xdr:rowOff>
                  </from>
                  <to>
                    <xdr:col>7</xdr:col>
                    <xdr:colOff>412750</xdr:colOff>
                    <xdr:row>13</xdr:row>
                    <xdr:rowOff>38100</xdr:rowOff>
                  </to>
                </anchor>
              </controlPr>
            </control>
          </mc:Choice>
        </mc:AlternateContent>
        <mc:AlternateContent xmlns:mc="http://schemas.openxmlformats.org/markup-compatibility/2006">
          <mc:Choice Requires="x14">
            <control shapeId="7200" r:id="rId24" name="Check Box 32">
              <controlPr defaultSize="0" autoFill="0" autoLine="0" autoPict="0">
                <anchor moveWithCells="1">
                  <from>
                    <xdr:col>4</xdr:col>
                    <xdr:colOff>431800</xdr:colOff>
                    <xdr:row>11</xdr:row>
                    <xdr:rowOff>165100</xdr:rowOff>
                  </from>
                  <to>
                    <xdr:col>5</xdr:col>
                    <xdr:colOff>184150</xdr:colOff>
                    <xdr:row>13</xdr:row>
                    <xdr:rowOff>12700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BC47-F078-47BA-AEAE-C30D6771FC47}">
  <dimension ref="A1"/>
  <sheetViews>
    <sheetView topLeftCell="A34" workbookViewId="0">
      <selection activeCell="K102" sqref="K102"/>
    </sheetView>
  </sheetViews>
  <sheetFormatPr defaultColWidth="8.81640625" defaultRowHeight="14.5" x14ac:dyDescent="0.3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46B7-1DF6-4F36-95C2-A2AC5711D964}">
  <sheetPr>
    <pageSetUpPr fitToPage="1"/>
  </sheetPr>
  <dimension ref="A1:P98"/>
  <sheetViews>
    <sheetView zoomScale="70" zoomScaleNormal="70" workbookViewId="0">
      <selection activeCell="O9" sqref="O9:P10"/>
    </sheetView>
  </sheetViews>
  <sheetFormatPr defaultColWidth="8.54296875" defaultRowHeight="13" x14ac:dyDescent="0.3"/>
  <cols>
    <col min="1" max="1" width="3.453125" style="152" customWidth="1"/>
    <col min="2" max="2" width="35" style="104" customWidth="1"/>
    <col min="3" max="3" width="9.54296875" style="104" customWidth="1"/>
    <col min="4" max="4" width="9.81640625" style="104" bestFit="1" customWidth="1"/>
    <col min="5" max="5" width="9.54296875" style="104" bestFit="1" customWidth="1"/>
    <col min="6" max="6" width="11.54296875" style="104" customWidth="1"/>
    <col min="7" max="7" width="10.54296875" style="104" customWidth="1"/>
    <col min="8" max="8" width="8.54296875" style="104" bestFit="1" customWidth="1"/>
    <col min="9" max="9" width="6.81640625" style="104" bestFit="1" customWidth="1"/>
    <col min="10" max="10" width="7.453125" style="104" customWidth="1"/>
    <col min="11" max="11" width="5" style="245" customWidth="1"/>
    <col min="12" max="12" width="8.54296875" style="104"/>
    <col min="13" max="13" width="19.453125" style="104" bestFit="1" customWidth="1"/>
    <col min="14" max="14" width="8.54296875" style="104"/>
    <col min="15" max="16" width="28.1796875" style="104" customWidth="1"/>
    <col min="17" max="16384" width="8.54296875" style="104"/>
  </cols>
  <sheetData>
    <row r="1" spans="1:16" ht="13.5" thickBot="1" x14ac:dyDescent="0.35">
      <c r="A1" s="707" t="s">
        <v>224</v>
      </c>
      <c r="B1" s="708"/>
      <c r="C1" s="708"/>
      <c r="D1" s="708"/>
      <c r="E1" s="708"/>
      <c r="F1" s="708"/>
      <c r="G1" s="708"/>
      <c r="H1" s="708"/>
      <c r="I1" s="708"/>
      <c r="J1" s="708"/>
      <c r="K1" s="709"/>
    </row>
    <row r="2" spans="1:16" ht="14.5" customHeight="1" x14ac:dyDescent="0.3">
      <c r="A2" s="731"/>
      <c r="B2" s="732"/>
      <c r="C2" s="225" t="s">
        <v>219</v>
      </c>
      <c r="D2" s="737" t="s">
        <v>524</v>
      </c>
      <c r="E2" s="737"/>
      <c r="F2" s="737"/>
      <c r="G2" s="737"/>
      <c r="H2" s="738" t="s">
        <v>560</v>
      </c>
      <c r="I2" s="738"/>
      <c r="J2" s="738"/>
      <c r="K2" s="739"/>
    </row>
    <row r="3" spans="1:16" ht="14.5" customHeight="1" x14ac:dyDescent="0.3">
      <c r="A3" s="733"/>
      <c r="B3" s="734"/>
      <c r="C3" s="218" t="s">
        <v>210</v>
      </c>
      <c r="D3" s="602" t="s">
        <v>332</v>
      </c>
      <c r="E3" s="602"/>
      <c r="F3" s="602"/>
      <c r="G3" s="602"/>
      <c r="H3" s="593" t="s">
        <v>379</v>
      </c>
      <c r="I3" s="593"/>
      <c r="J3" s="593"/>
      <c r="K3" s="740"/>
    </row>
    <row r="4" spans="1:16" ht="14.5" customHeight="1" x14ac:dyDescent="0.3">
      <c r="A4" s="733"/>
      <c r="B4" s="734"/>
      <c r="C4" s="218" t="s">
        <v>212</v>
      </c>
      <c r="D4" s="602" t="s">
        <v>525</v>
      </c>
      <c r="E4" s="602"/>
      <c r="F4" s="602"/>
      <c r="G4" s="602"/>
      <c r="H4" s="105" t="s">
        <v>231</v>
      </c>
      <c r="I4" s="105" t="s">
        <v>229</v>
      </c>
      <c r="J4" s="105" t="s">
        <v>230</v>
      </c>
      <c r="K4" s="111" t="s">
        <v>235</v>
      </c>
    </row>
    <row r="5" spans="1:16" ht="15" customHeight="1" thickBot="1" x14ac:dyDescent="0.35">
      <c r="A5" s="735"/>
      <c r="B5" s="736"/>
      <c r="C5" s="226" t="s">
        <v>526</v>
      </c>
      <c r="D5" s="741" t="s">
        <v>228</v>
      </c>
      <c r="E5" s="741"/>
      <c r="F5" s="741"/>
      <c r="G5" s="741"/>
      <c r="H5" s="102" t="s">
        <v>232</v>
      </c>
      <c r="I5" s="102" t="s">
        <v>234</v>
      </c>
      <c r="J5" s="102" t="s">
        <v>233</v>
      </c>
      <c r="K5" s="103" t="s">
        <v>45</v>
      </c>
    </row>
    <row r="6" spans="1:16" ht="8.15" customHeight="1" thickBot="1" x14ac:dyDescent="0.35">
      <c r="A6" s="742"/>
      <c r="B6" s="743"/>
      <c r="C6" s="743"/>
      <c r="D6" s="743"/>
      <c r="E6" s="743"/>
      <c r="F6" s="743"/>
      <c r="G6" s="743"/>
      <c r="H6" s="743"/>
      <c r="I6" s="743"/>
      <c r="J6" s="743"/>
      <c r="K6" s="744"/>
    </row>
    <row r="7" spans="1:16" ht="13.5" thickBot="1" x14ac:dyDescent="0.35">
      <c r="A7" s="707" t="s">
        <v>236</v>
      </c>
      <c r="B7" s="708"/>
      <c r="C7" s="708"/>
      <c r="D7" s="708"/>
      <c r="E7" s="708"/>
      <c r="F7" s="708"/>
      <c r="G7" s="708"/>
      <c r="H7" s="708"/>
      <c r="I7" s="708"/>
      <c r="J7" s="709"/>
      <c r="K7" s="228" t="s">
        <v>235</v>
      </c>
      <c r="M7" s="104" t="s">
        <v>6</v>
      </c>
      <c r="O7" s="137">
        <v>4</v>
      </c>
      <c r="P7" s="137">
        <v>5</v>
      </c>
    </row>
    <row r="8" spans="1:16" x14ac:dyDescent="0.3">
      <c r="A8" s="151">
        <v>1</v>
      </c>
      <c r="B8" s="229" t="s">
        <v>277</v>
      </c>
      <c r="C8" s="775" t="s">
        <v>527</v>
      </c>
      <c r="D8" s="775"/>
      <c r="E8" s="775"/>
      <c r="F8" s="775"/>
      <c r="G8" s="775"/>
      <c r="H8" s="775"/>
      <c r="I8" s="775"/>
      <c r="J8" s="776"/>
      <c r="K8" s="230"/>
      <c r="M8" s="104" t="s">
        <v>14</v>
      </c>
      <c r="O8" s="104" t="str">
        <f>HLOOKUP(O7,'Property Calc_Design Flow'!$E$2:$ED$3,2,FALSE)</f>
        <v>FEED+RECYCLE TO COMPRESSOR</v>
      </c>
      <c r="P8" s="104" t="str">
        <f>HLOOKUP(P7,'Property Calc_Design Flow'!$E$2:$ED$3,2,FALSE)</f>
        <v>COMPRESSOR DISCHARGE TO AFTERCOOLER</v>
      </c>
    </row>
    <row r="9" spans="1:16" ht="14.5" x14ac:dyDescent="0.35">
      <c r="A9" s="148">
        <f>A8+1</f>
        <v>2</v>
      </c>
      <c r="B9" s="218" t="s">
        <v>275</v>
      </c>
      <c r="C9" s="602" t="s">
        <v>278</v>
      </c>
      <c r="D9" s="602"/>
      <c r="E9" s="602"/>
      <c r="F9" s="602"/>
      <c r="G9" s="602"/>
      <c r="H9" s="602"/>
      <c r="I9" s="602"/>
      <c r="J9" s="749"/>
      <c r="K9" s="108"/>
      <c r="M9" s="19" t="s">
        <v>1</v>
      </c>
      <c r="N9" s="215" t="s">
        <v>5</v>
      </c>
      <c r="O9" s="215">
        <f>HLOOKUP(O$8,'Property Calc_Design Flow'!$E$3:$EJ$25,MATCH(M9,'Property Calc_Design Flow'!$C$3:$C$24,0),FALSE)</f>
        <v>62.5</v>
      </c>
      <c r="P9" s="215">
        <f>HLOOKUP(P$8,'Property Calc_Design Flow'!$E$3:$EJ$25,MATCH(M9,'Property Calc_Design Flow'!$C$3:$C$24,0),FALSE)</f>
        <v>200</v>
      </c>
    </row>
    <row r="10" spans="1:16" ht="14.5" x14ac:dyDescent="0.35">
      <c r="A10" s="149">
        <f>A8+1</f>
        <v>2</v>
      </c>
      <c r="B10" s="227" t="s">
        <v>279</v>
      </c>
      <c r="C10" s="602" t="s">
        <v>280</v>
      </c>
      <c r="D10" s="602"/>
      <c r="E10" s="602"/>
      <c r="F10" s="602"/>
      <c r="G10" s="602"/>
      <c r="H10" s="602"/>
      <c r="I10" s="602"/>
      <c r="J10" s="749"/>
      <c r="K10" s="108"/>
      <c r="M10" s="19" t="s">
        <v>0</v>
      </c>
      <c r="N10" s="215" t="s">
        <v>4</v>
      </c>
      <c r="O10" s="215">
        <f>HLOOKUP(O$8,'Property Calc_Design Flow'!$E$3:$EJ$25,MATCH(M10,'Property Calc_Design Flow'!$C$3:$C$24,0),FALSE)</f>
        <v>92.740094703881937</v>
      </c>
      <c r="P10" s="215">
        <f>HLOOKUP(P$8,'Property Calc_Design Flow'!$E$3:$EJ$25,MATCH(M10,'Property Calc_Design Flow'!$C$3:$C$24,0),FALSE)</f>
        <v>245</v>
      </c>
    </row>
    <row r="11" spans="1:16" ht="14.5" x14ac:dyDescent="0.35">
      <c r="A11" s="149">
        <f>A9+1</f>
        <v>3</v>
      </c>
      <c r="B11" s="227" t="s">
        <v>528</v>
      </c>
      <c r="C11" s="769" t="s">
        <v>529</v>
      </c>
      <c r="D11" s="770"/>
      <c r="E11" s="770"/>
      <c r="F11" s="771"/>
      <c r="G11" s="772"/>
      <c r="H11" s="773"/>
      <c r="I11" s="773"/>
      <c r="J11" s="774"/>
      <c r="K11" s="247" t="s">
        <v>45</v>
      </c>
      <c r="M11" s="19"/>
      <c r="N11" s="215"/>
      <c r="O11" s="215"/>
      <c r="P11" s="215"/>
    </row>
    <row r="12" spans="1:16" ht="14.5" x14ac:dyDescent="0.35">
      <c r="A12" s="149">
        <f>A11+1</f>
        <v>4</v>
      </c>
      <c r="B12" s="227" t="s">
        <v>355</v>
      </c>
      <c r="C12" s="146"/>
      <c r="D12" s="692" t="s">
        <v>531</v>
      </c>
      <c r="E12" s="692"/>
      <c r="F12" s="703"/>
      <c r="G12" s="145"/>
      <c r="H12" s="692" t="s">
        <v>532</v>
      </c>
      <c r="I12" s="692"/>
      <c r="J12" s="693"/>
      <c r="K12" s="247" t="s">
        <v>45</v>
      </c>
      <c r="M12" s="19"/>
      <c r="N12" s="215"/>
      <c r="O12" s="215"/>
      <c r="P12" s="215"/>
    </row>
    <row r="13" spans="1:16" ht="14.5" x14ac:dyDescent="0.35">
      <c r="A13" s="148">
        <f>A12+1</f>
        <v>5</v>
      </c>
      <c r="B13" s="218" t="s">
        <v>225</v>
      </c>
      <c r="C13" s="602" t="s">
        <v>533</v>
      </c>
      <c r="D13" s="602"/>
      <c r="E13" s="602"/>
      <c r="F13" s="602"/>
      <c r="G13" s="602"/>
      <c r="H13" s="602"/>
      <c r="I13" s="602"/>
      <c r="J13" s="749"/>
      <c r="K13" s="247" t="s">
        <v>45</v>
      </c>
      <c r="M13" s="19" t="s">
        <v>26</v>
      </c>
      <c r="N13" s="215" t="s">
        <v>27</v>
      </c>
      <c r="O13" s="215">
        <f>HLOOKUP(O$8,'Property Calc_Design Flow'!$E$3:$EJ$25,MATCH(M13,'Property Calc_Design Flow'!$C$3:$C$24,0),FALSE)</f>
        <v>4075.5358663686952</v>
      </c>
      <c r="P13" s="215">
        <f>HLOOKUP(P$8,'Property Calc_Design Flow'!$E$3:$EJ$25,MATCH(M13,'Property Calc_Design Flow'!$C$3:$C$24,0),FALSE)</f>
        <v>4075.5358663686952</v>
      </c>
    </row>
    <row r="14" spans="1:16" ht="15" thickBot="1" x14ac:dyDescent="0.4">
      <c r="A14" s="231">
        <f>A13+1</f>
        <v>6</v>
      </c>
      <c r="B14" s="232" t="s">
        <v>392</v>
      </c>
      <c r="C14" s="233" t="s">
        <v>393</v>
      </c>
      <c r="D14" s="234"/>
      <c r="E14" s="235"/>
      <c r="F14" s="234" t="s">
        <v>394</v>
      </c>
      <c r="G14" s="234"/>
      <c r="H14" s="236" t="s">
        <v>395</v>
      </c>
      <c r="I14" s="234"/>
      <c r="J14" s="237"/>
      <c r="K14" s="248"/>
      <c r="M14" s="19"/>
      <c r="N14" s="215"/>
      <c r="O14" s="215"/>
      <c r="P14" s="215"/>
    </row>
    <row r="15" spans="1:16" ht="15" thickBot="1" x14ac:dyDescent="0.4">
      <c r="A15" s="707" t="s">
        <v>534</v>
      </c>
      <c r="B15" s="708"/>
      <c r="C15" s="708"/>
      <c r="D15" s="708"/>
      <c r="E15" s="708"/>
      <c r="F15" s="708"/>
      <c r="G15" s="708"/>
      <c r="H15" s="708"/>
      <c r="I15" s="708"/>
      <c r="J15" s="709"/>
      <c r="K15" s="228" t="s">
        <v>45</v>
      </c>
      <c r="M15" s="19" t="s">
        <v>28</v>
      </c>
      <c r="N15" s="215" t="s">
        <v>29</v>
      </c>
      <c r="O15" s="215">
        <f>HLOOKUP(O$8,'Property Calc_Design Flow'!$E$3:$EJ$25,MATCH(M15,'Property Calc_Design Flow'!$C$3:$C$24,0),FALSE)</f>
        <v>824.90204232168674</v>
      </c>
      <c r="P15" s="215">
        <f>HLOOKUP(P$8,'Property Calc_Design Flow'!$E$3:$EJ$25,MATCH(M15,'Property Calc_Design Flow'!$C$3:$C$24,0),FALSE)</f>
        <v>378.3169355371715</v>
      </c>
    </row>
    <row r="16" spans="1:16" ht="14.5" x14ac:dyDescent="0.35">
      <c r="A16" s="151">
        <f>A14+1</f>
        <v>7</v>
      </c>
      <c r="B16" s="239" t="s">
        <v>248</v>
      </c>
      <c r="C16" s="143" t="s">
        <v>222</v>
      </c>
      <c r="D16" s="143" t="s">
        <v>215</v>
      </c>
      <c r="E16" s="143" t="s">
        <v>218</v>
      </c>
      <c r="F16" s="143" t="s">
        <v>214</v>
      </c>
      <c r="G16" s="430" t="s">
        <v>221</v>
      </c>
      <c r="H16" s="430"/>
      <c r="I16" s="430"/>
      <c r="J16" s="750"/>
      <c r="K16" s="240"/>
      <c r="M16" s="19" t="s">
        <v>2</v>
      </c>
      <c r="N16" s="215" t="s">
        <v>3</v>
      </c>
      <c r="O16" s="215">
        <f>HLOOKUP(O$8,'Property Calc_Design Flow'!$E$3:$EJ$25,MATCH(M16,'Property Calc_Design Flow'!$C$3:$C$24,0),FALSE)</f>
        <v>17977.887835924874</v>
      </c>
      <c r="P16" s="215">
        <f>HLOOKUP(P$8,'Property Calc_Design Flow'!$E$3:$EJ$25,MATCH(M16,'Property Calc_Design Flow'!$C$3:$C$24,0),FALSE)</f>
        <v>17977.887835924874</v>
      </c>
    </row>
    <row r="17" spans="1:16" ht="14.5" x14ac:dyDescent="0.35">
      <c r="A17" s="148">
        <f>A16+1</f>
        <v>8</v>
      </c>
      <c r="B17" s="218" t="s">
        <v>282</v>
      </c>
      <c r="C17" s="100" t="s">
        <v>27</v>
      </c>
      <c r="D17" s="222">
        <f>O13</f>
        <v>4075.5358663686952</v>
      </c>
      <c r="E17" s="222">
        <f>D17</f>
        <v>4075.5358663686952</v>
      </c>
      <c r="F17" s="100">
        <v>450</v>
      </c>
      <c r="G17" s="687" t="s">
        <v>561</v>
      </c>
      <c r="H17" s="687"/>
      <c r="I17" s="687"/>
      <c r="J17" s="688"/>
      <c r="K17" s="221" t="s">
        <v>45</v>
      </c>
      <c r="M17" s="19" t="s">
        <v>30</v>
      </c>
      <c r="N17" s="215" t="s">
        <v>31</v>
      </c>
      <c r="O17" s="215">
        <f>HLOOKUP(O$8,'Property Calc_Design Flow'!$E$3:$EJ$25,MATCH(M17,'Property Calc_Design Flow'!$C$3:$C$24,0),FALSE)</f>
        <v>644.37047611826847</v>
      </c>
      <c r="P17" s="215">
        <f>HLOOKUP(P$8,'Property Calc_Design Flow'!$E$3:$EJ$25,MATCH(M17,'Property Calc_Design Flow'!$C$3:$C$24,0),FALSE)</f>
        <v>644.37047611826847</v>
      </c>
    </row>
    <row r="18" spans="1:16" ht="14.5" x14ac:dyDescent="0.35">
      <c r="A18" s="148">
        <f>A17+1</f>
        <v>9</v>
      </c>
      <c r="B18" s="99" t="s">
        <v>288</v>
      </c>
      <c r="C18" s="100" t="s">
        <v>237</v>
      </c>
      <c r="D18" s="138">
        <v>125</v>
      </c>
      <c r="E18" s="138">
        <f>O9</f>
        <v>62.5</v>
      </c>
      <c r="F18" s="223">
        <v>60</v>
      </c>
      <c r="G18" s="687"/>
      <c r="H18" s="687"/>
      <c r="I18" s="687"/>
      <c r="J18" s="688"/>
      <c r="K18" s="221"/>
      <c r="M18" s="19" t="s">
        <v>18</v>
      </c>
      <c r="N18" s="215"/>
      <c r="O18" s="215">
        <f>HLOOKUP(O$8,'Property Calc_Design Flow'!$E$3:$EJ$25,MATCH(M18,'Property Calc_Design Flow'!$C$3:$C$24,0),FALSE)</f>
        <v>27.899924813788633</v>
      </c>
      <c r="P18" s="215">
        <f>HLOOKUP(P$8,'Property Calc_Design Flow'!$E$3:$EJ$25,MATCH(M18,'Property Calc_Design Flow'!$C$3:$C$24,0),FALSE)</f>
        <v>27.899924813788633</v>
      </c>
    </row>
    <row r="19" spans="1:16" ht="14.5" x14ac:dyDescent="0.35">
      <c r="A19" s="148">
        <f t="shared" ref="A19:A28" si="0">A18+1</f>
        <v>10</v>
      </c>
      <c r="B19" s="99" t="s">
        <v>0</v>
      </c>
      <c r="C19" s="100" t="s">
        <v>238</v>
      </c>
      <c r="D19" s="246">
        <f>O10</f>
        <v>92.740094703881937</v>
      </c>
      <c r="E19" s="246">
        <f>D19</f>
        <v>92.740094703881937</v>
      </c>
      <c r="F19" s="246">
        <f>E19</f>
        <v>92.740094703881937</v>
      </c>
      <c r="G19" s="687"/>
      <c r="H19" s="687"/>
      <c r="I19" s="687"/>
      <c r="J19" s="688"/>
      <c r="K19" s="221"/>
      <c r="M19" s="19" t="s">
        <v>22</v>
      </c>
      <c r="N19" s="215" t="s">
        <v>23</v>
      </c>
      <c r="O19" s="215">
        <f>HLOOKUP(O$8,'Property Calc_Design Flow'!$E$3:$EJ$25,MATCH(M19,'Property Calc_Design Flow'!$C$3:$C$24,0),FALSE)</f>
        <v>0.99980339092408066</v>
      </c>
      <c r="P19" s="215">
        <f>HLOOKUP(P$8,'Property Calc_Design Flow'!$E$3:$EJ$25,MATCH(M19,'Property Calc_Design Flow'!$C$3:$C$24,0),FALSE)</f>
        <v>0.99980339092408033</v>
      </c>
    </row>
    <row r="20" spans="1:16" ht="14.5" x14ac:dyDescent="0.35">
      <c r="A20" s="148">
        <f t="shared" si="0"/>
        <v>11</v>
      </c>
      <c r="B20" s="99" t="s">
        <v>286</v>
      </c>
      <c r="C20" s="100"/>
      <c r="D20" s="138">
        <f>E20*1.1</f>
        <v>30.689917295167501</v>
      </c>
      <c r="E20" s="138">
        <f>O18</f>
        <v>27.899924813788633</v>
      </c>
      <c r="F20" s="138">
        <f>E20*0.9</f>
        <v>25.10993233240977</v>
      </c>
      <c r="G20" s="687"/>
      <c r="H20" s="687"/>
      <c r="I20" s="687"/>
      <c r="J20" s="688"/>
      <c r="K20" s="221" t="s">
        <v>45</v>
      </c>
      <c r="M20" s="19" t="s">
        <v>20</v>
      </c>
      <c r="N20" s="215" t="s">
        <v>21</v>
      </c>
      <c r="O20" s="215"/>
      <c r="P20" s="215"/>
    </row>
    <row r="21" spans="1:16" ht="14.5" x14ac:dyDescent="0.35">
      <c r="A21" s="148">
        <f t="shared" si="0"/>
        <v>12</v>
      </c>
      <c r="B21" s="729" t="s">
        <v>287</v>
      </c>
      <c r="C21" s="729"/>
      <c r="D21" s="729"/>
      <c r="E21" s="729"/>
      <c r="F21" s="729"/>
      <c r="G21" s="687"/>
      <c r="H21" s="687"/>
      <c r="I21" s="687"/>
      <c r="J21" s="688"/>
      <c r="K21" s="221"/>
      <c r="M21" s="139"/>
      <c r="N21" s="216"/>
      <c r="O21" s="215"/>
      <c r="P21" s="215"/>
    </row>
    <row r="22" spans="1:16" ht="15" x14ac:dyDescent="0.4">
      <c r="A22" s="148">
        <f t="shared" si="0"/>
        <v>13</v>
      </c>
      <c r="B22" s="99" t="s">
        <v>240</v>
      </c>
      <c r="C22" s="100" t="s">
        <v>122</v>
      </c>
      <c r="D22" s="728">
        <f>O23</f>
        <v>56.51077684448169</v>
      </c>
      <c r="E22" s="728"/>
      <c r="F22" s="728"/>
      <c r="G22" s="687"/>
      <c r="H22" s="687"/>
      <c r="I22" s="687"/>
      <c r="J22" s="688"/>
      <c r="K22" s="221" t="s">
        <v>45</v>
      </c>
      <c r="M22" s="98" t="s">
        <v>159</v>
      </c>
      <c r="N22" s="217" t="s">
        <v>3</v>
      </c>
      <c r="O22" s="215" t="str">
        <f>HLOOKUP(O$8,'Property Calc_Design Flow'!$E$3:$EJ$25,MATCH(M22,'Property Calc_Design Flow'!$C$3:$C$24,0),FALSE)</f>
        <v/>
      </c>
      <c r="P22" s="215" t="str">
        <f>HLOOKUP(P$8,'Property Calc_Design Flow'!$E$3:$EJ$25,MATCH(M22,'Property Calc_Design Flow'!$C$3:$C$24,0),FALSE)</f>
        <v/>
      </c>
    </row>
    <row r="23" spans="1:16" ht="15" x14ac:dyDescent="0.4">
      <c r="A23" s="148">
        <f t="shared" si="0"/>
        <v>14</v>
      </c>
      <c r="B23" s="99" t="s">
        <v>241</v>
      </c>
      <c r="C23" s="100" t="s">
        <v>122</v>
      </c>
      <c r="D23" s="728">
        <f>O24</f>
        <v>41.429169310472346</v>
      </c>
      <c r="E23" s="728"/>
      <c r="F23" s="728"/>
      <c r="G23" s="687"/>
      <c r="H23" s="687"/>
      <c r="I23" s="687"/>
      <c r="J23" s="688"/>
      <c r="K23" s="221" t="s">
        <v>45</v>
      </c>
      <c r="M23" s="19" t="s">
        <v>7</v>
      </c>
      <c r="N23" s="215" t="s">
        <v>122</v>
      </c>
      <c r="O23" s="215">
        <f>HLOOKUP(O$8,'Property Calc_Design Flow'!$E$3:$EJ$25,MATCH(M23,'Property Calc_Design Flow'!$C$3:$C$24,0),FALSE)</f>
        <v>56.51077684448169</v>
      </c>
      <c r="P23" s="215">
        <f>HLOOKUP(P$8,'Property Calc_Design Flow'!$E$3:$EJ$25,MATCH(M23,'Property Calc_Design Flow'!$C$3:$C$24,0),FALSE)</f>
        <v>56.51077684448169</v>
      </c>
    </row>
    <row r="24" spans="1:16" ht="15" x14ac:dyDescent="0.4">
      <c r="A24" s="148">
        <f t="shared" si="0"/>
        <v>15</v>
      </c>
      <c r="B24" s="99" t="s">
        <v>243</v>
      </c>
      <c r="C24" s="100" t="s">
        <v>122</v>
      </c>
      <c r="D24" s="728">
        <f>O25</f>
        <v>1.0618766924323708</v>
      </c>
      <c r="E24" s="728"/>
      <c r="F24" s="728"/>
      <c r="G24" s="687"/>
      <c r="H24" s="687"/>
      <c r="I24" s="687"/>
      <c r="J24" s="688"/>
      <c r="K24" s="221" t="s">
        <v>45</v>
      </c>
      <c r="M24" s="19" t="s">
        <v>8</v>
      </c>
      <c r="N24" s="215" t="s">
        <v>122</v>
      </c>
      <c r="O24" s="215">
        <f>HLOOKUP(O$8,'Property Calc_Design Flow'!$E$3:$EJ$25,MATCH(M24,'Property Calc_Design Flow'!$C$3:$C$24,0),FALSE)</f>
        <v>41.429169310472346</v>
      </c>
      <c r="P24" s="215">
        <f>HLOOKUP(P$8,'Property Calc_Design Flow'!$E$3:$EJ$25,MATCH(M24,'Property Calc_Design Flow'!$C$3:$C$24,0),FALSE)</f>
        <v>41.429169310472346</v>
      </c>
    </row>
    <row r="25" spans="1:16" ht="15" x14ac:dyDescent="0.4">
      <c r="A25" s="148">
        <f t="shared" si="0"/>
        <v>16</v>
      </c>
      <c r="B25" s="99" t="s">
        <v>242</v>
      </c>
      <c r="C25" s="100" t="s">
        <v>122</v>
      </c>
      <c r="D25" s="728">
        <f>O26</f>
        <v>0.8955286530379728</v>
      </c>
      <c r="E25" s="728"/>
      <c r="F25" s="728"/>
      <c r="G25" s="687"/>
      <c r="H25" s="687"/>
      <c r="I25" s="687"/>
      <c r="J25" s="688"/>
      <c r="K25" s="221" t="s">
        <v>45</v>
      </c>
      <c r="M25" s="19" t="s">
        <v>9</v>
      </c>
      <c r="N25" s="215" t="s">
        <v>122</v>
      </c>
      <c r="O25" s="215">
        <f>HLOOKUP(O$8,'Property Calc_Design Flow'!$E$3:$EJ$25,MATCH(M25,'Property Calc_Design Flow'!$C$3:$C$24,0),FALSE)</f>
        <v>1.0618766924323708</v>
      </c>
      <c r="P25" s="215">
        <f>HLOOKUP(P$8,'Property Calc_Design Flow'!$E$3:$EJ$25,MATCH(M25,'Property Calc_Design Flow'!$C$3:$C$24,0),FALSE)</f>
        <v>1.0618766924323708</v>
      </c>
    </row>
    <row r="26" spans="1:16" ht="15" x14ac:dyDescent="0.4">
      <c r="A26" s="148">
        <f t="shared" si="0"/>
        <v>17</v>
      </c>
      <c r="B26" s="99" t="s">
        <v>244</v>
      </c>
      <c r="C26" s="100" t="s">
        <v>239</v>
      </c>
      <c r="D26" s="728">
        <v>4</v>
      </c>
      <c r="E26" s="728"/>
      <c r="F26" s="728"/>
      <c r="G26" s="687"/>
      <c r="H26" s="687"/>
      <c r="I26" s="687"/>
      <c r="J26" s="688"/>
      <c r="K26" s="221"/>
      <c r="M26" s="19" t="s">
        <v>10</v>
      </c>
      <c r="N26" s="215" t="s">
        <v>122</v>
      </c>
      <c r="O26" s="215">
        <f>HLOOKUP(O$8,'Property Calc_Design Flow'!$E$3:$EJ$25,MATCH(M26,'Property Calc_Design Flow'!$C$3:$C$24,0),FALSE)</f>
        <v>0.8955286530379728</v>
      </c>
      <c r="P26" s="215">
        <f>HLOOKUP(P$8,'Property Calc_Design Flow'!$E$3:$EJ$25,MATCH(M26,'Property Calc_Design Flow'!$C$3:$C$24,0),FALSE)</f>
        <v>0.8955286530379728</v>
      </c>
    </row>
    <row r="27" spans="1:16" ht="15" x14ac:dyDescent="0.4">
      <c r="A27" s="148">
        <f t="shared" si="0"/>
        <v>18</v>
      </c>
      <c r="B27" s="99" t="s">
        <v>245</v>
      </c>
      <c r="C27" s="100" t="s">
        <v>122</v>
      </c>
      <c r="D27" s="728">
        <f>O28</f>
        <v>0.10216139383959934</v>
      </c>
      <c r="E27" s="728"/>
      <c r="F27" s="728"/>
      <c r="G27" s="687"/>
      <c r="H27" s="687"/>
      <c r="I27" s="687"/>
      <c r="J27" s="688"/>
      <c r="K27" s="221" t="s">
        <v>45</v>
      </c>
      <c r="M27" s="19" t="s">
        <v>11</v>
      </c>
      <c r="N27" s="215" t="s">
        <v>122</v>
      </c>
      <c r="O27" s="215">
        <f>HLOOKUP(O$8,'Property Calc_Design Flow'!$E$3:$EJ$25,MATCH(M27,'Property Calc_Design Flow'!$C$3:$C$24,0),FALSE)</f>
        <v>4.8710573602162201E-4</v>
      </c>
      <c r="P27" s="215">
        <f>HLOOKUP(P$8,'Property Calc_Design Flow'!$E$3:$EJ$25,MATCH(M27,'Property Calc_Design Flow'!$C$3:$C$24,0),FALSE)</f>
        <v>4.8710573602162201E-4</v>
      </c>
    </row>
    <row r="28" spans="1:16" ht="15" thickBot="1" x14ac:dyDescent="0.4">
      <c r="A28" s="149">
        <f t="shared" si="0"/>
        <v>19</v>
      </c>
      <c r="B28" s="141" t="s">
        <v>216</v>
      </c>
      <c r="C28" s="142" t="s">
        <v>239</v>
      </c>
      <c r="D28" s="768" t="s">
        <v>217</v>
      </c>
      <c r="E28" s="768"/>
      <c r="F28" s="768"/>
      <c r="G28" s="726"/>
      <c r="H28" s="726"/>
      <c r="I28" s="726"/>
      <c r="J28" s="727"/>
      <c r="K28" s="241"/>
      <c r="M28" s="19" t="s">
        <v>12</v>
      </c>
      <c r="N28" s="215" t="s">
        <v>122</v>
      </c>
      <c r="O28" s="215">
        <f>HLOOKUP(O$8,'Property Calc_Design Flow'!$E$3:$EJ$25,MATCH(M28,'Property Calc_Design Flow'!$C$3:$C$24,0),FALSE)</f>
        <v>0.10216139383959934</v>
      </c>
      <c r="P28" s="215">
        <f>HLOOKUP(P$8,'Property Calc_Design Flow'!$E$3:$EJ$25,MATCH(M28,'Property Calc_Design Flow'!$C$3:$C$24,0),FALSE)</f>
        <v>0.10216139383959934</v>
      </c>
    </row>
    <row r="29" spans="1:16" ht="15" thickBot="1" x14ac:dyDescent="0.4">
      <c r="A29" s="707" t="s">
        <v>535</v>
      </c>
      <c r="B29" s="708"/>
      <c r="C29" s="708"/>
      <c r="D29" s="708"/>
      <c r="E29" s="708"/>
      <c r="F29" s="708"/>
      <c r="G29" s="708"/>
      <c r="H29" s="708"/>
      <c r="I29" s="708"/>
      <c r="J29" s="709"/>
      <c r="K29" s="238" t="s">
        <v>45</v>
      </c>
      <c r="M29" s="19" t="s">
        <v>32</v>
      </c>
      <c r="N29" s="215" t="s">
        <v>122</v>
      </c>
      <c r="O29" s="215">
        <f>HLOOKUP(O$8,'Property Calc_Design Flow'!$E$3:$EJ$25,MATCH(M29,'Property Calc_Design Flow'!$C$3:$C$24,0),FALSE)</f>
        <v>0</v>
      </c>
      <c r="P29" s="215">
        <f>HLOOKUP(P$8,'Property Calc_Design Flow'!$E$3:$EJ$25,MATCH(M29,'Property Calc_Design Flow'!$C$3:$C$24,0),FALSE)</f>
        <v>0</v>
      </c>
    </row>
    <row r="30" spans="1:16" x14ac:dyDescent="0.3">
      <c r="A30" s="151">
        <f>A28+1</f>
        <v>20</v>
      </c>
      <c r="B30" s="239" t="s">
        <v>248</v>
      </c>
      <c r="C30" s="143" t="s">
        <v>222</v>
      </c>
      <c r="D30" s="143" t="s">
        <v>215</v>
      </c>
      <c r="E30" s="143" t="s">
        <v>218</v>
      </c>
      <c r="F30" s="143" t="s">
        <v>214</v>
      </c>
      <c r="G30" s="430" t="s">
        <v>221</v>
      </c>
      <c r="H30" s="430"/>
      <c r="I30" s="430"/>
      <c r="J30" s="750"/>
      <c r="K30" s="240"/>
    </row>
    <row r="31" spans="1:16" x14ac:dyDescent="0.3">
      <c r="A31" s="148">
        <f>A30+1</f>
        <v>21</v>
      </c>
      <c r="B31" s="99" t="s">
        <v>536</v>
      </c>
      <c r="C31" s="100" t="s">
        <v>237</v>
      </c>
      <c r="D31" s="222">
        <v>250</v>
      </c>
      <c r="E31" s="222">
        <f>P9</f>
        <v>200</v>
      </c>
      <c r="F31" s="100">
        <v>200</v>
      </c>
      <c r="G31" s="687" t="s">
        <v>334</v>
      </c>
      <c r="H31" s="687"/>
      <c r="I31" s="687"/>
      <c r="J31" s="688"/>
      <c r="K31" s="221" t="s">
        <v>45</v>
      </c>
    </row>
    <row r="32" spans="1:16" x14ac:dyDescent="0.3">
      <c r="A32" s="148">
        <f t="shared" ref="A32:A42" si="1">A31+1</f>
        <v>22</v>
      </c>
      <c r="B32" s="99" t="s">
        <v>390</v>
      </c>
      <c r="C32" s="100" t="s">
        <v>238</v>
      </c>
      <c r="D32" s="138">
        <f>E32</f>
        <v>245</v>
      </c>
      <c r="E32" s="138">
        <f>P10</f>
        <v>245</v>
      </c>
      <c r="F32" s="138">
        <f>E32</f>
        <v>245</v>
      </c>
      <c r="G32" s="687"/>
      <c r="H32" s="687"/>
      <c r="I32" s="687"/>
      <c r="J32" s="688"/>
      <c r="K32" s="221"/>
    </row>
    <row r="33" spans="1:11" x14ac:dyDescent="0.3">
      <c r="A33" s="148">
        <f t="shared" si="1"/>
        <v>23</v>
      </c>
      <c r="B33" s="99" t="s">
        <v>537</v>
      </c>
      <c r="C33" s="100" t="s">
        <v>238</v>
      </c>
      <c r="D33" s="138">
        <v>50</v>
      </c>
      <c r="E33" s="138">
        <v>50</v>
      </c>
      <c r="F33" s="138">
        <v>50</v>
      </c>
      <c r="G33" s="687"/>
      <c r="H33" s="687"/>
      <c r="I33" s="687"/>
      <c r="J33" s="688"/>
      <c r="K33" s="221" t="s">
        <v>45</v>
      </c>
    </row>
    <row r="34" spans="1:11" x14ac:dyDescent="0.3">
      <c r="A34" s="148">
        <f t="shared" si="1"/>
        <v>24</v>
      </c>
      <c r="B34" s="99" t="s">
        <v>291</v>
      </c>
      <c r="C34" s="100"/>
      <c r="D34" s="223" t="s">
        <v>246</v>
      </c>
      <c r="E34" s="223" t="s">
        <v>246</v>
      </c>
      <c r="F34" s="223" t="s">
        <v>246</v>
      </c>
      <c r="G34" s="687"/>
      <c r="H34" s="687"/>
      <c r="I34" s="687"/>
      <c r="J34" s="688"/>
      <c r="K34" s="221"/>
    </row>
    <row r="35" spans="1:11" x14ac:dyDescent="0.3">
      <c r="A35" s="148">
        <f t="shared" si="1"/>
        <v>25</v>
      </c>
      <c r="B35" s="99" t="s">
        <v>292</v>
      </c>
      <c r="C35" s="100"/>
      <c r="D35" s="223" t="s">
        <v>246</v>
      </c>
      <c r="E35" s="223" t="s">
        <v>246</v>
      </c>
      <c r="F35" s="223" t="s">
        <v>246</v>
      </c>
      <c r="G35" s="687"/>
      <c r="H35" s="687"/>
      <c r="I35" s="687"/>
      <c r="J35" s="688"/>
      <c r="K35" s="221"/>
    </row>
    <row r="36" spans="1:11" x14ac:dyDescent="0.3">
      <c r="A36" s="148">
        <f t="shared" si="1"/>
        <v>26</v>
      </c>
      <c r="B36" s="99" t="s">
        <v>293</v>
      </c>
      <c r="C36" s="100" t="s">
        <v>238</v>
      </c>
      <c r="D36" s="223" t="s">
        <v>246</v>
      </c>
      <c r="E36" s="223" t="s">
        <v>246</v>
      </c>
      <c r="F36" s="223" t="s">
        <v>246</v>
      </c>
      <c r="G36" s="687"/>
      <c r="H36" s="687"/>
      <c r="I36" s="687"/>
      <c r="J36" s="688"/>
      <c r="K36" s="221"/>
    </row>
    <row r="37" spans="1:11" x14ac:dyDescent="0.3">
      <c r="A37" s="148">
        <f t="shared" si="1"/>
        <v>27</v>
      </c>
      <c r="B37" s="99" t="s">
        <v>294</v>
      </c>
      <c r="C37" s="100" t="s">
        <v>123</v>
      </c>
      <c r="D37" s="728" t="s">
        <v>295</v>
      </c>
      <c r="E37" s="728"/>
      <c r="F37" s="728"/>
      <c r="G37" s="687"/>
      <c r="H37" s="687"/>
      <c r="I37" s="687"/>
      <c r="J37" s="688"/>
      <c r="K37" s="221"/>
    </row>
    <row r="38" spans="1:11" x14ac:dyDescent="0.3">
      <c r="A38" s="148">
        <f t="shared" si="1"/>
        <v>28</v>
      </c>
      <c r="B38" s="99" t="s">
        <v>296</v>
      </c>
      <c r="C38" s="100" t="s">
        <v>297</v>
      </c>
      <c r="D38" s="728" t="s">
        <v>246</v>
      </c>
      <c r="E38" s="728"/>
      <c r="F38" s="728"/>
      <c r="G38" s="687"/>
      <c r="H38" s="687"/>
      <c r="I38" s="687"/>
      <c r="J38" s="688"/>
      <c r="K38" s="221"/>
    </row>
    <row r="39" spans="1:11" ht="15" customHeight="1" x14ac:dyDescent="0.3">
      <c r="A39" s="148">
        <f t="shared" si="1"/>
        <v>29</v>
      </c>
      <c r="B39" s="99" t="s">
        <v>298</v>
      </c>
      <c r="C39" s="100" t="s">
        <v>299</v>
      </c>
      <c r="D39" s="223" t="s">
        <v>246</v>
      </c>
      <c r="E39" s="223" t="s">
        <v>246</v>
      </c>
      <c r="F39" s="223" t="s">
        <v>246</v>
      </c>
      <c r="G39" s="687"/>
      <c r="H39" s="687"/>
      <c r="I39" s="687"/>
      <c r="J39" s="688"/>
      <c r="K39" s="221"/>
    </row>
    <row r="40" spans="1:11" x14ac:dyDescent="0.3">
      <c r="A40" s="148">
        <f t="shared" si="1"/>
        <v>30</v>
      </c>
      <c r="B40" s="99" t="s">
        <v>300</v>
      </c>
      <c r="C40" s="100" t="s">
        <v>301</v>
      </c>
      <c r="D40" s="223" t="s">
        <v>246</v>
      </c>
      <c r="E40" s="223" t="s">
        <v>246</v>
      </c>
      <c r="F40" s="223" t="s">
        <v>246</v>
      </c>
      <c r="G40" s="687"/>
      <c r="H40" s="687"/>
      <c r="I40" s="687"/>
      <c r="J40" s="688"/>
      <c r="K40" s="221"/>
    </row>
    <row r="41" spans="1:11" x14ac:dyDescent="0.3">
      <c r="A41" s="148">
        <f t="shared" si="1"/>
        <v>31</v>
      </c>
      <c r="B41" s="141" t="s">
        <v>302</v>
      </c>
      <c r="C41" s="142" t="s">
        <v>149</v>
      </c>
      <c r="D41" s="223" t="s">
        <v>246</v>
      </c>
      <c r="E41" s="223" t="s">
        <v>246</v>
      </c>
      <c r="F41" s="223" t="s">
        <v>246</v>
      </c>
      <c r="G41" s="726"/>
      <c r="H41" s="726"/>
      <c r="I41" s="726"/>
      <c r="J41" s="727"/>
      <c r="K41" s="221"/>
    </row>
    <row r="42" spans="1:11" ht="13.5" thickBot="1" x14ac:dyDescent="0.35">
      <c r="A42" s="149">
        <f t="shared" si="1"/>
        <v>32</v>
      </c>
      <c r="B42" s="141" t="s">
        <v>538</v>
      </c>
      <c r="C42" s="142"/>
      <c r="D42" s="242" t="s">
        <v>246</v>
      </c>
      <c r="E42" s="242" t="s">
        <v>246</v>
      </c>
      <c r="F42" s="242" t="s">
        <v>246</v>
      </c>
      <c r="G42" s="726"/>
      <c r="H42" s="726"/>
      <c r="I42" s="726"/>
      <c r="J42" s="727"/>
      <c r="K42" s="241" t="s">
        <v>45</v>
      </c>
    </row>
    <row r="43" spans="1:11" ht="13.5" thickBot="1" x14ac:dyDescent="0.35">
      <c r="A43" s="707" t="s">
        <v>304</v>
      </c>
      <c r="B43" s="708"/>
      <c r="C43" s="708"/>
      <c r="D43" s="708"/>
      <c r="E43" s="708"/>
      <c r="F43" s="708"/>
      <c r="G43" s="708"/>
      <c r="H43" s="708"/>
      <c r="I43" s="708"/>
      <c r="J43" s="709"/>
      <c r="K43" s="238"/>
    </row>
    <row r="44" spans="1:11" x14ac:dyDescent="0.3">
      <c r="A44" s="151">
        <f>A42+1</f>
        <v>33</v>
      </c>
      <c r="B44" s="239" t="s">
        <v>248</v>
      </c>
      <c r="C44" s="143" t="s">
        <v>222</v>
      </c>
      <c r="D44" s="143" t="s">
        <v>215</v>
      </c>
      <c r="E44" s="143" t="s">
        <v>218</v>
      </c>
      <c r="F44" s="143" t="s">
        <v>214</v>
      </c>
      <c r="G44" s="430" t="s">
        <v>221</v>
      </c>
      <c r="H44" s="430"/>
      <c r="I44" s="430"/>
      <c r="J44" s="750"/>
      <c r="K44" s="240"/>
    </row>
    <row r="45" spans="1:11" x14ac:dyDescent="0.3">
      <c r="A45" s="148">
        <f>A44+1</f>
        <v>34</v>
      </c>
      <c r="B45" s="218" t="s">
        <v>305</v>
      </c>
      <c r="C45" s="100" t="s">
        <v>330</v>
      </c>
      <c r="D45" s="704" t="s">
        <v>262</v>
      </c>
      <c r="E45" s="705"/>
      <c r="F45" s="706"/>
      <c r="G45" s="687"/>
      <c r="H45" s="687"/>
      <c r="I45" s="687"/>
      <c r="J45" s="688"/>
      <c r="K45" s="221"/>
    </row>
    <row r="46" spans="1:11" x14ac:dyDescent="0.3">
      <c r="A46" s="148">
        <f>A45+1</f>
        <v>35</v>
      </c>
      <c r="B46" s="218" t="s">
        <v>376</v>
      </c>
      <c r="C46" s="100" t="s">
        <v>330</v>
      </c>
      <c r="D46" s="704" t="s">
        <v>262</v>
      </c>
      <c r="E46" s="705"/>
      <c r="F46" s="706"/>
      <c r="G46" s="687"/>
      <c r="H46" s="687"/>
      <c r="I46" s="687"/>
      <c r="J46" s="688"/>
      <c r="K46" s="221"/>
    </row>
    <row r="47" spans="1:11" x14ac:dyDescent="0.3">
      <c r="A47" s="148">
        <f>A46+1</f>
        <v>36</v>
      </c>
      <c r="B47" s="99" t="s">
        <v>306</v>
      </c>
      <c r="C47" s="100"/>
      <c r="D47" s="223" t="s">
        <v>307</v>
      </c>
      <c r="E47" s="223" t="s">
        <v>308</v>
      </c>
      <c r="F47" s="223" t="s">
        <v>309</v>
      </c>
      <c r="G47" s="687"/>
      <c r="H47" s="687"/>
      <c r="I47" s="687"/>
      <c r="J47" s="688"/>
      <c r="K47" s="221"/>
    </row>
    <row r="48" spans="1:11" x14ac:dyDescent="0.3">
      <c r="A48" s="148">
        <f>A47+1</f>
        <v>37</v>
      </c>
      <c r="B48" s="99" t="s">
        <v>310</v>
      </c>
      <c r="C48" s="100" t="s">
        <v>330</v>
      </c>
      <c r="D48" s="704" t="s">
        <v>262</v>
      </c>
      <c r="E48" s="705"/>
      <c r="F48" s="706"/>
      <c r="G48" s="687"/>
      <c r="H48" s="687"/>
      <c r="I48" s="687"/>
      <c r="J48" s="688"/>
      <c r="K48" s="221"/>
    </row>
    <row r="49" spans="1:11" ht="13.5" thickBot="1" x14ac:dyDescent="0.35">
      <c r="A49" s="149">
        <f>A48+1</f>
        <v>38</v>
      </c>
      <c r="B49" s="141" t="s">
        <v>311</v>
      </c>
      <c r="C49" s="142"/>
      <c r="D49" s="242" t="s">
        <v>246</v>
      </c>
      <c r="E49" s="242" t="s">
        <v>308</v>
      </c>
      <c r="F49" s="242" t="s">
        <v>246</v>
      </c>
      <c r="G49" s="726"/>
      <c r="H49" s="726"/>
      <c r="I49" s="726"/>
      <c r="J49" s="727"/>
      <c r="K49" s="241"/>
    </row>
    <row r="50" spans="1:11" ht="13.5" thickBot="1" x14ac:dyDescent="0.35">
      <c r="A50" s="707" t="s">
        <v>539</v>
      </c>
      <c r="B50" s="708"/>
      <c r="C50" s="708"/>
      <c r="D50" s="708"/>
      <c r="E50" s="708"/>
      <c r="F50" s="708"/>
      <c r="G50" s="708"/>
      <c r="H50" s="708"/>
      <c r="I50" s="708"/>
      <c r="J50" s="709"/>
      <c r="K50" s="238"/>
    </row>
    <row r="51" spans="1:11" x14ac:dyDescent="0.3">
      <c r="A51" s="151">
        <f>A49+1</f>
        <v>39</v>
      </c>
      <c r="B51" s="239" t="s">
        <v>248</v>
      </c>
      <c r="C51" s="143" t="s">
        <v>222</v>
      </c>
      <c r="D51" s="143" t="s">
        <v>215</v>
      </c>
      <c r="E51" s="143" t="s">
        <v>218</v>
      </c>
      <c r="F51" s="143" t="s">
        <v>214</v>
      </c>
      <c r="G51" s="430" t="s">
        <v>221</v>
      </c>
      <c r="H51" s="430"/>
      <c r="I51" s="430"/>
      <c r="J51" s="750"/>
      <c r="K51" s="240"/>
    </row>
    <row r="52" spans="1:11" ht="14.5" customHeight="1" x14ac:dyDescent="0.3">
      <c r="A52" s="148">
        <f>A51+1</f>
        <v>40</v>
      </c>
      <c r="B52" s="218" t="s">
        <v>266</v>
      </c>
      <c r="C52" s="100" t="s">
        <v>5</v>
      </c>
      <c r="D52" s="222">
        <f>'Input Sheet'!F27</f>
        <v>120</v>
      </c>
      <c r="E52" s="222">
        <f>'Input Sheet'!G27</f>
        <v>100</v>
      </c>
      <c r="F52" s="222">
        <f>'Input Sheet'!H27</f>
        <v>80</v>
      </c>
      <c r="G52" s="687" t="s">
        <v>325</v>
      </c>
      <c r="H52" s="687"/>
      <c r="I52" s="687"/>
      <c r="J52" s="688"/>
      <c r="K52" s="221" t="s">
        <v>45</v>
      </c>
    </row>
    <row r="53" spans="1:11" ht="14.5" customHeight="1" x14ac:dyDescent="0.3">
      <c r="A53" s="148">
        <f>A52+1</f>
        <v>41</v>
      </c>
      <c r="B53" s="218" t="s">
        <v>267</v>
      </c>
      <c r="C53" s="100" t="s">
        <v>238</v>
      </c>
      <c r="D53" s="222">
        <f>'Input Sheet'!F28</f>
        <v>150</v>
      </c>
      <c r="E53" s="222">
        <f>'Input Sheet'!G28</f>
        <v>100</v>
      </c>
      <c r="F53" s="222">
        <f>'Input Sheet'!H28</f>
        <v>60</v>
      </c>
      <c r="G53" s="687"/>
      <c r="H53" s="687"/>
      <c r="I53" s="687"/>
      <c r="J53" s="688"/>
      <c r="K53" s="221"/>
    </row>
    <row r="54" spans="1:11" ht="14.5" customHeight="1" x14ac:dyDescent="0.3">
      <c r="A54" s="148">
        <f>A53+1</f>
        <v>42</v>
      </c>
      <c r="B54" s="218" t="s">
        <v>540</v>
      </c>
      <c r="C54" s="100" t="s">
        <v>5</v>
      </c>
      <c r="D54" s="222">
        <f>'Input Sheet'!F29</f>
        <v>40</v>
      </c>
      <c r="E54" s="222">
        <f>'Input Sheet'!G29</f>
        <v>25</v>
      </c>
      <c r="F54" s="222">
        <f>'Input Sheet'!H29</f>
        <v>20</v>
      </c>
      <c r="G54" s="687"/>
      <c r="H54" s="687"/>
      <c r="I54" s="687"/>
      <c r="J54" s="688"/>
      <c r="K54" s="221" t="s">
        <v>45</v>
      </c>
    </row>
    <row r="55" spans="1:11" ht="14.5" customHeight="1" x14ac:dyDescent="0.3">
      <c r="A55" s="148">
        <f>A54+1</f>
        <v>43</v>
      </c>
      <c r="B55" s="218" t="s">
        <v>541</v>
      </c>
      <c r="C55" s="100" t="s">
        <v>238</v>
      </c>
      <c r="D55" s="222">
        <f>'Input Sheet'!F30</f>
        <v>35</v>
      </c>
      <c r="E55" s="222">
        <f>'Input Sheet'!G30</f>
        <v>30</v>
      </c>
      <c r="F55" s="222">
        <f>'Input Sheet'!H30</f>
        <v>30</v>
      </c>
      <c r="G55" s="687"/>
      <c r="H55" s="687"/>
      <c r="I55" s="687"/>
      <c r="J55" s="688"/>
      <c r="K55" s="221"/>
    </row>
    <row r="56" spans="1:11" ht="14.5" customHeight="1" thickBot="1" x14ac:dyDescent="0.35">
      <c r="A56" s="149">
        <f>A55+1</f>
        <v>44</v>
      </c>
      <c r="B56" s="227" t="s">
        <v>542</v>
      </c>
      <c r="C56" s="142" t="s">
        <v>238</v>
      </c>
      <c r="D56" s="222">
        <f>'Input Sheet'!F31</f>
        <v>45</v>
      </c>
      <c r="E56" s="222">
        <f>'Input Sheet'!G31</f>
        <v>40</v>
      </c>
      <c r="F56" s="222">
        <f>'Input Sheet'!H31</f>
        <v>40</v>
      </c>
      <c r="G56" s="726"/>
      <c r="H56" s="726"/>
      <c r="I56" s="726"/>
      <c r="J56" s="727"/>
      <c r="K56" s="241"/>
    </row>
    <row r="57" spans="1:11" ht="15" customHeight="1" thickBot="1" x14ac:dyDescent="0.35">
      <c r="A57" s="707" t="s">
        <v>313</v>
      </c>
      <c r="B57" s="708"/>
      <c r="C57" s="708"/>
      <c r="D57" s="708"/>
      <c r="E57" s="708"/>
      <c r="F57" s="708"/>
      <c r="G57" s="708"/>
      <c r="H57" s="708"/>
      <c r="I57" s="708"/>
      <c r="J57" s="709"/>
      <c r="K57" s="238"/>
    </row>
    <row r="58" spans="1:11" x14ac:dyDescent="0.3">
      <c r="A58" s="151">
        <f>A56+1</f>
        <v>45</v>
      </c>
      <c r="B58" s="239" t="s">
        <v>248</v>
      </c>
      <c r="C58" s="143" t="s">
        <v>222</v>
      </c>
      <c r="D58" s="430" t="s">
        <v>251</v>
      </c>
      <c r="E58" s="430"/>
      <c r="F58" s="430"/>
      <c r="G58" s="430" t="s">
        <v>221</v>
      </c>
      <c r="H58" s="430"/>
      <c r="I58" s="430"/>
      <c r="J58" s="750"/>
      <c r="K58" s="240"/>
    </row>
    <row r="59" spans="1:11" ht="13" customHeight="1" x14ac:dyDescent="0.3">
      <c r="A59" s="148">
        <f>A58+1</f>
        <v>46</v>
      </c>
      <c r="B59" s="218" t="s">
        <v>315</v>
      </c>
      <c r="C59" s="100" t="s">
        <v>5</v>
      </c>
      <c r="D59" s="431">
        <v>250</v>
      </c>
      <c r="E59" s="431"/>
      <c r="F59" s="431"/>
      <c r="G59" s="687" t="s">
        <v>383</v>
      </c>
      <c r="H59" s="687"/>
      <c r="I59" s="687"/>
      <c r="J59" s="688"/>
      <c r="K59" s="221"/>
    </row>
    <row r="60" spans="1:11" x14ac:dyDescent="0.3">
      <c r="A60" s="148">
        <f>A59+1</f>
        <v>47</v>
      </c>
      <c r="B60" s="218" t="s">
        <v>326</v>
      </c>
      <c r="C60" s="100" t="s">
        <v>238</v>
      </c>
      <c r="D60" s="431" t="s">
        <v>246</v>
      </c>
      <c r="E60" s="431"/>
      <c r="F60" s="431"/>
      <c r="G60" s="687"/>
      <c r="H60" s="687"/>
      <c r="I60" s="687"/>
      <c r="J60" s="688"/>
      <c r="K60" s="221"/>
    </row>
    <row r="61" spans="1:11" x14ac:dyDescent="0.3">
      <c r="A61" s="148">
        <f>A60+1</f>
        <v>48</v>
      </c>
      <c r="B61" s="99" t="s">
        <v>249</v>
      </c>
      <c r="C61" s="100"/>
      <c r="D61" s="431" t="s">
        <v>250</v>
      </c>
      <c r="E61" s="431"/>
      <c r="F61" s="431"/>
      <c r="G61" s="687"/>
      <c r="H61" s="687"/>
      <c r="I61" s="687"/>
      <c r="J61" s="688"/>
      <c r="K61" s="221"/>
    </row>
    <row r="62" spans="1:11" x14ac:dyDescent="0.3">
      <c r="A62" s="148">
        <f>A61+1</f>
        <v>49</v>
      </c>
      <c r="B62" s="99" t="s">
        <v>327</v>
      </c>
      <c r="C62" s="100"/>
      <c r="D62" s="593" t="s">
        <v>246</v>
      </c>
      <c r="E62" s="593"/>
      <c r="F62" s="593"/>
      <c r="G62" s="687"/>
      <c r="H62" s="687"/>
      <c r="I62" s="687"/>
      <c r="J62" s="688"/>
      <c r="K62" s="221"/>
    </row>
    <row r="63" spans="1:11" ht="13.5" thickBot="1" x14ac:dyDescent="0.35">
      <c r="A63" s="149">
        <f>A62+1</f>
        <v>50</v>
      </c>
      <c r="B63" s="141" t="s">
        <v>254</v>
      </c>
      <c r="C63" s="142"/>
      <c r="D63" s="767" t="s">
        <v>213</v>
      </c>
      <c r="E63" s="767"/>
      <c r="F63" s="767"/>
      <c r="G63" s="726"/>
      <c r="H63" s="726"/>
      <c r="I63" s="726"/>
      <c r="J63" s="727"/>
      <c r="K63" s="241"/>
    </row>
    <row r="64" spans="1:11" ht="13.5" thickBot="1" x14ac:dyDescent="0.35">
      <c r="A64" s="707" t="s">
        <v>253</v>
      </c>
      <c r="B64" s="708"/>
      <c r="C64" s="708"/>
      <c r="D64" s="708"/>
      <c r="E64" s="708"/>
      <c r="F64" s="708"/>
      <c r="G64" s="708"/>
      <c r="H64" s="708"/>
      <c r="I64" s="708"/>
      <c r="J64" s="709"/>
      <c r="K64" s="238"/>
    </row>
    <row r="65" spans="1:11" x14ac:dyDescent="0.3">
      <c r="A65" s="151">
        <f>A63+1</f>
        <v>51</v>
      </c>
      <c r="B65" s="239" t="s">
        <v>248</v>
      </c>
      <c r="C65" s="143" t="s">
        <v>222</v>
      </c>
      <c r="D65" s="430" t="s">
        <v>251</v>
      </c>
      <c r="E65" s="430"/>
      <c r="F65" s="430"/>
      <c r="G65" s="430" t="s">
        <v>221</v>
      </c>
      <c r="H65" s="430"/>
      <c r="I65" s="430"/>
      <c r="J65" s="750"/>
      <c r="K65" s="240"/>
    </row>
    <row r="66" spans="1:11" x14ac:dyDescent="0.3">
      <c r="A66" s="148">
        <f>A65+1</f>
        <v>52</v>
      </c>
      <c r="B66" s="218" t="s">
        <v>256</v>
      </c>
      <c r="C66" s="100" t="s">
        <v>63</v>
      </c>
      <c r="D66" s="431">
        <f>'Input Sheet'!F22</f>
        <v>95</v>
      </c>
      <c r="E66" s="431"/>
      <c r="F66" s="431"/>
      <c r="G66" s="687" t="s">
        <v>543</v>
      </c>
      <c r="H66" s="687"/>
      <c r="I66" s="687"/>
      <c r="J66" s="688"/>
      <c r="K66" s="221"/>
    </row>
    <row r="67" spans="1:11" x14ac:dyDescent="0.3">
      <c r="A67" s="148">
        <f>A66+1</f>
        <v>53</v>
      </c>
      <c r="B67" s="218" t="s">
        <v>257</v>
      </c>
      <c r="C67" s="100" t="s">
        <v>238</v>
      </c>
      <c r="D67" s="431">
        <f>'Input Sheet'!F23</f>
        <v>24</v>
      </c>
      <c r="E67" s="431"/>
      <c r="F67" s="431"/>
      <c r="G67" s="687"/>
      <c r="H67" s="687"/>
      <c r="I67" s="687"/>
      <c r="J67" s="688"/>
      <c r="K67" s="221" t="s">
        <v>45</v>
      </c>
    </row>
    <row r="68" spans="1:11" x14ac:dyDescent="0.3">
      <c r="A68" s="148">
        <f>A67+1</f>
        <v>54</v>
      </c>
      <c r="B68" s="99" t="s">
        <v>258</v>
      </c>
      <c r="C68" s="100" t="s">
        <v>238</v>
      </c>
      <c r="D68" s="431">
        <f>'Input Sheet'!F24</f>
        <v>101</v>
      </c>
      <c r="E68" s="431"/>
      <c r="F68" s="431"/>
      <c r="G68" s="687"/>
      <c r="H68" s="687"/>
      <c r="I68" s="687"/>
      <c r="J68" s="688"/>
      <c r="K68" s="221"/>
    </row>
    <row r="69" spans="1:11" x14ac:dyDescent="0.3">
      <c r="A69" s="148">
        <f>A68+1</f>
        <v>55</v>
      </c>
      <c r="B69" s="99" t="s">
        <v>259</v>
      </c>
      <c r="C69" s="100"/>
      <c r="D69" s="593" t="s">
        <v>255</v>
      </c>
      <c r="E69" s="593"/>
      <c r="F69" s="593"/>
      <c r="G69" s="687"/>
      <c r="H69" s="687"/>
      <c r="I69" s="687"/>
      <c r="J69" s="688"/>
      <c r="K69" s="221"/>
    </row>
    <row r="70" spans="1:11" ht="13.5" thickBot="1" x14ac:dyDescent="0.35">
      <c r="A70" s="149">
        <f>A69+1</f>
        <v>56</v>
      </c>
      <c r="B70" s="141" t="s">
        <v>260</v>
      </c>
      <c r="C70" s="142"/>
      <c r="D70" s="751" t="s">
        <v>335</v>
      </c>
      <c r="E70" s="751"/>
      <c r="F70" s="751"/>
      <c r="G70" s="726"/>
      <c r="H70" s="726"/>
      <c r="I70" s="726"/>
      <c r="J70" s="727"/>
      <c r="K70" s="241"/>
    </row>
    <row r="71" spans="1:11" ht="13.5" thickBot="1" x14ac:dyDescent="0.35">
      <c r="A71" s="707" t="s">
        <v>544</v>
      </c>
      <c r="B71" s="708"/>
      <c r="C71" s="708"/>
      <c r="D71" s="708"/>
      <c r="E71" s="708"/>
      <c r="F71" s="752"/>
      <c r="G71" s="752"/>
      <c r="H71" s="752"/>
      <c r="I71" s="752"/>
      <c r="J71" s="753"/>
      <c r="K71" s="238"/>
    </row>
    <row r="72" spans="1:11" x14ac:dyDescent="0.3">
      <c r="A72" s="151">
        <f>A70+1</f>
        <v>57</v>
      </c>
      <c r="B72" s="239" t="s">
        <v>545</v>
      </c>
      <c r="C72" s="143" t="s">
        <v>222</v>
      </c>
      <c r="D72" s="143" t="s">
        <v>262</v>
      </c>
      <c r="E72" s="143" t="s">
        <v>263</v>
      </c>
      <c r="F72" s="754" t="s">
        <v>221</v>
      </c>
      <c r="G72" s="754"/>
      <c r="H72" s="754"/>
      <c r="I72" s="754"/>
      <c r="J72" s="754"/>
      <c r="K72" s="240"/>
    </row>
    <row r="73" spans="1:11" ht="12.75" customHeight="1" x14ac:dyDescent="0.3">
      <c r="A73" s="151">
        <f>A72+1</f>
        <v>58</v>
      </c>
      <c r="B73" s="229" t="s">
        <v>546</v>
      </c>
      <c r="C73" s="144" t="s">
        <v>330</v>
      </c>
      <c r="D73" s="143"/>
      <c r="E73" s="143"/>
      <c r="F73" s="755" t="s">
        <v>547</v>
      </c>
      <c r="G73" s="756"/>
      <c r="H73" s="756"/>
      <c r="I73" s="756"/>
      <c r="J73" s="757"/>
      <c r="K73" s="221" t="s">
        <v>45</v>
      </c>
    </row>
    <row r="74" spans="1:11" ht="12.75" customHeight="1" x14ac:dyDescent="0.3">
      <c r="A74" s="151">
        <f t="shared" ref="A74:A84" si="2">A73+1</f>
        <v>59</v>
      </c>
      <c r="B74" s="218" t="s">
        <v>319</v>
      </c>
      <c r="C74" s="144" t="s">
        <v>330</v>
      </c>
      <c r="D74" s="143"/>
      <c r="E74" s="143"/>
      <c r="F74" s="758"/>
      <c r="G74" s="759"/>
      <c r="H74" s="759"/>
      <c r="I74" s="759"/>
      <c r="J74" s="760"/>
      <c r="K74" s="221"/>
    </row>
    <row r="75" spans="1:11" ht="14.5" customHeight="1" x14ac:dyDescent="0.3">
      <c r="A75" s="151">
        <f t="shared" si="2"/>
        <v>60</v>
      </c>
      <c r="B75" s="218" t="s">
        <v>320</v>
      </c>
      <c r="C75" s="144" t="s">
        <v>330</v>
      </c>
      <c r="D75" s="143"/>
      <c r="E75" s="143"/>
      <c r="F75" s="758"/>
      <c r="G75" s="759"/>
      <c r="H75" s="759"/>
      <c r="I75" s="759"/>
      <c r="J75" s="760"/>
      <c r="K75" s="221"/>
    </row>
    <row r="76" spans="1:11" ht="13" customHeight="1" x14ac:dyDescent="0.3">
      <c r="A76" s="151">
        <f t="shared" si="2"/>
        <v>61</v>
      </c>
      <c r="B76" s="218" t="s">
        <v>548</v>
      </c>
      <c r="C76" s="144" t="s">
        <v>330</v>
      </c>
      <c r="D76" s="143"/>
      <c r="E76" s="143"/>
      <c r="F76" s="758"/>
      <c r="G76" s="759"/>
      <c r="H76" s="759"/>
      <c r="I76" s="759"/>
      <c r="J76" s="760"/>
      <c r="K76" s="221"/>
    </row>
    <row r="77" spans="1:11" ht="14.5" customHeight="1" x14ac:dyDescent="0.3">
      <c r="A77" s="151">
        <f t="shared" si="2"/>
        <v>62</v>
      </c>
      <c r="B77" s="218" t="s">
        <v>549</v>
      </c>
      <c r="C77" s="100" t="s">
        <v>238</v>
      </c>
      <c r="D77" s="100" t="s">
        <v>246</v>
      </c>
      <c r="E77" s="100" t="s">
        <v>246</v>
      </c>
      <c r="F77" s="758"/>
      <c r="G77" s="759"/>
      <c r="H77" s="759"/>
      <c r="I77" s="759"/>
      <c r="J77" s="760"/>
      <c r="K77" s="221" t="s">
        <v>45</v>
      </c>
    </row>
    <row r="78" spans="1:11" ht="14.5" customHeight="1" x14ac:dyDescent="0.3">
      <c r="A78" s="151">
        <f t="shared" si="2"/>
        <v>63</v>
      </c>
      <c r="B78" s="218" t="s">
        <v>550</v>
      </c>
      <c r="C78" s="100" t="s">
        <v>330</v>
      </c>
      <c r="D78" s="100"/>
      <c r="E78" s="113"/>
      <c r="F78" s="758"/>
      <c r="G78" s="759"/>
      <c r="H78" s="759"/>
      <c r="I78" s="759"/>
      <c r="J78" s="760"/>
      <c r="K78" s="221" t="s">
        <v>45</v>
      </c>
    </row>
    <row r="79" spans="1:11" ht="14.5" customHeight="1" x14ac:dyDescent="0.3">
      <c r="A79" s="151">
        <f t="shared" si="2"/>
        <v>64</v>
      </c>
      <c r="B79" s="218" t="s">
        <v>551</v>
      </c>
      <c r="C79" s="100" t="s">
        <v>238</v>
      </c>
      <c r="D79" s="100" t="s">
        <v>246</v>
      </c>
      <c r="E79" s="222">
        <v>40</v>
      </c>
      <c r="F79" s="758"/>
      <c r="G79" s="759"/>
      <c r="H79" s="759"/>
      <c r="I79" s="759"/>
      <c r="J79" s="760"/>
      <c r="K79" s="221" t="s">
        <v>45</v>
      </c>
    </row>
    <row r="80" spans="1:11" ht="14.5" customHeight="1" x14ac:dyDescent="0.3">
      <c r="A80" s="151">
        <f t="shared" si="2"/>
        <v>65</v>
      </c>
      <c r="B80" s="218" t="s">
        <v>318</v>
      </c>
      <c r="C80" s="100" t="s">
        <v>330</v>
      </c>
      <c r="D80" s="100"/>
      <c r="E80" s="113"/>
      <c r="F80" s="758"/>
      <c r="G80" s="759"/>
      <c r="H80" s="759"/>
      <c r="I80" s="759"/>
      <c r="J80" s="760"/>
      <c r="K80" s="221"/>
    </row>
    <row r="81" spans="1:11" ht="14.5" customHeight="1" x14ac:dyDescent="0.3">
      <c r="A81" s="151">
        <f t="shared" si="2"/>
        <v>66</v>
      </c>
      <c r="B81" s="218" t="s">
        <v>386</v>
      </c>
      <c r="C81" s="100" t="s">
        <v>238</v>
      </c>
      <c r="D81" s="100">
        <v>40</v>
      </c>
      <c r="E81" s="222">
        <v>50</v>
      </c>
      <c r="F81" s="758"/>
      <c r="G81" s="759"/>
      <c r="H81" s="759"/>
      <c r="I81" s="759"/>
      <c r="J81" s="760"/>
      <c r="K81" s="221"/>
    </row>
    <row r="82" spans="1:11" ht="14.5" customHeight="1" x14ac:dyDescent="0.3">
      <c r="A82" s="151">
        <f t="shared" si="2"/>
        <v>67</v>
      </c>
      <c r="B82" s="99" t="s">
        <v>552</v>
      </c>
      <c r="C82" s="100" t="s">
        <v>330</v>
      </c>
      <c r="D82" s="100"/>
      <c r="E82" s="113"/>
      <c r="F82" s="758"/>
      <c r="G82" s="759"/>
      <c r="H82" s="759"/>
      <c r="I82" s="759"/>
      <c r="J82" s="760"/>
      <c r="K82" s="221" t="s">
        <v>45</v>
      </c>
    </row>
    <row r="83" spans="1:11" ht="14.5" customHeight="1" x14ac:dyDescent="0.3">
      <c r="A83" s="151">
        <f t="shared" si="2"/>
        <v>68</v>
      </c>
      <c r="B83" s="99" t="s">
        <v>553</v>
      </c>
      <c r="C83" s="100" t="s">
        <v>330</v>
      </c>
      <c r="D83" s="100"/>
      <c r="E83" s="113"/>
      <c r="F83" s="758"/>
      <c r="G83" s="759"/>
      <c r="H83" s="759"/>
      <c r="I83" s="759"/>
      <c r="J83" s="760"/>
      <c r="K83" s="221" t="s">
        <v>45</v>
      </c>
    </row>
    <row r="84" spans="1:11" ht="15" customHeight="1" thickBot="1" x14ac:dyDescent="0.35">
      <c r="A84" s="231">
        <f t="shared" si="2"/>
        <v>69</v>
      </c>
      <c r="B84" s="141" t="s">
        <v>554</v>
      </c>
      <c r="C84" s="142" t="s">
        <v>330</v>
      </c>
      <c r="D84" s="142"/>
      <c r="E84" s="244"/>
      <c r="F84" s="761"/>
      <c r="G84" s="762"/>
      <c r="H84" s="762"/>
      <c r="I84" s="762"/>
      <c r="J84" s="763"/>
      <c r="K84" s="241" t="s">
        <v>45</v>
      </c>
    </row>
    <row r="85" spans="1:11" ht="13.5" thickBot="1" x14ac:dyDescent="0.35">
      <c r="A85" s="707" t="s">
        <v>265</v>
      </c>
      <c r="B85" s="708"/>
      <c r="C85" s="708"/>
      <c r="D85" s="708"/>
      <c r="E85" s="708"/>
      <c r="F85" s="746"/>
      <c r="G85" s="746"/>
      <c r="H85" s="746"/>
      <c r="I85" s="746"/>
      <c r="J85" s="747"/>
      <c r="K85" s="238"/>
    </row>
    <row r="86" spans="1:11" x14ac:dyDescent="0.3">
      <c r="A86" s="764" t="s">
        <v>555</v>
      </c>
      <c r="B86" s="765"/>
      <c r="C86" s="765"/>
      <c r="D86" s="765"/>
      <c r="E86" s="765"/>
      <c r="F86" s="765"/>
      <c r="G86" s="765"/>
      <c r="H86" s="765"/>
      <c r="I86" s="765"/>
      <c r="J86" s="766"/>
      <c r="K86" s="240" t="s">
        <v>45</v>
      </c>
    </row>
    <row r="87" spans="1:11" x14ac:dyDescent="0.3">
      <c r="A87" s="691" t="s">
        <v>349</v>
      </c>
      <c r="B87" s="692"/>
      <c r="C87" s="692"/>
      <c r="D87" s="692"/>
      <c r="E87" s="692"/>
      <c r="F87" s="692"/>
      <c r="G87" s="692"/>
      <c r="H87" s="692"/>
      <c r="I87" s="692"/>
      <c r="J87" s="693"/>
      <c r="K87" s="221" t="s">
        <v>45</v>
      </c>
    </row>
    <row r="88" spans="1:11" x14ac:dyDescent="0.3">
      <c r="A88" s="691" t="s">
        <v>350</v>
      </c>
      <c r="B88" s="692"/>
      <c r="C88" s="692"/>
      <c r="D88" s="692"/>
      <c r="E88" s="692"/>
      <c r="F88" s="692"/>
      <c r="G88" s="692"/>
      <c r="H88" s="692"/>
      <c r="I88" s="692"/>
      <c r="J88" s="693"/>
      <c r="K88" s="221" t="s">
        <v>45</v>
      </c>
    </row>
    <row r="89" spans="1:11" x14ac:dyDescent="0.3">
      <c r="A89" s="691" t="s">
        <v>556</v>
      </c>
      <c r="B89" s="692"/>
      <c r="C89" s="692"/>
      <c r="D89" s="692"/>
      <c r="E89" s="692"/>
      <c r="F89" s="692"/>
      <c r="G89" s="692"/>
      <c r="H89" s="692"/>
      <c r="I89" s="692"/>
      <c r="J89" s="693"/>
      <c r="K89" s="221" t="s">
        <v>45</v>
      </c>
    </row>
    <row r="90" spans="1:11" x14ac:dyDescent="0.3">
      <c r="A90" s="691" t="s">
        <v>557</v>
      </c>
      <c r="B90" s="692"/>
      <c r="C90" s="692"/>
      <c r="D90" s="692"/>
      <c r="E90" s="692"/>
      <c r="F90" s="692"/>
      <c r="G90" s="692"/>
      <c r="H90" s="692"/>
      <c r="I90" s="692"/>
      <c r="J90" s="693"/>
      <c r="K90" s="221" t="s">
        <v>45</v>
      </c>
    </row>
    <row r="91" spans="1:11" x14ac:dyDescent="0.3">
      <c r="A91" s="691" t="s">
        <v>268</v>
      </c>
      <c r="B91" s="692"/>
      <c r="C91" s="692"/>
      <c r="D91" s="692"/>
      <c r="E91" s="692"/>
      <c r="F91" s="692"/>
      <c r="G91" s="692"/>
      <c r="H91" s="692"/>
      <c r="I91" s="692"/>
      <c r="J91" s="693"/>
      <c r="K91" s="221" t="s">
        <v>45</v>
      </c>
    </row>
    <row r="92" spans="1:11" x14ac:dyDescent="0.3">
      <c r="A92" s="691" t="s">
        <v>558</v>
      </c>
      <c r="B92" s="692"/>
      <c r="C92" s="692"/>
      <c r="D92" s="692"/>
      <c r="E92" s="692"/>
      <c r="F92" s="692"/>
      <c r="G92" s="692"/>
      <c r="H92" s="692"/>
      <c r="I92" s="692"/>
      <c r="J92" s="693"/>
      <c r="K92" s="221" t="s">
        <v>45</v>
      </c>
    </row>
    <row r="93" spans="1:11" x14ac:dyDescent="0.3">
      <c r="A93" s="691" t="s">
        <v>559</v>
      </c>
      <c r="B93" s="692"/>
      <c r="C93" s="692"/>
      <c r="D93" s="692"/>
      <c r="E93" s="692"/>
      <c r="F93" s="692"/>
      <c r="G93" s="692"/>
      <c r="H93" s="692"/>
      <c r="I93" s="692"/>
      <c r="J93" s="693"/>
      <c r="K93" s="221"/>
    </row>
    <row r="94" spans="1:11" x14ac:dyDescent="0.3">
      <c r="A94" s="691"/>
      <c r="B94" s="692"/>
      <c r="C94" s="692"/>
      <c r="D94" s="692"/>
      <c r="E94" s="692"/>
      <c r="F94" s="692"/>
      <c r="G94" s="692"/>
      <c r="H94" s="692"/>
      <c r="I94" s="692"/>
      <c r="J94" s="693"/>
      <c r="K94" s="221"/>
    </row>
    <row r="95" spans="1:11" ht="15" customHeight="1" x14ac:dyDescent="0.3">
      <c r="A95" s="718"/>
      <c r="B95" s="719"/>
      <c r="C95" s="719"/>
      <c r="D95" s="719"/>
      <c r="E95" s="719"/>
      <c r="F95" s="719"/>
      <c r="G95" s="719"/>
      <c r="H95" s="719"/>
      <c r="I95" s="719"/>
      <c r="J95" s="720"/>
      <c r="K95" s="221"/>
    </row>
    <row r="96" spans="1:11" ht="15" customHeight="1" thickBot="1" x14ac:dyDescent="0.35">
      <c r="A96" s="712"/>
      <c r="B96" s="713"/>
      <c r="C96" s="713"/>
      <c r="D96" s="713"/>
      <c r="E96" s="713"/>
      <c r="F96" s="713"/>
      <c r="G96" s="713"/>
      <c r="H96" s="713"/>
      <c r="I96" s="713"/>
      <c r="J96" s="714"/>
      <c r="K96" s="219"/>
    </row>
    <row r="97" spans="1:11" ht="15" customHeight="1" thickBot="1" x14ac:dyDescent="0.35">
      <c r="A97" s="715" t="s">
        <v>269</v>
      </c>
      <c r="B97" s="716"/>
      <c r="C97" s="716"/>
      <c r="D97" s="716"/>
      <c r="E97" s="716"/>
      <c r="F97" s="716"/>
      <c r="G97" s="716"/>
      <c r="H97" s="716"/>
      <c r="I97" s="716"/>
      <c r="J97" s="716"/>
      <c r="K97" s="717"/>
    </row>
    <row r="98" spans="1:11" ht="14.5" customHeight="1" x14ac:dyDescent="0.3"/>
  </sheetData>
  <mergeCells count="77">
    <mergeCell ref="C11:F11"/>
    <mergeCell ref="G11:J11"/>
    <mergeCell ref="A1:K1"/>
    <mergeCell ref="A2:B5"/>
    <mergeCell ref="D2:G2"/>
    <mergeCell ref="H2:K2"/>
    <mergeCell ref="D3:G3"/>
    <mergeCell ref="H3:K3"/>
    <mergeCell ref="D4:G4"/>
    <mergeCell ref="D5:G5"/>
    <mergeCell ref="A6:K6"/>
    <mergeCell ref="A7:J7"/>
    <mergeCell ref="C8:J8"/>
    <mergeCell ref="C9:J9"/>
    <mergeCell ref="C10:J10"/>
    <mergeCell ref="D12:F12"/>
    <mergeCell ref="H12:J12"/>
    <mergeCell ref="C13:J13"/>
    <mergeCell ref="A15:J15"/>
    <mergeCell ref="G16:J16"/>
    <mergeCell ref="G30:J30"/>
    <mergeCell ref="G17:J28"/>
    <mergeCell ref="B21:F21"/>
    <mergeCell ref="D22:F22"/>
    <mergeCell ref="D23:F23"/>
    <mergeCell ref="D24:F24"/>
    <mergeCell ref="D25:F25"/>
    <mergeCell ref="D26:F26"/>
    <mergeCell ref="D27:F27"/>
    <mergeCell ref="D28:F28"/>
    <mergeCell ref="A29:J29"/>
    <mergeCell ref="D37:F37"/>
    <mergeCell ref="D38:F38"/>
    <mergeCell ref="A43:J43"/>
    <mergeCell ref="G44:J44"/>
    <mergeCell ref="A50:J50"/>
    <mergeCell ref="D45:F45"/>
    <mergeCell ref="G45:J49"/>
    <mergeCell ref="D46:F46"/>
    <mergeCell ref="D48:F48"/>
    <mergeCell ref="G31:J42"/>
    <mergeCell ref="G51:J51"/>
    <mergeCell ref="G52:J56"/>
    <mergeCell ref="A57:J57"/>
    <mergeCell ref="D58:F58"/>
    <mergeCell ref="G58:J58"/>
    <mergeCell ref="D59:F59"/>
    <mergeCell ref="G59:J63"/>
    <mergeCell ref="D60:F60"/>
    <mergeCell ref="D61:F61"/>
    <mergeCell ref="D62:F62"/>
    <mergeCell ref="D63:F63"/>
    <mergeCell ref="A87:J87"/>
    <mergeCell ref="A64:J64"/>
    <mergeCell ref="D65:F65"/>
    <mergeCell ref="G65:J65"/>
    <mergeCell ref="D66:F66"/>
    <mergeCell ref="G66:J70"/>
    <mergeCell ref="D67:F67"/>
    <mergeCell ref="D68:F68"/>
    <mergeCell ref="D69:F69"/>
    <mergeCell ref="D70:F70"/>
    <mergeCell ref="A71:J71"/>
    <mergeCell ref="F72:J72"/>
    <mergeCell ref="F73:J84"/>
    <mergeCell ref="A85:J85"/>
    <mergeCell ref="A86:J86"/>
    <mergeCell ref="A94:J94"/>
    <mergeCell ref="A95:J95"/>
    <mergeCell ref="A96:J96"/>
    <mergeCell ref="A97:K97"/>
    <mergeCell ref="A88:J88"/>
    <mergeCell ref="A89:J89"/>
    <mergeCell ref="A90:J90"/>
    <mergeCell ref="A91:J91"/>
    <mergeCell ref="A92:J92"/>
    <mergeCell ref="A93:J93"/>
  </mergeCells>
  <pageMargins left="0.70865923009623799" right="0.20865923009623796" top="0.5699989063867017" bottom="0.49802930883639546" header="6.4959536307961502E-2" footer="0.31496062992125984"/>
  <pageSetup scale="83" fitToHeight="0" orientation="portrait" horizontalDpi="1200" verticalDpi="1200" r:id="rId1"/>
  <headerFooter>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Check Box 1">
              <controlPr defaultSize="0" autoFill="0" autoLine="0" autoPict="0">
                <anchor moveWithCells="1">
                  <from>
                    <xdr:col>3</xdr:col>
                    <xdr:colOff>260350</xdr:colOff>
                    <xdr:row>71</xdr:row>
                    <xdr:rowOff>146050</xdr:rowOff>
                  </from>
                  <to>
                    <xdr:col>4</xdr:col>
                    <xdr:colOff>0</xdr:colOff>
                    <xdr:row>73</xdr:row>
                    <xdr:rowOff>31750</xdr:rowOff>
                  </to>
                </anchor>
              </controlPr>
            </control>
          </mc:Choice>
        </mc:AlternateContent>
        <mc:AlternateContent xmlns:mc="http://schemas.openxmlformats.org/markup-compatibility/2006">
          <mc:Choice Requires="x14">
            <control shapeId="23554" r:id="rId5" name="Check Box 2">
              <controlPr defaultSize="0" autoFill="0" autoLine="0" autoPict="0">
                <anchor moveWithCells="1">
                  <from>
                    <xdr:col>3</xdr:col>
                    <xdr:colOff>260350</xdr:colOff>
                    <xdr:row>80</xdr:row>
                    <xdr:rowOff>146050</xdr:rowOff>
                  </from>
                  <to>
                    <xdr:col>4</xdr:col>
                    <xdr:colOff>0</xdr:colOff>
                    <xdr:row>82</xdr:row>
                    <xdr:rowOff>0</xdr:rowOff>
                  </to>
                </anchor>
              </controlPr>
            </control>
          </mc:Choice>
        </mc:AlternateContent>
        <mc:AlternateContent xmlns:mc="http://schemas.openxmlformats.org/markup-compatibility/2006">
          <mc:Choice Requires="x14">
            <control shapeId="23555" r:id="rId6" name="Check Box 3">
              <controlPr defaultSize="0" autoFill="0" autoLine="0" autoPict="0">
                <anchor moveWithCells="1">
                  <from>
                    <xdr:col>3</xdr:col>
                    <xdr:colOff>260350</xdr:colOff>
                    <xdr:row>81</xdr:row>
                    <xdr:rowOff>146050</xdr:rowOff>
                  </from>
                  <to>
                    <xdr:col>4</xdr:col>
                    <xdr:colOff>0</xdr:colOff>
                    <xdr:row>83</xdr:row>
                    <xdr:rowOff>0</xdr:rowOff>
                  </to>
                </anchor>
              </controlPr>
            </control>
          </mc:Choice>
        </mc:AlternateContent>
        <mc:AlternateContent xmlns:mc="http://schemas.openxmlformats.org/markup-compatibility/2006">
          <mc:Choice Requires="x14">
            <control shapeId="23556" r:id="rId7" name="Check Box 4">
              <controlPr defaultSize="0" autoFill="0" autoLine="0" autoPict="0">
                <anchor moveWithCells="1">
                  <from>
                    <xdr:col>3</xdr:col>
                    <xdr:colOff>260350</xdr:colOff>
                    <xdr:row>82</xdr:row>
                    <xdr:rowOff>146050</xdr:rowOff>
                  </from>
                  <to>
                    <xdr:col>4</xdr:col>
                    <xdr:colOff>0</xdr:colOff>
                    <xdr:row>83</xdr:row>
                    <xdr:rowOff>184150</xdr:rowOff>
                  </to>
                </anchor>
              </controlPr>
            </control>
          </mc:Choice>
        </mc:AlternateContent>
        <mc:AlternateContent xmlns:mc="http://schemas.openxmlformats.org/markup-compatibility/2006">
          <mc:Choice Requires="x14">
            <control shapeId="23557" r:id="rId8" name="Check Box 5">
              <controlPr defaultSize="0" autoFill="0" autoLine="0" autoPict="0">
                <anchor moveWithCells="1">
                  <from>
                    <xdr:col>3</xdr:col>
                    <xdr:colOff>260350</xdr:colOff>
                    <xdr:row>76</xdr:row>
                    <xdr:rowOff>152400</xdr:rowOff>
                  </from>
                  <to>
                    <xdr:col>4</xdr:col>
                    <xdr:colOff>0</xdr:colOff>
                    <xdr:row>78</xdr:row>
                    <xdr:rowOff>0</xdr:rowOff>
                  </to>
                </anchor>
              </controlPr>
            </control>
          </mc:Choice>
        </mc:AlternateContent>
        <mc:AlternateContent xmlns:mc="http://schemas.openxmlformats.org/markup-compatibility/2006">
          <mc:Choice Requires="x14">
            <control shapeId="23558" r:id="rId9" name="Check Box 6">
              <controlPr defaultSize="0" autoFill="0" autoLine="0" autoPict="0">
                <anchor moveWithCells="1">
                  <from>
                    <xdr:col>3</xdr:col>
                    <xdr:colOff>260350</xdr:colOff>
                    <xdr:row>78</xdr:row>
                    <xdr:rowOff>152400</xdr:rowOff>
                  </from>
                  <to>
                    <xdr:col>4</xdr:col>
                    <xdr:colOff>0</xdr:colOff>
                    <xdr:row>80</xdr:row>
                    <xdr:rowOff>0</xdr:rowOff>
                  </to>
                </anchor>
              </controlPr>
            </control>
          </mc:Choice>
        </mc:AlternateContent>
        <mc:AlternateContent xmlns:mc="http://schemas.openxmlformats.org/markup-compatibility/2006">
          <mc:Choice Requires="x14">
            <control shapeId="23559" r:id="rId10" name="Check Box 7">
              <controlPr defaultSize="0" autoFill="0" autoLine="0" autoPict="0">
                <anchor moveWithCells="1">
                  <from>
                    <xdr:col>3</xdr:col>
                    <xdr:colOff>260350</xdr:colOff>
                    <xdr:row>74</xdr:row>
                    <xdr:rowOff>146050</xdr:rowOff>
                  </from>
                  <to>
                    <xdr:col>4</xdr:col>
                    <xdr:colOff>0</xdr:colOff>
                    <xdr:row>76</xdr:row>
                    <xdr:rowOff>12700</xdr:rowOff>
                  </to>
                </anchor>
              </controlPr>
            </control>
          </mc:Choice>
        </mc:AlternateContent>
        <mc:AlternateContent xmlns:mc="http://schemas.openxmlformats.org/markup-compatibility/2006">
          <mc:Choice Requires="x14">
            <control shapeId="23560" r:id="rId11" name="Check Box 8">
              <controlPr defaultSize="0" autoFill="0" autoLine="0" autoPict="0">
                <anchor moveWithCells="1">
                  <from>
                    <xdr:col>3</xdr:col>
                    <xdr:colOff>260350</xdr:colOff>
                    <xdr:row>73</xdr:row>
                    <xdr:rowOff>146050</xdr:rowOff>
                  </from>
                  <to>
                    <xdr:col>4</xdr:col>
                    <xdr:colOff>0</xdr:colOff>
                    <xdr:row>75</xdr:row>
                    <xdr:rowOff>12700</xdr:rowOff>
                  </to>
                </anchor>
              </controlPr>
            </control>
          </mc:Choice>
        </mc:AlternateContent>
        <mc:AlternateContent xmlns:mc="http://schemas.openxmlformats.org/markup-compatibility/2006">
          <mc:Choice Requires="x14">
            <control shapeId="23561" r:id="rId12" name="Check Box 9">
              <controlPr defaultSize="0" autoFill="0" autoLine="0" autoPict="0">
                <anchor moveWithCells="1">
                  <from>
                    <xdr:col>2</xdr:col>
                    <xdr:colOff>222250</xdr:colOff>
                    <xdr:row>10</xdr:row>
                    <xdr:rowOff>184150</xdr:rowOff>
                  </from>
                  <to>
                    <xdr:col>2</xdr:col>
                    <xdr:colOff>622300</xdr:colOff>
                    <xdr:row>12</xdr:row>
                    <xdr:rowOff>31750</xdr:rowOff>
                  </to>
                </anchor>
              </controlPr>
            </control>
          </mc:Choice>
        </mc:AlternateContent>
        <mc:AlternateContent xmlns:mc="http://schemas.openxmlformats.org/markup-compatibility/2006">
          <mc:Choice Requires="x14">
            <control shapeId="23562" r:id="rId13" name="Check Box 10">
              <controlPr defaultSize="0" autoFill="0" autoLine="0" autoPict="0">
                <anchor moveWithCells="1">
                  <from>
                    <xdr:col>6</xdr:col>
                    <xdr:colOff>222250</xdr:colOff>
                    <xdr:row>10</xdr:row>
                    <xdr:rowOff>184150</xdr:rowOff>
                  </from>
                  <to>
                    <xdr:col>6</xdr:col>
                    <xdr:colOff>641350</xdr:colOff>
                    <xdr:row>12</xdr:row>
                    <xdr:rowOff>31750</xdr:rowOff>
                  </to>
                </anchor>
              </controlPr>
            </control>
          </mc:Choice>
        </mc:AlternateContent>
        <mc:AlternateContent xmlns:mc="http://schemas.openxmlformats.org/markup-compatibility/2006">
          <mc:Choice Requires="x14">
            <control shapeId="23563" r:id="rId14" name="Check Box 11">
              <controlPr defaultSize="0" autoFill="0" autoLine="0" autoPict="0">
                <anchor moveWithCells="1">
                  <from>
                    <xdr:col>2</xdr:col>
                    <xdr:colOff>12700</xdr:colOff>
                    <xdr:row>12</xdr:row>
                    <xdr:rowOff>165100</xdr:rowOff>
                  </from>
                  <to>
                    <xdr:col>2</xdr:col>
                    <xdr:colOff>431800</xdr:colOff>
                    <xdr:row>14</xdr:row>
                    <xdr:rowOff>12700</xdr:rowOff>
                  </to>
                </anchor>
              </controlPr>
            </control>
          </mc:Choice>
        </mc:AlternateContent>
        <mc:AlternateContent xmlns:mc="http://schemas.openxmlformats.org/markup-compatibility/2006">
          <mc:Choice Requires="x14">
            <control shapeId="23564" r:id="rId15" name="Check Box 12">
              <controlPr defaultSize="0" autoFill="0" autoLine="0" autoPict="0">
                <anchor moveWithCells="1">
                  <from>
                    <xdr:col>6</xdr:col>
                    <xdr:colOff>755650</xdr:colOff>
                    <xdr:row>12</xdr:row>
                    <xdr:rowOff>184150</xdr:rowOff>
                  </from>
                  <to>
                    <xdr:col>7</xdr:col>
                    <xdr:colOff>412750</xdr:colOff>
                    <xdr:row>14</xdr:row>
                    <xdr:rowOff>31750</xdr:rowOff>
                  </to>
                </anchor>
              </controlPr>
            </control>
          </mc:Choice>
        </mc:AlternateContent>
        <mc:AlternateContent xmlns:mc="http://schemas.openxmlformats.org/markup-compatibility/2006">
          <mc:Choice Requires="x14">
            <control shapeId="23565" r:id="rId16" name="Check Box 13">
              <controlPr defaultSize="0" autoFill="0" autoLine="0" autoPict="0">
                <anchor moveWithCells="1">
                  <from>
                    <xdr:col>4</xdr:col>
                    <xdr:colOff>431800</xdr:colOff>
                    <xdr:row>12</xdr:row>
                    <xdr:rowOff>165100</xdr:rowOff>
                  </from>
                  <to>
                    <xdr:col>5</xdr:col>
                    <xdr:colOff>184150</xdr:colOff>
                    <xdr:row>14</xdr:row>
                    <xdr:rowOff>31750</xdr:rowOff>
                  </to>
                </anchor>
              </controlPr>
            </control>
          </mc:Choice>
        </mc:AlternateContent>
        <mc:AlternateContent xmlns:mc="http://schemas.openxmlformats.org/markup-compatibility/2006">
          <mc:Choice Requires="x14">
            <control shapeId="23566" r:id="rId17" name="Check Box 14">
              <controlPr defaultSize="0" autoFill="0" autoLine="0" autoPict="0">
                <anchor moveWithCells="1">
                  <from>
                    <xdr:col>3</xdr:col>
                    <xdr:colOff>260350</xdr:colOff>
                    <xdr:row>72</xdr:row>
                    <xdr:rowOff>146050</xdr:rowOff>
                  </from>
                  <to>
                    <xdr:col>4</xdr:col>
                    <xdr:colOff>0</xdr:colOff>
                    <xdr:row>74</xdr:row>
                    <xdr:rowOff>31750</xdr:rowOff>
                  </to>
                </anchor>
              </controlPr>
            </control>
          </mc:Choice>
        </mc:AlternateContent>
        <mc:AlternateContent xmlns:mc="http://schemas.openxmlformats.org/markup-compatibility/2006">
          <mc:Choice Requires="x14">
            <control shapeId="23567" r:id="rId18" name="Check Box 15">
              <controlPr defaultSize="0" autoFill="0" autoLine="0" autoPict="0">
                <anchor moveWithCells="1">
                  <from>
                    <xdr:col>4</xdr:col>
                    <xdr:colOff>241300</xdr:colOff>
                    <xdr:row>71</xdr:row>
                    <xdr:rowOff>146050</xdr:rowOff>
                  </from>
                  <to>
                    <xdr:col>5</xdr:col>
                    <xdr:colOff>0</xdr:colOff>
                    <xdr:row>73</xdr:row>
                    <xdr:rowOff>31750</xdr:rowOff>
                  </to>
                </anchor>
              </controlPr>
            </control>
          </mc:Choice>
        </mc:AlternateContent>
        <mc:AlternateContent xmlns:mc="http://schemas.openxmlformats.org/markup-compatibility/2006">
          <mc:Choice Requires="x14">
            <control shapeId="23568" r:id="rId19" name="Check Box 16">
              <controlPr defaultSize="0" autoFill="0" autoLine="0" autoPict="0">
                <anchor moveWithCells="1">
                  <from>
                    <xdr:col>4</xdr:col>
                    <xdr:colOff>241300</xdr:colOff>
                    <xdr:row>80</xdr:row>
                    <xdr:rowOff>146050</xdr:rowOff>
                  </from>
                  <to>
                    <xdr:col>5</xdr:col>
                    <xdr:colOff>0</xdr:colOff>
                    <xdr:row>82</xdr:row>
                    <xdr:rowOff>0</xdr:rowOff>
                  </to>
                </anchor>
              </controlPr>
            </control>
          </mc:Choice>
        </mc:AlternateContent>
        <mc:AlternateContent xmlns:mc="http://schemas.openxmlformats.org/markup-compatibility/2006">
          <mc:Choice Requires="x14">
            <control shapeId="23569" r:id="rId20" name="Check Box 17">
              <controlPr defaultSize="0" autoFill="0" autoLine="0" autoPict="0">
                <anchor moveWithCells="1">
                  <from>
                    <xdr:col>4</xdr:col>
                    <xdr:colOff>241300</xdr:colOff>
                    <xdr:row>81</xdr:row>
                    <xdr:rowOff>146050</xdr:rowOff>
                  </from>
                  <to>
                    <xdr:col>5</xdr:col>
                    <xdr:colOff>0</xdr:colOff>
                    <xdr:row>83</xdr:row>
                    <xdr:rowOff>0</xdr:rowOff>
                  </to>
                </anchor>
              </controlPr>
            </control>
          </mc:Choice>
        </mc:AlternateContent>
        <mc:AlternateContent xmlns:mc="http://schemas.openxmlformats.org/markup-compatibility/2006">
          <mc:Choice Requires="x14">
            <control shapeId="23570" r:id="rId21" name="Check Box 18">
              <controlPr defaultSize="0" autoFill="0" autoLine="0" autoPict="0">
                <anchor moveWithCells="1">
                  <from>
                    <xdr:col>4</xdr:col>
                    <xdr:colOff>241300</xdr:colOff>
                    <xdr:row>82</xdr:row>
                    <xdr:rowOff>146050</xdr:rowOff>
                  </from>
                  <to>
                    <xdr:col>5</xdr:col>
                    <xdr:colOff>0</xdr:colOff>
                    <xdr:row>83</xdr:row>
                    <xdr:rowOff>184150</xdr:rowOff>
                  </to>
                </anchor>
              </controlPr>
            </control>
          </mc:Choice>
        </mc:AlternateContent>
        <mc:AlternateContent xmlns:mc="http://schemas.openxmlformats.org/markup-compatibility/2006">
          <mc:Choice Requires="x14">
            <control shapeId="23571" r:id="rId22" name="Check Box 19">
              <controlPr defaultSize="0" autoFill="0" autoLine="0" autoPict="0">
                <anchor moveWithCells="1">
                  <from>
                    <xdr:col>4</xdr:col>
                    <xdr:colOff>241300</xdr:colOff>
                    <xdr:row>76</xdr:row>
                    <xdr:rowOff>146050</xdr:rowOff>
                  </from>
                  <to>
                    <xdr:col>5</xdr:col>
                    <xdr:colOff>0</xdr:colOff>
                    <xdr:row>78</xdr:row>
                    <xdr:rowOff>0</xdr:rowOff>
                  </to>
                </anchor>
              </controlPr>
            </control>
          </mc:Choice>
        </mc:AlternateContent>
        <mc:AlternateContent xmlns:mc="http://schemas.openxmlformats.org/markup-compatibility/2006">
          <mc:Choice Requires="x14">
            <control shapeId="23572" r:id="rId23" name="Check Box 20">
              <controlPr defaultSize="0" autoFill="0" autoLine="0" autoPict="0">
                <anchor moveWithCells="1">
                  <from>
                    <xdr:col>4</xdr:col>
                    <xdr:colOff>241300</xdr:colOff>
                    <xdr:row>78</xdr:row>
                    <xdr:rowOff>146050</xdr:rowOff>
                  </from>
                  <to>
                    <xdr:col>5</xdr:col>
                    <xdr:colOff>0</xdr:colOff>
                    <xdr:row>80</xdr:row>
                    <xdr:rowOff>0</xdr:rowOff>
                  </to>
                </anchor>
              </controlPr>
            </control>
          </mc:Choice>
        </mc:AlternateContent>
        <mc:AlternateContent xmlns:mc="http://schemas.openxmlformats.org/markup-compatibility/2006">
          <mc:Choice Requires="x14">
            <control shapeId="23573" r:id="rId24" name="Check Box 21">
              <controlPr defaultSize="0" autoFill="0" autoLine="0" autoPict="0">
                <anchor moveWithCells="1">
                  <from>
                    <xdr:col>4</xdr:col>
                    <xdr:colOff>241300</xdr:colOff>
                    <xdr:row>74</xdr:row>
                    <xdr:rowOff>146050</xdr:rowOff>
                  </from>
                  <to>
                    <xdr:col>5</xdr:col>
                    <xdr:colOff>0</xdr:colOff>
                    <xdr:row>76</xdr:row>
                    <xdr:rowOff>12700</xdr:rowOff>
                  </to>
                </anchor>
              </controlPr>
            </control>
          </mc:Choice>
        </mc:AlternateContent>
        <mc:AlternateContent xmlns:mc="http://schemas.openxmlformats.org/markup-compatibility/2006">
          <mc:Choice Requires="x14">
            <control shapeId="23574" r:id="rId25" name="Check Box 22">
              <controlPr defaultSize="0" autoFill="0" autoLine="0" autoPict="0">
                <anchor moveWithCells="1">
                  <from>
                    <xdr:col>4</xdr:col>
                    <xdr:colOff>241300</xdr:colOff>
                    <xdr:row>73</xdr:row>
                    <xdr:rowOff>146050</xdr:rowOff>
                  </from>
                  <to>
                    <xdr:col>5</xdr:col>
                    <xdr:colOff>0</xdr:colOff>
                    <xdr:row>75</xdr:row>
                    <xdr:rowOff>12700</xdr:rowOff>
                  </to>
                </anchor>
              </controlPr>
            </control>
          </mc:Choice>
        </mc:AlternateContent>
        <mc:AlternateContent xmlns:mc="http://schemas.openxmlformats.org/markup-compatibility/2006">
          <mc:Choice Requires="x14">
            <control shapeId="23575" r:id="rId26" name="Check Box 23">
              <controlPr defaultSize="0" autoFill="0" autoLine="0" autoPict="0">
                <anchor moveWithCells="1">
                  <from>
                    <xdr:col>4</xdr:col>
                    <xdr:colOff>241300</xdr:colOff>
                    <xdr:row>72</xdr:row>
                    <xdr:rowOff>146050</xdr:rowOff>
                  </from>
                  <to>
                    <xdr:col>5</xdr:col>
                    <xdr:colOff>0</xdr:colOff>
                    <xdr:row>74</xdr:row>
                    <xdr:rowOff>31750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D577-4013-4488-9599-3710130C3ACD}">
  <sheetPr>
    <pageSetUpPr fitToPage="1"/>
  </sheetPr>
  <dimension ref="A1:Q96"/>
  <sheetViews>
    <sheetView topLeftCell="A46" zoomScale="85" zoomScaleNormal="85" workbookViewId="0">
      <selection activeCell="D58" sqref="D58:F58"/>
    </sheetView>
  </sheetViews>
  <sheetFormatPr defaultColWidth="8.81640625" defaultRowHeight="13" x14ac:dyDescent="0.3"/>
  <cols>
    <col min="1" max="1" width="3.453125" style="152" customWidth="1"/>
    <col min="2" max="2" width="29.81640625" style="104" customWidth="1"/>
    <col min="3" max="3" width="10.1796875" style="104" customWidth="1"/>
    <col min="4" max="4" width="9.81640625" style="104" bestFit="1" customWidth="1"/>
    <col min="5" max="5" width="9.453125" style="104" bestFit="1" customWidth="1"/>
    <col min="6" max="6" width="9.1796875" style="104" customWidth="1"/>
    <col min="7" max="7" width="10.81640625" style="104" customWidth="1"/>
    <col min="8" max="8" width="8.54296875" style="104" bestFit="1" customWidth="1"/>
    <col min="9" max="9" width="6.81640625" style="104" bestFit="1" customWidth="1"/>
    <col min="10" max="10" width="7.1796875" style="104" customWidth="1"/>
    <col min="11" max="11" width="5" style="104" customWidth="1"/>
    <col min="12" max="12" width="8.81640625" style="104"/>
    <col min="13" max="13" width="19.453125" style="104" bestFit="1" customWidth="1"/>
    <col min="14" max="14" width="8.81640625" style="104"/>
    <col min="15" max="15" width="31" style="104" bestFit="1" customWidth="1"/>
    <col min="16" max="17" width="47" style="104" bestFit="1" customWidth="1"/>
    <col min="18" max="16384" width="8.81640625" style="104"/>
  </cols>
  <sheetData>
    <row r="1" spans="1:17" ht="13.5" thickBot="1" x14ac:dyDescent="0.35">
      <c r="A1" s="707" t="s">
        <v>224</v>
      </c>
      <c r="B1" s="708"/>
      <c r="C1" s="708"/>
      <c r="D1" s="708"/>
      <c r="E1" s="708"/>
      <c r="F1" s="708"/>
      <c r="G1" s="708"/>
      <c r="H1" s="708"/>
      <c r="I1" s="708"/>
      <c r="J1" s="708"/>
      <c r="K1" s="709"/>
    </row>
    <row r="2" spans="1:17" ht="14.5" customHeight="1" x14ac:dyDescent="0.3">
      <c r="A2" s="731"/>
      <c r="B2" s="732"/>
      <c r="C2" s="132" t="s">
        <v>219</v>
      </c>
      <c r="D2" s="737" t="s">
        <v>220</v>
      </c>
      <c r="E2" s="737"/>
      <c r="F2" s="737"/>
      <c r="G2" s="737"/>
      <c r="H2" s="738" t="s">
        <v>274</v>
      </c>
      <c r="I2" s="738"/>
      <c r="J2" s="738"/>
      <c r="K2" s="739"/>
    </row>
    <row r="3" spans="1:17" ht="14.5" customHeight="1" x14ac:dyDescent="0.3">
      <c r="A3" s="733"/>
      <c r="B3" s="734"/>
      <c r="C3" s="129" t="s">
        <v>210</v>
      </c>
      <c r="D3" s="602" t="s">
        <v>332</v>
      </c>
      <c r="E3" s="602"/>
      <c r="F3" s="602"/>
      <c r="G3" s="602"/>
      <c r="H3" s="593" t="s">
        <v>223</v>
      </c>
      <c r="I3" s="593"/>
      <c r="J3" s="593"/>
      <c r="K3" s="740"/>
    </row>
    <row r="4" spans="1:17" ht="14.5" customHeight="1" x14ac:dyDescent="0.3">
      <c r="A4" s="733"/>
      <c r="B4" s="734"/>
      <c r="C4" s="129" t="s">
        <v>212</v>
      </c>
      <c r="D4" s="602" t="s">
        <v>226</v>
      </c>
      <c r="E4" s="602"/>
      <c r="F4" s="602"/>
      <c r="G4" s="602"/>
      <c r="H4" s="105" t="s">
        <v>231</v>
      </c>
      <c r="I4" s="105" t="s">
        <v>229</v>
      </c>
      <c r="J4" s="105" t="s">
        <v>230</v>
      </c>
      <c r="K4" s="111" t="s">
        <v>235</v>
      </c>
    </row>
    <row r="5" spans="1:17" ht="15" customHeight="1" thickBot="1" x14ac:dyDescent="0.35">
      <c r="A5" s="735"/>
      <c r="B5" s="736"/>
      <c r="C5" s="131" t="s">
        <v>227</v>
      </c>
      <c r="D5" s="741" t="s">
        <v>228</v>
      </c>
      <c r="E5" s="741"/>
      <c r="F5" s="741"/>
      <c r="G5" s="741"/>
      <c r="H5" s="102" t="s">
        <v>232</v>
      </c>
      <c r="I5" s="102" t="s">
        <v>234</v>
      </c>
      <c r="J5" s="102" t="s">
        <v>233</v>
      </c>
      <c r="K5" s="103" t="s">
        <v>46</v>
      </c>
    </row>
    <row r="6" spans="1:17" ht="8.15" customHeight="1" thickBot="1" x14ac:dyDescent="0.35">
      <c r="A6" s="742"/>
      <c r="B6" s="743"/>
      <c r="C6" s="743"/>
      <c r="D6" s="743"/>
      <c r="E6" s="743"/>
      <c r="F6" s="743"/>
      <c r="G6" s="743"/>
      <c r="H6" s="743"/>
      <c r="I6" s="743"/>
      <c r="J6" s="743"/>
      <c r="K6" s="744"/>
    </row>
    <row r="7" spans="1:17" ht="13.5" thickBot="1" x14ac:dyDescent="0.35">
      <c r="A7" s="745" t="s">
        <v>236</v>
      </c>
      <c r="B7" s="746"/>
      <c r="C7" s="746"/>
      <c r="D7" s="746"/>
      <c r="E7" s="746"/>
      <c r="F7" s="746"/>
      <c r="G7" s="746"/>
      <c r="H7" s="746"/>
      <c r="I7" s="746"/>
      <c r="J7" s="747"/>
      <c r="K7" s="110" t="s">
        <v>211</v>
      </c>
      <c r="M7" s="104" t="s">
        <v>6</v>
      </c>
      <c r="O7" s="137">
        <v>13</v>
      </c>
      <c r="P7" s="137">
        <v>14</v>
      </c>
      <c r="Q7" s="137">
        <v>15</v>
      </c>
    </row>
    <row r="8" spans="1:17" x14ac:dyDescent="0.3">
      <c r="A8" s="147">
        <v>1</v>
      </c>
      <c r="B8" s="132" t="s">
        <v>277</v>
      </c>
      <c r="C8" s="737" t="s">
        <v>337</v>
      </c>
      <c r="D8" s="737"/>
      <c r="E8" s="737"/>
      <c r="F8" s="737"/>
      <c r="G8" s="737"/>
      <c r="H8" s="737"/>
      <c r="I8" s="737"/>
      <c r="J8" s="748"/>
      <c r="K8" s="108"/>
      <c r="M8" s="104" t="s">
        <v>14</v>
      </c>
      <c r="O8" s="104" t="str">
        <f>HLOOKUP(O7,'Property Calc_Design Flow'!$E$2:$ED$3,2,FALSE)</f>
        <v>COMPRESSED RECYCLE GAS TO RECYCLE GAS AIR COOLED  AFTER COOLER</v>
      </c>
      <c r="P8" s="104" t="str">
        <f>HLOOKUP(P7,'Property Calc_Design Flow'!$E$2:$ED$3,2,FALSE)</f>
        <v>COMPRESSED COOLED RECYCLE GAS TO FEED COMPRESSOR</v>
      </c>
      <c r="Q8" s="104" t="str">
        <f>HLOOKUP(Q7,'Property Calc_Design Flow'!$E$2:$ED$3,2,FALSE)</f>
        <v>PRODUCT GAS TO PRODUCT GAS COMPRESSOR AND BOILERS</v>
      </c>
    </row>
    <row r="9" spans="1:17" ht="14.5" x14ac:dyDescent="0.35">
      <c r="A9" s="148">
        <f>A8+1</f>
        <v>2</v>
      </c>
      <c r="B9" s="129" t="s">
        <v>275</v>
      </c>
      <c r="C9" s="602" t="s">
        <v>338</v>
      </c>
      <c r="D9" s="602"/>
      <c r="E9" s="602"/>
      <c r="F9" s="602"/>
      <c r="G9" s="602"/>
      <c r="H9" s="602"/>
      <c r="I9" s="602"/>
      <c r="J9" s="749"/>
      <c r="K9" s="108"/>
      <c r="M9" s="19" t="s">
        <v>1</v>
      </c>
      <c r="N9" s="73" t="s">
        <v>5</v>
      </c>
      <c r="O9" s="73">
        <f>HLOOKUP(O$8,'Property Calc_Design Flow'!$E$3:$EJ$25,MATCH(M9,'Property Calc_Design Flow'!$C$3:$C$24,0),FALSE)</f>
        <v>65</v>
      </c>
      <c r="P9" s="73">
        <f>HLOOKUP(P$8,'Property Calc_Design Flow'!$E$3:$EJ$25,MATCH(M9,'Property Calc_Design Flow'!$C$3:$C$24,0),FALSE)</f>
        <v>63</v>
      </c>
      <c r="Q9" s="73">
        <f>HLOOKUP(Q$8,'Property Calc_Design Flow'!$E$3:$EJ$25,MATCH(M9,'Property Calc_Design Flow'!$C$3:$C$24,0),FALSE)</f>
        <v>150</v>
      </c>
    </row>
    <row r="10" spans="1:17" ht="14.5" x14ac:dyDescent="0.35">
      <c r="A10" s="149">
        <f>A9+1</f>
        <v>3</v>
      </c>
      <c r="B10" s="136" t="s">
        <v>279</v>
      </c>
      <c r="C10" s="602" t="s">
        <v>339</v>
      </c>
      <c r="D10" s="602"/>
      <c r="E10" s="602"/>
      <c r="F10" s="602"/>
      <c r="G10" s="602"/>
      <c r="H10" s="602"/>
      <c r="I10" s="602"/>
      <c r="J10" s="749"/>
      <c r="K10" s="108"/>
      <c r="M10" s="19" t="s">
        <v>0</v>
      </c>
      <c r="N10" s="73" t="s">
        <v>4</v>
      </c>
      <c r="O10" s="73">
        <f>HLOOKUP(O$8,'Property Calc_Design Flow'!$E$3:$EJ$25,MATCH(M10,'Property Calc_Design Flow'!$C$3:$C$24,0),FALSE)</f>
        <v>250</v>
      </c>
      <c r="P10" s="73">
        <f>HLOOKUP(P$8,'Property Calc_Design Flow'!$E$3:$EJ$25,MATCH(M10,'Property Calc_Design Flow'!$C$3:$C$24,0),FALSE)</f>
        <v>120</v>
      </c>
      <c r="Q10" s="73">
        <f>HLOOKUP(Q$8,'Property Calc_Design Flow'!$E$3:$EJ$25,MATCH(M10,'Property Calc_Design Flow'!$C$3:$C$24,0),FALSE)</f>
        <v>51.7</v>
      </c>
    </row>
    <row r="11" spans="1:17" ht="14.5" x14ac:dyDescent="0.35">
      <c r="A11" s="149">
        <f>A10+1</f>
        <v>4</v>
      </c>
      <c r="B11" s="136" t="s">
        <v>355</v>
      </c>
      <c r="C11" s="146"/>
      <c r="D11" s="692" t="s">
        <v>356</v>
      </c>
      <c r="E11" s="692"/>
      <c r="F11" s="703"/>
      <c r="G11" s="145"/>
      <c r="H11" s="692" t="s">
        <v>357</v>
      </c>
      <c r="I11" s="692"/>
      <c r="J11" s="693"/>
      <c r="K11" s="108"/>
      <c r="M11" s="19" t="s">
        <v>26</v>
      </c>
      <c r="N11" s="73" t="s">
        <v>27</v>
      </c>
      <c r="O11" s="73">
        <f>HLOOKUP(O$8,'Property Calc_Design Flow'!$E$3:$EJ$25,MATCH(M11,'Property Calc_Design Flow'!$C$3:$C$24,0),FALSE)</f>
        <v>1775.3656652646953</v>
      </c>
      <c r="P11" s="73">
        <f>HLOOKUP(P$8,'Property Calc_Design Flow'!$E$3:$EJ$25,MATCH(M11,'Property Calc_Design Flow'!$C$3:$C$24,0),FALSE)</f>
        <v>1775.3656652646953</v>
      </c>
      <c r="Q11" s="73">
        <f>HLOOKUP(Q$8,'Property Calc_Design Flow'!$E$3:$EJ$25,MATCH(M11,'Property Calc_Design Flow'!$C$3:$C$24,0),FALSE)</f>
        <v>1393.8650566569991</v>
      </c>
    </row>
    <row r="12" spans="1:17" ht="14.5" x14ac:dyDescent="0.35">
      <c r="A12" s="148">
        <f>A11+1</f>
        <v>5</v>
      </c>
      <c r="B12" s="157" t="s">
        <v>225</v>
      </c>
      <c r="C12" s="602" t="s">
        <v>340</v>
      </c>
      <c r="D12" s="602"/>
      <c r="E12" s="602"/>
      <c r="F12" s="602"/>
      <c r="G12" s="602"/>
      <c r="H12" s="602"/>
      <c r="I12" s="602"/>
      <c r="J12" s="749"/>
      <c r="K12" s="108"/>
      <c r="M12" s="19" t="s">
        <v>28</v>
      </c>
      <c r="N12" s="73" t="s">
        <v>29</v>
      </c>
      <c r="O12" s="73">
        <f>HLOOKUP(O$8,'Property Calc_Design Flow'!$E$3:$EJ$25,MATCH(M12,'Property Calc_Design Flow'!$C$3:$C$24,0),FALSE)</f>
        <v>447.09708156470475</v>
      </c>
      <c r="P12" s="73">
        <f>HLOOKUP(P$8,'Property Calc_Design Flow'!$E$3:$EJ$25,MATCH(M12,'Property Calc_Design Flow'!$C$3:$C$24,0),FALSE)</f>
        <v>374.63537427103233</v>
      </c>
      <c r="Q12" s="73">
        <f>HLOOKUP(Q$8,'Property Calc_Design Flow'!$E$3:$EJ$25,MATCH(M12,'Property Calc_Design Flow'!$C$3:$C$24,0),FALSE)</f>
        <v>122.42117390037104</v>
      </c>
    </row>
    <row r="13" spans="1:17" ht="15" thickBot="1" x14ac:dyDescent="0.4">
      <c r="A13" s="163">
        <f>A12+1</f>
        <v>6</v>
      </c>
      <c r="B13" s="161" t="s">
        <v>392</v>
      </c>
      <c r="C13" s="172" t="s">
        <v>393</v>
      </c>
      <c r="D13" s="161"/>
      <c r="E13" s="164"/>
      <c r="F13" s="161" t="s">
        <v>394</v>
      </c>
      <c r="G13" s="161"/>
      <c r="H13" s="165" t="s">
        <v>395</v>
      </c>
      <c r="I13" s="161"/>
      <c r="J13" s="162"/>
      <c r="K13" s="108"/>
      <c r="M13" s="19"/>
      <c r="N13" s="73"/>
      <c r="O13" s="73"/>
      <c r="P13" s="73"/>
      <c r="Q13" s="73"/>
    </row>
    <row r="14" spans="1:17" ht="15" thickBot="1" x14ac:dyDescent="0.4">
      <c r="A14" s="707" t="s">
        <v>284</v>
      </c>
      <c r="B14" s="708"/>
      <c r="C14" s="708"/>
      <c r="D14" s="708"/>
      <c r="E14" s="708"/>
      <c r="F14" s="708"/>
      <c r="G14" s="708"/>
      <c r="H14" s="708"/>
      <c r="I14" s="708"/>
      <c r="J14" s="709"/>
      <c r="K14" s="109"/>
      <c r="M14" s="19" t="s">
        <v>2</v>
      </c>
      <c r="N14" s="73" t="s">
        <v>3</v>
      </c>
      <c r="O14" s="73">
        <f>HLOOKUP(O$8,'Property Calc_Design Flow'!$E$3:$EJ$25,MATCH(M14,'Property Calc_Design Flow'!$C$3:$C$24,0),FALSE)</f>
        <v>8176.3774392939749</v>
      </c>
      <c r="P14" s="73">
        <f>HLOOKUP(P$8,'Property Calc_Design Flow'!$E$3:$EJ$25,MATCH(M14,'Property Calc_Design Flow'!$C$3:$C$24,0),FALSE)</f>
        <v>8176.3774392939749</v>
      </c>
      <c r="Q14" s="73">
        <f>HLOOKUP(Q$8,'Property Calc_Design Flow'!$E$3:$EJ$25,MATCH(M14,'Property Calc_Design Flow'!$C$3:$C$24,0),FALSE)</f>
        <v>3587.0764912074692</v>
      </c>
    </row>
    <row r="15" spans="1:17" ht="14.5" x14ac:dyDescent="0.35">
      <c r="A15" s="147">
        <f>A13+1</f>
        <v>7</v>
      </c>
      <c r="B15" s="106" t="s">
        <v>248</v>
      </c>
      <c r="C15" s="126" t="s">
        <v>222</v>
      </c>
      <c r="D15" s="126" t="s">
        <v>215</v>
      </c>
      <c r="E15" s="126" t="s">
        <v>218</v>
      </c>
      <c r="F15" s="126" t="s">
        <v>214</v>
      </c>
      <c r="G15" s="710" t="s">
        <v>221</v>
      </c>
      <c r="H15" s="710"/>
      <c r="I15" s="710"/>
      <c r="J15" s="711"/>
      <c r="K15" s="107"/>
      <c r="M15" s="19" t="s">
        <v>30</v>
      </c>
      <c r="N15" s="73" t="s">
        <v>31</v>
      </c>
      <c r="O15" s="73">
        <f>HLOOKUP(O$8,'Property Calc_Design Flow'!$E$3:$EJ$25,MATCH(M15,'Property Calc_Design Flow'!$C$3:$C$24,0),FALSE)</f>
        <v>280.69762026899713</v>
      </c>
      <c r="P15" s="73">
        <f>HLOOKUP(P$8,'Property Calc_Design Flow'!$E$3:$EJ$25,MATCH(M15,'Property Calc_Design Flow'!$C$3:$C$24,0),FALSE)</f>
        <v>280.69762026899713</v>
      </c>
      <c r="Q15" s="73">
        <f>HLOOKUP(Q$8,'Property Calc_Design Flow'!$E$3:$EJ$25,MATCH(M15,'Property Calc_Design Flow'!$C$3:$C$24,0),FALSE)</f>
        <v>220.37972910859295</v>
      </c>
    </row>
    <row r="16" spans="1:17" ht="14.5" x14ac:dyDescent="0.35">
      <c r="A16" s="148">
        <f>A15+1</f>
        <v>8</v>
      </c>
      <c r="B16" s="129" t="s">
        <v>282</v>
      </c>
      <c r="C16" s="100" t="s">
        <v>27</v>
      </c>
      <c r="D16" s="127">
        <f>O11</f>
        <v>1775.3656652646953</v>
      </c>
      <c r="E16" s="127">
        <f>D16</f>
        <v>1775.3656652646953</v>
      </c>
      <c r="F16" s="100">
        <v>200</v>
      </c>
      <c r="G16" s="687" t="s">
        <v>341</v>
      </c>
      <c r="H16" s="687"/>
      <c r="I16" s="687"/>
      <c r="J16" s="688"/>
      <c r="K16" s="107"/>
      <c r="M16" s="19" t="s">
        <v>18</v>
      </c>
      <c r="N16" s="73"/>
      <c r="O16" s="73">
        <f>HLOOKUP(O$8,'Property Calc_Design Flow'!$E$3:$EJ$25,MATCH(M16,'Property Calc_Design Flow'!$C$3:$C$24,0),FALSE)</f>
        <v>29.128773629995219</v>
      </c>
      <c r="P16" s="73">
        <f>HLOOKUP(P$8,'Property Calc_Design Flow'!$E$3:$EJ$25,MATCH(M16,'Property Calc_Design Flow'!$C$3:$C$24,0),FALSE)</f>
        <v>29.128773629995219</v>
      </c>
      <c r="Q16" s="73">
        <f>HLOOKUP(Q$8,'Property Calc_Design Flow'!$E$3:$EJ$25,MATCH(M16,'Property Calc_Design Flow'!$C$3:$C$24,0),FALSE)</f>
        <v>16.276798713369519</v>
      </c>
    </row>
    <row r="17" spans="1:17" ht="14.5" x14ac:dyDescent="0.35">
      <c r="A17" s="148">
        <f>A16+1</f>
        <v>9</v>
      </c>
      <c r="B17" s="99" t="s">
        <v>288</v>
      </c>
      <c r="C17" s="100" t="s">
        <v>237</v>
      </c>
      <c r="D17" s="138">
        <v>3</v>
      </c>
      <c r="E17" s="138">
        <f>O9</f>
        <v>65</v>
      </c>
      <c r="F17" s="128">
        <v>1</v>
      </c>
      <c r="G17" s="687"/>
      <c r="H17" s="687"/>
      <c r="I17" s="687"/>
      <c r="J17" s="688"/>
      <c r="K17" s="107"/>
      <c r="M17" s="19" t="s">
        <v>22</v>
      </c>
      <c r="N17" s="73" t="s">
        <v>23</v>
      </c>
      <c r="O17" s="73">
        <f>HLOOKUP(O$8,'Property Calc_Design Flow'!$E$3:$EJ$25,MATCH(M17,'Property Calc_Design Flow'!$C$3:$C$24,0),FALSE)</f>
        <v>0.99980339092408044</v>
      </c>
      <c r="P17" s="73">
        <f>HLOOKUP(P$8,'Property Calc_Design Flow'!$E$3:$EJ$25,MATCH(M17,'Property Calc_Design Flow'!$C$3:$C$24,0),FALSE)</f>
        <v>0.99980339092408044</v>
      </c>
      <c r="Q17" s="73">
        <f>HLOOKUP(Q$8,'Property Calc_Design Flow'!$E$3:$EJ$25,MATCH(M17,'Property Calc_Design Flow'!$C$3:$C$24,0),FALSE)</f>
        <v>0.99980339092408033</v>
      </c>
    </row>
    <row r="18" spans="1:17" ht="14.5" x14ac:dyDescent="0.35">
      <c r="A18" s="148">
        <f t="shared" ref="A18:A27" si="0">A17+1</f>
        <v>10</v>
      </c>
      <c r="B18" s="99" t="s">
        <v>0</v>
      </c>
      <c r="C18" s="100" t="s">
        <v>238</v>
      </c>
      <c r="D18" s="138">
        <f>O10</f>
        <v>250</v>
      </c>
      <c r="E18" s="138">
        <f>D18</f>
        <v>250</v>
      </c>
      <c r="F18" s="128">
        <v>70</v>
      </c>
      <c r="G18" s="687"/>
      <c r="H18" s="687"/>
      <c r="I18" s="687"/>
      <c r="J18" s="688"/>
      <c r="K18" s="107"/>
      <c r="M18" s="19" t="s">
        <v>20</v>
      </c>
      <c r="N18" s="73" t="s">
        <v>21</v>
      </c>
      <c r="O18" s="73">
        <f>HLOOKUP(O$8,'Property Calc_Design Flow'!$E$3:$EJ$25,MATCH(M18,'Property Calc_Design Flow'!$C$3:$C$24,0),FALSE)</f>
        <v>0.30481867864576484</v>
      </c>
      <c r="P18" s="73">
        <f>HLOOKUP(P$8,'Property Calc_Design Flow'!$E$3:$EJ$25,MATCH(M18,'Property Calc_Design Flow'!$C$3:$C$24,0),FALSE)</f>
        <v>0.36377649039179055</v>
      </c>
      <c r="Q18" s="73">
        <f>HLOOKUP(Q$8,'Property Calc_Design Flow'!$E$3:$EJ$25,MATCH(M18,'Property Calc_Design Flow'!$C$3:$C$24,0),FALSE)</f>
        <v>0.4883897919502263</v>
      </c>
    </row>
    <row r="19" spans="1:17" ht="14.5" x14ac:dyDescent="0.35">
      <c r="A19" s="148">
        <f t="shared" si="0"/>
        <v>11</v>
      </c>
      <c r="B19" s="99" t="s">
        <v>286</v>
      </c>
      <c r="C19" s="100"/>
      <c r="D19" s="138">
        <f>E19*1.1</f>
        <v>32.041650992994747</v>
      </c>
      <c r="E19" s="138">
        <f>O16</f>
        <v>29.128773629995219</v>
      </c>
      <c r="F19" s="138">
        <f>E19*0.9</f>
        <v>26.215896266995699</v>
      </c>
      <c r="G19" s="687"/>
      <c r="H19" s="687"/>
      <c r="I19" s="687"/>
      <c r="J19" s="688"/>
      <c r="K19" s="107"/>
      <c r="M19" s="139"/>
      <c r="N19" s="140"/>
      <c r="O19" s="73"/>
      <c r="P19" s="73"/>
      <c r="Q19" s="73"/>
    </row>
    <row r="20" spans="1:17" ht="14.5" x14ac:dyDescent="0.35">
      <c r="A20" s="148">
        <f t="shared" si="0"/>
        <v>12</v>
      </c>
      <c r="B20" s="729" t="s">
        <v>287</v>
      </c>
      <c r="C20" s="729"/>
      <c r="D20" s="729"/>
      <c r="E20" s="729"/>
      <c r="F20" s="729"/>
      <c r="G20" s="687"/>
      <c r="H20" s="687"/>
      <c r="I20" s="687"/>
      <c r="J20" s="688"/>
      <c r="K20" s="107"/>
      <c r="M20" s="98" t="s">
        <v>159</v>
      </c>
      <c r="N20" s="125" t="s">
        <v>3</v>
      </c>
      <c r="O20" s="73" t="str">
        <f>HLOOKUP(O$8,'Property Calc_Design Flow'!$E$3:$EJ$25,MATCH(M20,'Property Calc_Design Flow'!$C$3:$C$24,0),FALSE)</f>
        <v/>
      </c>
      <c r="P20" s="73" t="str">
        <f>HLOOKUP(P$8,'Property Calc_Design Flow'!$E$3:$EJ$25,MATCH(M20,'Property Calc_Design Flow'!$C$3:$C$24,0),FALSE)</f>
        <v/>
      </c>
      <c r="Q20" s="73" t="str">
        <f>HLOOKUP(Q$8,'Property Calc_Design Flow'!$E$3:$EJ$25,MATCH(M20,'Property Calc_Design Flow'!$C$3:$C$24,0),FALSE)</f>
        <v/>
      </c>
    </row>
    <row r="21" spans="1:17" ht="15" x14ac:dyDescent="0.4">
      <c r="A21" s="148">
        <f t="shared" si="0"/>
        <v>13</v>
      </c>
      <c r="B21" s="99" t="s">
        <v>240</v>
      </c>
      <c r="C21" s="100" t="s">
        <v>122</v>
      </c>
      <c r="D21" s="728">
        <f>O21</f>
        <v>51.814507662187808</v>
      </c>
      <c r="E21" s="728"/>
      <c r="F21" s="728"/>
      <c r="G21" s="687"/>
      <c r="H21" s="687"/>
      <c r="I21" s="687"/>
      <c r="J21" s="688"/>
      <c r="K21" s="107"/>
      <c r="M21" s="19" t="s">
        <v>7</v>
      </c>
      <c r="N21" s="73" t="s">
        <v>122</v>
      </c>
      <c r="O21" s="73">
        <f>HLOOKUP(O$8,'Property Calc_Design Flow'!$E$3:$EJ$25,MATCH(M21,'Property Calc_Design Flow'!$C$3:$C$24,0),FALSE)</f>
        <v>51.814507662187808</v>
      </c>
      <c r="P21" s="73">
        <f>HLOOKUP(P$8,'Property Calc_Design Flow'!$E$3:$EJ$25,MATCH(M21,'Property Calc_Design Flow'!$C$3:$C$24,0),FALSE)</f>
        <v>51.814507662187808</v>
      </c>
      <c r="Q21" s="73">
        <f>HLOOKUP(Q$8,'Property Calc_Design Flow'!$E$3:$EJ$25,MATCH(M21,'Property Calc_Design Flow'!$C$3:$C$24,0),FALSE)</f>
        <v>98.243929242641002</v>
      </c>
    </row>
    <row r="22" spans="1:17" ht="15" x14ac:dyDescent="0.4">
      <c r="A22" s="148">
        <f t="shared" si="0"/>
        <v>14</v>
      </c>
      <c r="B22" s="99" t="s">
        <v>241</v>
      </c>
      <c r="C22" s="100" t="s">
        <v>122</v>
      </c>
      <c r="D22" s="728">
        <f>O22</f>
        <v>45.435183870509718</v>
      </c>
      <c r="E22" s="728"/>
      <c r="F22" s="728"/>
      <c r="G22" s="687"/>
      <c r="H22" s="687"/>
      <c r="I22" s="687"/>
      <c r="J22" s="688"/>
      <c r="K22" s="107"/>
      <c r="M22" s="19" t="s">
        <v>8</v>
      </c>
      <c r="N22" s="73" t="s">
        <v>122</v>
      </c>
      <c r="O22" s="73">
        <f>HLOOKUP(O$8,'Property Calc_Design Flow'!$E$3:$EJ$25,MATCH(M22,'Property Calc_Design Flow'!$C$3:$C$24,0),FALSE)</f>
        <v>45.435183870509718</v>
      </c>
      <c r="P22" s="73">
        <f>HLOOKUP(P$8,'Property Calc_Design Flow'!$E$3:$EJ$25,MATCH(M22,'Property Calc_Design Flow'!$C$3:$C$24,0),FALSE)</f>
        <v>45.435183870509718</v>
      </c>
      <c r="Q22" s="73">
        <f>HLOOKUP(Q$8,'Property Calc_Design Flow'!$E$3:$EJ$25,MATCH(M22,'Property Calc_Design Flow'!$C$3:$C$24,0),FALSE)</f>
        <v>0.15006586543830169</v>
      </c>
    </row>
    <row r="23" spans="1:17" ht="15" x14ac:dyDescent="0.4">
      <c r="A23" s="148">
        <f t="shared" si="0"/>
        <v>15</v>
      </c>
      <c r="B23" s="99" t="s">
        <v>242</v>
      </c>
      <c r="C23" s="100" t="s">
        <v>122</v>
      </c>
      <c r="D23" s="728">
        <f>O23</f>
        <v>1.2198706937064672</v>
      </c>
      <c r="E23" s="728"/>
      <c r="F23" s="728"/>
      <c r="G23" s="687"/>
      <c r="H23" s="687"/>
      <c r="I23" s="687"/>
      <c r="J23" s="688"/>
      <c r="K23" s="107"/>
      <c r="M23" s="19" t="s">
        <v>9</v>
      </c>
      <c r="N23" s="73" t="s">
        <v>122</v>
      </c>
      <c r="O23" s="73">
        <f>HLOOKUP(O$8,'Property Calc_Design Flow'!$E$3:$EJ$25,MATCH(M23,'Property Calc_Design Flow'!$C$3:$C$24,0),FALSE)</f>
        <v>1.2198706937064672</v>
      </c>
      <c r="P23" s="73">
        <f>HLOOKUP(P$8,'Property Calc_Design Flow'!$E$3:$EJ$25,MATCH(M23,'Property Calc_Design Flow'!$C$3:$C$24,0),FALSE)</f>
        <v>1.2198706937064672</v>
      </c>
      <c r="Q23" s="73">
        <f>HLOOKUP(Q$8,'Property Calc_Design Flow'!$E$3:$EJ$25,MATCH(M23,'Property Calc_Design Flow'!$C$3:$C$24,0),FALSE)</f>
        <v>1.4906542633537971</v>
      </c>
    </row>
    <row r="24" spans="1:17" ht="15" x14ac:dyDescent="0.4">
      <c r="A24" s="148">
        <f t="shared" si="0"/>
        <v>16</v>
      </c>
      <c r="B24" s="99" t="s">
        <v>243</v>
      </c>
      <c r="C24" s="100" t="s">
        <v>122</v>
      </c>
      <c r="D24" s="728">
        <f>'HMB_Design Case'!E22</f>
        <v>0.45996596229800635</v>
      </c>
      <c r="E24" s="728"/>
      <c r="F24" s="728"/>
      <c r="G24" s="687"/>
      <c r="H24" s="687"/>
      <c r="I24" s="687"/>
      <c r="J24" s="688"/>
      <c r="K24" s="107"/>
      <c r="M24" s="19" t="s">
        <v>10</v>
      </c>
      <c r="N24" s="73" t="s">
        <v>122</v>
      </c>
      <c r="O24" s="73">
        <f>HLOOKUP(O$8,'Property Calc_Design Flow'!$E$3:$EJ$25,MATCH(M24,'Property Calc_Design Flow'!$C$3:$C$24,0),FALSE)</f>
        <v>1.4598452564028215</v>
      </c>
      <c r="P24" s="73">
        <f>HLOOKUP(P$8,'Property Calc_Design Flow'!$E$3:$EJ$25,MATCH(M24,'Property Calc_Design Flow'!$C$3:$C$24,0),FALSE)</f>
        <v>1.4598452564028215</v>
      </c>
      <c r="Q24" s="73">
        <f>HLOOKUP(Q$8,'Property Calc_Design Flow'!$E$3:$EJ$25,MATCH(M24,'Property Calc_Design Flow'!$C$3:$C$24,0),FALSE)</f>
        <v>0.10004391029220111</v>
      </c>
    </row>
    <row r="25" spans="1:17" ht="15" x14ac:dyDescent="0.4">
      <c r="A25" s="148">
        <f t="shared" si="0"/>
        <v>17</v>
      </c>
      <c r="B25" s="99" t="s">
        <v>244</v>
      </c>
      <c r="C25" s="100" t="s">
        <v>239</v>
      </c>
      <c r="D25" s="728">
        <f>'HMB_Design Case'!E23*10^4</f>
        <v>4.0001839844650604</v>
      </c>
      <c r="E25" s="728"/>
      <c r="F25" s="728"/>
      <c r="G25" s="687"/>
      <c r="H25" s="687"/>
      <c r="I25" s="687"/>
      <c r="J25" s="688"/>
      <c r="K25" s="107"/>
      <c r="M25" s="19" t="s">
        <v>11</v>
      </c>
      <c r="N25" s="73" t="s">
        <v>122</v>
      </c>
      <c r="O25" s="73">
        <f>HLOOKUP(O$8,'Property Calc_Design Flow'!$E$3:$EJ$25,MATCH(M25,'Property Calc_Design Flow'!$C$3:$C$24,0),FALSE)</f>
        <v>5.9993640674088546E-4</v>
      </c>
      <c r="P25" s="73">
        <f>HLOOKUP(P$8,'Property Calc_Design Flow'!$E$3:$EJ$25,MATCH(M25,'Property Calc_Design Flow'!$C$3:$C$24,0),FALSE)</f>
        <v>5.9993640674088546E-4</v>
      </c>
      <c r="Q25" s="73">
        <f>HLOOKUP(Q$8,'Property Calc_Design Flow'!$E$3:$EJ$25,MATCH(M25,'Property Calc_Design Flow'!$C$3:$C$24,0),FALSE)</f>
        <v>4.0017564116880447E-4</v>
      </c>
    </row>
    <row r="26" spans="1:17" ht="15" x14ac:dyDescent="0.4">
      <c r="A26" s="148">
        <f t="shared" si="0"/>
        <v>18</v>
      </c>
      <c r="B26" s="99" t="s">
        <v>245</v>
      </c>
      <c r="C26" s="100" t="s">
        <v>122</v>
      </c>
      <c r="D26" s="728">
        <f>'HMB_Design Case'!E24</f>
        <v>0.12699060263444958</v>
      </c>
      <c r="E26" s="728"/>
      <c r="F26" s="728"/>
      <c r="G26" s="687"/>
      <c r="H26" s="687"/>
      <c r="I26" s="687"/>
      <c r="J26" s="688"/>
      <c r="K26" s="107"/>
      <c r="M26" s="19" t="s">
        <v>12</v>
      </c>
      <c r="N26" s="73" t="s">
        <v>122</v>
      </c>
      <c r="O26" s="73">
        <f>HLOOKUP(O$8,'Property Calc_Design Flow'!$E$3:$EJ$25,MATCH(M26,'Property Calc_Design Flow'!$C$3:$C$24,0),FALSE)</f>
        <v>6.9992580786436623E-2</v>
      </c>
      <c r="P26" s="73">
        <f>HLOOKUP(P$8,'Property Calc_Design Flow'!$E$3:$EJ$25,MATCH(M26,'Property Calc_Design Flow'!$C$3:$C$24,0),FALSE)</f>
        <v>6.9992580786436623E-2</v>
      </c>
      <c r="Q26" s="73">
        <f>HLOOKUP(Q$8,'Property Calc_Design Flow'!$E$3:$EJ$25,MATCH(M26,'Property Calc_Design Flow'!$C$3:$C$24,0),FALSE)</f>
        <v>1.4906542633537967E-2</v>
      </c>
    </row>
    <row r="27" spans="1:17" ht="15" thickBot="1" x14ac:dyDescent="0.4">
      <c r="A27" s="148">
        <f t="shared" si="0"/>
        <v>19</v>
      </c>
      <c r="B27" s="101" t="s">
        <v>216</v>
      </c>
      <c r="C27" s="130" t="s">
        <v>239</v>
      </c>
      <c r="D27" s="730" t="s">
        <v>217</v>
      </c>
      <c r="E27" s="730"/>
      <c r="F27" s="730"/>
      <c r="G27" s="689"/>
      <c r="H27" s="689"/>
      <c r="I27" s="689"/>
      <c r="J27" s="690"/>
      <c r="K27" s="107"/>
      <c r="M27" s="19" t="s">
        <v>32</v>
      </c>
      <c r="N27" s="73" t="s">
        <v>122</v>
      </c>
      <c r="O27" s="73">
        <f>HLOOKUP(O$8,'Property Calc_Design Flow'!$E$3:$EJ$25,MATCH(M27,'Property Calc_Design Flow'!$C$3:$C$24,0),FALSE)</f>
        <v>0</v>
      </c>
      <c r="P27" s="73">
        <f>HLOOKUP(P$8,'Property Calc_Design Flow'!$E$3:$EJ$25,MATCH(M27,'Property Calc_Design Flow'!$C$3:$C$24,0),FALSE)</f>
        <v>0</v>
      </c>
      <c r="Q27" s="73">
        <f>HLOOKUP(Q$8,'Property Calc_Design Flow'!$E$3:$EJ$25,MATCH(M27,'Property Calc_Design Flow'!$C$3:$C$24,0),FALSE)</f>
        <v>0</v>
      </c>
    </row>
    <row r="28" spans="1:17" ht="13.5" thickBot="1" x14ac:dyDescent="0.35">
      <c r="A28" s="707" t="s">
        <v>283</v>
      </c>
      <c r="B28" s="708"/>
      <c r="C28" s="708"/>
      <c r="D28" s="708"/>
      <c r="E28" s="708"/>
      <c r="F28" s="708"/>
      <c r="G28" s="708"/>
      <c r="H28" s="708"/>
      <c r="I28" s="708"/>
      <c r="J28" s="709"/>
      <c r="K28" s="109"/>
    </row>
    <row r="29" spans="1:17" x14ac:dyDescent="0.3">
      <c r="A29" s="147">
        <f>A27+1</f>
        <v>20</v>
      </c>
      <c r="B29" s="106" t="s">
        <v>248</v>
      </c>
      <c r="C29" s="126" t="s">
        <v>222</v>
      </c>
      <c r="D29" s="126" t="s">
        <v>215</v>
      </c>
      <c r="E29" s="126" t="s">
        <v>218</v>
      </c>
      <c r="F29" s="126" t="s">
        <v>214</v>
      </c>
      <c r="G29" s="710" t="s">
        <v>247</v>
      </c>
      <c r="H29" s="710"/>
      <c r="I29" s="710"/>
      <c r="J29" s="711"/>
      <c r="K29" s="107"/>
    </row>
    <row r="30" spans="1:17" x14ac:dyDescent="0.3">
      <c r="A30" s="148">
        <f>A29+1</f>
        <v>21</v>
      </c>
      <c r="B30" s="99" t="s">
        <v>289</v>
      </c>
      <c r="C30" s="100" t="s">
        <v>237</v>
      </c>
      <c r="D30" s="127">
        <v>225</v>
      </c>
      <c r="E30" s="127">
        <f>P9</f>
        <v>63</v>
      </c>
      <c r="F30" s="100">
        <v>200</v>
      </c>
      <c r="G30" s="687" t="s">
        <v>576</v>
      </c>
      <c r="H30" s="687"/>
      <c r="I30" s="687"/>
      <c r="J30" s="688"/>
      <c r="K30" s="107"/>
    </row>
    <row r="31" spans="1:17" x14ac:dyDescent="0.3">
      <c r="A31" s="148">
        <f t="shared" ref="A31:A32" si="1">A30+1</f>
        <v>22</v>
      </c>
      <c r="B31" s="99" t="s">
        <v>396</v>
      </c>
      <c r="C31" s="100" t="s">
        <v>238</v>
      </c>
      <c r="D31" s="138">
        <f>E31</f>
        <v>120</v>
      </c>
      <c r="E31" s="138">
        <f>P10</f>
        <v>120</v>
      </c>
      <c r="F31" s="138">
        <f>E31</f>
        <v>120</v>
      </c>
      <c r="G31" s="687"/>
      <c r="H31" s="687"/>
      <c r="I31" s="687"/>
      <c r="J31" s="688"/>
      <c r="K31" s="107"/>
    </row>
    <row r="32" spans="1:17" x14ac:dyDescent="0.3">
      <c r="A32" s="148">
        <f t="shared" si="1"/>
        <v>23</v>
      </c>
      <c r="B32" s="99" t="s">
        <v>397</v>
      </c>
      <c r="C32" s="100" t="s">
        <v>238</v>
      </c>
      <c r="D32" s="138">
        <f>E32</f>
        <v>51.7</v>
      </c>
      <c r="E32" s="138">
        <f>Q10</f>
        <v>51.7</v>
      </c>
      <c r="F32" s="138">
        <f>E32</f>
        <v>51.7</v>
      </c>
      <c r="G32" s="687"/>
      <c r="H32" s="687"/>
      <c r="I32" s="687"/>
      <c r="J32" s="688"/>
      <c r="K32" s="107"/>
    </row>
    <row r="33" spans="1:11" x14ac:dyDescent="0.3">
      <c r="A33" s="148">
        <f>A32+1</f>
        <v>24</v>
      </c>
      <c r="B33" s="99" t="s">
        <v>291</v>
      </c>
      <c r="C33" s="100"/>
      <c r="D33" s="128" t="s">
        <v>246</v>
      </c>
      <c r="E33" s="128" t="s">
        <v>246</v>
      </c>
      <c r="F33" s="128" t="s">
        <v>246</v>
      </c>
      <c r="G33" s="687"/>
      <c r="H33" s="687"/>
      <c r="I33" s="687"/>
      <c r="J33" s="688"/>
      <c r="K33" s="107"/>
    </row>
    <row r="34" spans="1:11" x14ac:dyDescent="0.3">
      <c r="A34" s="148">
        <f t="shared" ref="A34:A41" si="2">A33+1</f>
        <v>25</v>
      </c>
      <c r="B34" s="99" t="s">
        <v>292</v>
      </c>
      <c r="C34" s="100"/>
      <c r="D34" s="128" t="s">
        <v>246</v>
      </c>
      <c r="E34" s="128" t="s">
        <v>246</v>
      </c>
      <c r="F34" s="128" t="s">
        <v>246</v>
      </c>
      <c r="G34" s="687"/>
      <c r="H34" s="687"/>
      <c r="I34" s="687"/>
      <c r="J34" s="688"/>
      <c r="K34" s="107"/>
    </row>
    <row r="35" spans="1:11" x14ac:dyDescent="0.3">
      <c r="A35" s="148">
        <f t="shared" si="2"/>
        <v>26</v>
      </c>
      <c r="B35" s="99" t="s">
        <v>293</v>
      </c>
      <c r="C35" s="100" t="s">
        <v>238</v>
      </c>
      <c r="D35" s="128" t="s">
        <v>246</v>
      </c>
      <c r="E35" s="128" t="s">
        <v>246</v>
      </c>
      <c r="F35" s="128" t="s">
        <v>246</v>
      </c>
      <c r="G35" s="687"/>
      <c r="H35" s="687"/>
      <c r="I35" s="687"/>
      <c r="J35" s="688"/>
      <c r="K35" s="107"/>
    </row>
    <row r="36" spans="1:11" x14ac:dyDescent="0.3">
      <c r="A36" s="148">
        <f t="shared" si="2"/>
        <v>27</v>
      </c>
      <c r="B36" s="99" t="s">
        <v>342</v>
      </c>
      <c r="C36" s="100" t="s">
        <v>123</v>
      </c>
      <c r="D36" s="728" t="s">
        <v>295</v>
      </c>
      <c r="E36" s="728"/>
      <c r="F36" s="728"/>
      <c r="G36" s="687"/>
      <c r="H36" s="687"/>
      <c r="I36" s="687"/>
      <c r="J36" s="688"/>
      <c r="K36" s="107"/>
    </row>
    <row r="37" spans="1:11" x14ac:dyDescent="0.3">
      <c r="A37" s="148">
        <f t="shared" si="2"/>
        <v>28</v>
      </c>
      <c r="B37" s="99" t="s">
        <v>296</v>
      </c>
      <c r="C37" s="100" t="s">
        <v>297</v>
      </c>
      <c r="D37" s="728" t="s">
        <v>246</v>
      </c>
      <c r="E37" s="728"/>
      <c r="F37" s="728"/>
      <c r="G37" s="687"/>
      <c r="H37" s="687"/>
      <c r="I37" s="687"/>
      <c r="J37" s="688"/>
      <c r="K37" s="107"/>
    </row>
    <row r="38" spans="1:11" ht="15" customHeight="1" x14ac:dyDescent="0.3">
      <c r="A38" s="148">
        <f t="shared" si="2"/>
        <v>29</v>
      </c>
      <c r="B38" s="99" t="s">
        <v>298</v>
      </c>
      <c r="C38" s="100" t="s">
        <v>299</v>
      </c>
      <c r="D38" s="128" t="s">
        <v>246</v>
      </c>
      <c r="E38" s="128" t="s">
        <v>246</v>
      </c>
      <c r="F38" s="128" t="s">
        <v>246</v>
      </c>
      <c r="G38" s="687"/>
      <c r="H38" s="687"/>
      <c r="I38" s="687"/>
      <c r="J38" s="688"/>
      <c r="K38" s="107"/>
    </row>
    <row r="39" spans="1:11" x14ac:dyDescent="0.3">
      <c r="A39" s="148">
        <f t="shared" si="2"/>
        <v>30</v>
      </c>
      <c r="B39" s="99" t="s">
        <v>300</v>
      </c>
      <c r="C39" s="100" t="s">
        <v>301</v>
      </c>
      <c r="D39" s="128" t="s">
        <v>246</v>
      </c>
      <c r="E39" s="128" t="s">
        <v>246</v>
      </c>
      <c r="F39" s="128" t="s">
        <v>246</v>
      </c>
      <c r="G39" s="687"/>
      <c r="H39" s="687"/>
      <c r="I39" s="687"/>
      <c r="J39" s="688"/>
      <c r="K39" s="107"/>
    </row>
    <row r="40" spans="1:11" x14ac:dyDescent="0.3">
      <c r="A40" s="148">
        <f t="shared" si="2"/>
        <v>31</v>
      </c>
      <c r="B40" s="141" t="s">
        <v>302</v>
      </c>
      <c r="C40" s="142" t="s">
        <v>149</v>
      </c>
      <c r="D40" s="128" t="s">
        <v>246</v>
      </c>
      <c r="E40" s="128" t="s">
        <v>246</v>
      </c>
      <c r="F40" s="128" t="s">
        <v>246</v>
      </c>
      <c r="G40" s="726"/>
      <c r="H40" s="726"/>
      <c r="I40" s="726"/>
      <c r="J40" s="727"/>
      <c r="K40" s="107"/>
    </row>
    <row r="41" spans="1:11" ht="13.5" thickBot="1" x14ac:dyDescent="0.35">
      <c r="A41" s="148">
        <f t="shared" si="2"/>
        <v>32</v>
      </c>
      <c r="B41" s="141" t="s">
        <v>366</v>
      </c>
      <c r="C41" s="142"/>
      <c r="D41" s="128" t="s">
        <v>246</v>
      </c>
      <c r="E41" s="128" t="s">
        <v>246</v>
      </c>
      <c r="F41" s="128" t="s">
        <v>246</v>
      </c>
      <c r="G41" s="726"/>
      <c r="H41" s="726"/>
      <c r="I41" s="726"/>
      <c r="J41" s="727"/>
      <c r="K41" s="107"/>
    </row>
    <row r="42" spans="1:11" ht="13.5" thickBot="1" x14ac:dyDescent="0.35">
      <c r="A42" s="707" t="s">
        <v>304</v>
      </c>
      <c r="B42" s="708"/>
      <c r="C42" s="708"/>
      <c r="D42" s="708"/>
      <c r="E42" s="708"/>
      <c r="F42" s="708"/>
      <c r="G42" s="708"/>
      <c r="H42" s="708"/>
      <c r="I42" s="708"/>
      <c r="J42" s="709"/>
      <c r="K42" s="107"/>
    </row>
    <row r="43" spans="1:11" x14ac:dyDescent="0.3">
      <c r="A43" s="147">
        <f>A41+1</f>
        <v>33</v>
      </c>
      <c r="B43" s="106" t="s">
        <v>248</v>
      </c>
      <c r="C43" s="126" t="s">
        <v>222</v>
      </c>
      <c r="D43" s="126" t="s">
        <v>215</v>
      </c>
      <c r="E43" s="126" t="s">
        <v>218</v>
      </c>
      <c r="F43" s="126" t="s">
        <v>214</v>
      </c>
      <c r="G43" s="710" t="s">
        <v>247</v>
      </c>
      <c r="H43" s="710"/>
      <c r="I43" s="710"/>
      <c r="J43" s="711"/>
      <c r="K43" s="107"/>
    </row>
    <row r="44" spans="1:11" x14ac:dyDescent="0.3">
      <c r="A44" s="148">
        <f>A43+1</f>
        <v>34</v>
      </c>
      <c r="B44" s="129" t="s">
        <v>305</v>
      </c>
      <c r="C44" s="100" t="s">
        <v>330</v>
      </c>
      <c r="D44" s="704" t="s">
        <v>262</v>
      </c>
      <c r="E44" s="705"/>
      <c r="F44" s="706"/>
      <c r="G44" s="687"/>
      <c r="H44" s="687"/>
      <c r="I44" s="687"/>
      <c r="J44" s="688"/>
      <c r="K44" s="107"/>
    </row>
    <row r="45" spans="1:11" x14ac:dyDescent="0.3">
      <c r="A45" s="148">
        <f>A44+1</f>
        <v>35</v>
      </c>
      <c r="B45" s="129" t="s">
        <v>362</v>
      </c>
      <c r="C45" s="100" t="s">
        <v>330</v>
      </c>
      <c r="D45" s="704" t="s">
        <v>262</v>
      </c>
      <c r="E45" s="705"/>
      <c r="F45" s="706"/>
      <c r="G45" s="687"/>
      <c r="H45" s="687"/>
      <c r="I45" s="687"/>
      <c r="J45" s="688"/>
      <c r="K45" s="107"/>
    </row>
    <row r="46" spans="1:11" x14ac:dyDescent="0.3">
      <c r="A46" s="148">
        <f>A45+1</f>
        <v>36</v>
      </c>
      <c r="B46" s="99" t="s">
        <v>306</v>
      </c>
      <c r="C46" s="100"/>
      <c r="D46" s="128" t="s">
        <v>307</v>
      </c>
      <c r="E46" s="128" t="s">
        <v>308</v>
      </c>
      <c r="F46" s="128" t="s">
        <v>309</v>
      </c>
      <c r="G46" s="687"/>
      <c r="H46" s="687"/>
      <c r="I46" s="687"/>
      <c r="J46" s="688"/>
      <c r="K46" s="107"/>
    </row>
    <row r="47" spans="1:11" x14ac:dyDescent="0.3">
      <c r="A47" s="148">
        <f t="shared" ref="A47:A48" si="3">A46+1</f>
        <v>37</v>
      </c>
      <c r="B47" s="99" t="s">
        <v>310</v>
      </c>
      <c r="C47" s="100" t="s">
        <v>330</v>
      </c>
      <c r="D47" s="704" t="s">
        <v>262</v>
      </c>
      <c r="E47" s="705"/>
      <c r="F47" s="706"/>
      <c r="G47" s="687"/>
      <c r="H47" s="687"/>
      <c r="I47" s="687"/>
      <c r="J47" s="688"/>
      <c r="K47" s="107"/>
    </row>
    <row r="48" spans="1:11" ht="13.5" thickBot="1" x14ac:dyDescent="0.35">
      <c r="A48" s="148">
        <f t="shared" si="3"/>
        <v>38</v>
      </c>
      <c r="B48" s="99" t="s">
        <v>311</v>
      </c>
      <c r="C48" s="100"/>
      <c r="D48" s="128" t="s">
        <v>246</v>
      </c>
      <c r="E48" s="128" t="s">
        <v>308</v>
      </c>
      <c r="F48" s="128" t="s">
        <v>246</v>
      </c>
      <c r="G48" s="687"/>
      <c r="H48" s="687"/>
      <c r="I48" s="687"/>
      <c r="J48" s="688"/>
      <c r="K48" s="107"/>
    </row>
    <row r="49" spans="1:11" ht="13.5" thickBot="1" x14ac:dyDescent="0.35">
      <c r="A49" s="707" t="s">
        <v>312</v>
      </c>
      <c r="B49" s="708"/>
      <c r="C49" s="708"/>
      <c r="D49" s="708"/>
      <c r="E49" s="708"/>
      <c r="F49" s="708"/>
      <c r="G49" s="708"/>
      <c r="H49" s="708"/>
      <c r="I49" s="708"/>
      <c r="J49" s="709"/>
      <c r="K49" s="107"/>
    </row>
    <row r="50" spans="1:11" x14ac:dyDescent="0.3">
      <c r="A50" s="147">
        <f>A48+1</f>
        <v>39</v>
      </c>
      <c r="B50" s="106" t="s">
        <v>248</v>
      </c>
      <c r="C50" s="126" t="s">
        <v>222</v>
      </c>
      <c r="D50" s="126" t="s">
        <v>215</v>
      </c>
      <c r="E50" s="126" t="s">
        <v>218</v>
      </c>
      <c r="F50" s="126" t="s">
        <v>214</v>
      </c>
      <c r="G50" s="710" t="s">
        <v>247</v>
      </c>
      <c r="H50" s="710"/>
      <c r="I50" s="710"/>
      <c r="J50" s="711"/>
      <c r="K50" s="107"/>
    </row>
    <row r="51" spans="1:11" ht="14.5" customHeight="1" x14ac:dyDescent="0.3">
      <c r="A51" s="148">
        <f>A50+1</f>
        <v>40</v>
      </c>
      <c r="B51" s="129" t="s">
        <v>266</v>
      </c>
      <c r="C51" s="100" t="s">
        <v>5</v>
      </c>
      <c r="D51" s="127">
        <v>150</v>
      </c>
      <c r="E51" s="127">
        <v>100</v>
      </c>
      <c r="F51" s="127">
        <v>80</v>
      </c>
      <c r="G51" s="687" t="s">
        <v>399</v>
      </c>
      <c r="H51" s="687"/>
      <c r="I51" s="687"/>
      <c r="J51" s="688"/>
      <c r="K51" s="107"/>
    </row>
    <row r="52" spans="1:11" ht="14.5" customHeight="1" x14ac:dyDescent="0.3">
      <c r="A52" s="148">
        <f t="shared" ref="A52:A55" si="4">A51+1</f>
        <v>41</v>
      </c>
      <c r="B52" s="129" t="s">
        <v>267</v>
      </c>
      <c r="C52" s="100" t="s">
        <v>238</v>
      </c>
      <c r="D52" s="127">
        <v>150</v>
      </c>
      <c r="E52" s="127">
        <v>100</v>
      </c>
      <c r="F52" s="100">
        <v>60</v>
      </c>
      <c r="G52" s="687"/>
      <c r="H52" s="687"/>
      <c r="I52" s="687"/>
      <c r="J52" s="688"/>
      <c r="K52" s="107"/>
    </row>
    <row r="53" spans="1:11" ht="14.5" customHeight="1" x14ac:dyDescent="0.3">
      <c r="A53" s="148">
        <f t="shared" si="4"/>
        <v>42</v>
      </c>
      <c r="B53" s="129" t="s">
        <v>322</v>
      </c>
      <c r="C53" s="100" t="s">
        <v>5</v>
      </c>
      <c r="D53" s="127">
        <v>200</v>
      </c>
      <c r="E53" s="127">
        <v>100</v>
      </c>
      <c r="F53" s="127">
        <v>60</v>
      </c>
      <c r="G53" s="687"/>
      <c r="H53" s="687"/>
      <c r="I53" s="687"/>
      <c r="J53" s="688"/>
      <c r="K53" s="107"/>
    </row>
    <row r="54" spans="1:11" ht="14.5" customHeight="1" x14ac:dyDescent="0.3">
      <c r="A54" s="148">
        <f t="shared" si="4"/>
        <v>43</v>
      </c>
      <c r="B54" s="129" t="s">
        <v>323</v>
      </c>
      <c r="C54" s="100" t="s">
        <v>238</v>
      </c>
      <c r="D54" s="127">
        <v>35</v>
      </c>
      <c r="E54" s="127">
        <v>30</v>
      </c>
      <c r="F54" s="127">
        <v>30</v>
      </c>
      <c r="G54" s="687"/>
      <c r="H54" s="687"/>
      <c r="I54" s="687"/>
      <c r="J54" s="688"/>
      <c r="K54" s="107"/>
    </row>
    <row r="55" spans="1:11" ht="14.5" customHeight="1" thickBot="1" x14ac:dyDescent="0.35">
      <c r="A55" s="150">
        <f t="shared" si="4"/>
        <v>44</v>
      </c>
      <c r="B55" s="131" t="s">
        <v>400</v>
      </c>
      <c r="C55" s="130" t="s">
        <v>238</v>
      </c>
      <c r="D55" s="112">
        <v>45</v>
      </c>
      <c r="E55" s="112">
        <v>40</v>
      </c>
      <c r="F55" s="112">
        <v>40</v>
      </c>
      <c r="G55" s="689"/>
      <c r="H55" s="689"/>
      <c r="I55" s="689"/>
      <c r="J55" s="690"/>
      <c r="K55" s="107"/>
    </row>
    <row r="56" spans="1:11" ht="15" customHeight="1" thickBot="1" x14ac:dyDescent="0.35">
      <c r="A56" s="707" t="s">
        <v>313</v>
      </c>
      <c r="B56" s="708"/>
      <c r="C56" s="708"/>
      <c r="D56" s="708"/>
      <c r="E56" s="708"/>
      <c r="F56" s="708"/>
      <c r="G56" s="708"/>
      <c r="H56" s="708"/>
      <c r="I56" s="708"/>
      <c r="J56" s="709"/>
      <c r="K56" s="107"/>
    </row>
    <row r="57" spans="1:11" x14ac:dyDescent="0.3">
      <c r="A57" s="147">
        <f>A55+1</f>
        <v>45</v>
      </c>
      <c r="B57" s="106" t="s">
        <v>248</v>
      </c>
      <c r="C57" s="126" t="s">
        <v>222</v>
      </c>
      <c r="D57" s="710" t="s">
        <v>251</v>
      </c>
      <c r="E57" s="710"/>
      <c r="F57" s="710"/>
      <c r="G57" s="710" t="s">
        <v>247</v>
      </c>
      <c r="H57" s="710"/>
      <c r="I57" s="710"/>
      <c r="J57" s="711"/>
      <c r="K57" s="107"/>
    </row>
    <row r="58" spans="1:11" x14ac:dyDescent="0.3">
      <c r="A58" s="148">
        <f>A57+1</f>
        <v>46</v>
      </c>
      <c r="B58" s="129" t="s">
        <v>315</v>
      </c>
      <c r="C58" s="100" t="s">
        <v>5</v>
      </c>
      <c r="D58" s="431">
        <v>250</v>
      </c>
      <c r="E58" s="431"/>
      <c r="F58" s="431"/>
      <c r="G58" s="687" t="s">
        <v>402</v>
      </c>
      <c r="H58" s="687"/>
      <c r="I58" s="687"/>
      <c r="J58" s="688"/>
      <c r="K58" s="107"/>
    </row>
    <row r="59" spans="1:11" x14ac:dyDescent="0.3">
      <c r="A59" s="148">
        <f t="shared" ref="A59:A62" si="5">A58+1</f>
        <v>47</v>
      </c>
      <c r="B59" s="129" t="s">
        <v>401</v>
      </c>
      <c r="C59" s="100" t="s">
        <v>238</v>
      </c>
      <c r="D59" s="431" t="s">
        <v>246</v>
      </c>
      <c r="E59" s="431"/>
      <c r="F59" s="431"/>
      <c r="G59" s="687"/>
      <c r="H59" s="687"/>
      <c r="I59" s="687"/>
      <c r="J59" s="688"/>
      <c r="K59" s="107"/>
    </row>
    <row r="60" spans="1:11" x14ac:dyDescent="0.3">
      <c r="A60" s="148">
        <f t="shared" si="5"/>
        <v>48</v>
      </c>
      <c r="B60" s="99" t="s">
        <v>249</v>
      </c>
      <c r="C60" s="100"/>
      <c r="D60" s="431" t="s">
        <v>250</v>
      </c>
      <c r="E60" s="431"/>
      <c r="F60" s="431"/>
      <c r="G60" s="687"/>
      <c r="H60" s="687"/>
      <c r="I60" s="687"/>
      <c r="J60" s="688"/>
      <c r="K60" s="107"/>
    </row>
    <row r="61" spans="1:11" x14ac:dyDescent="0.3">
      <c r="A61" s="148">
        <f t="shared" si="5"/>
        <v>49</v>
      </c>
      <c r="B61" s="99" t="s">
        <v>403</v>
      </c>
      <c r="C61" s="100"/>
      <c r="D61" s="593" t="s">
        <v>246</v>
      </c>
      <c r="E61" s="593"/>
      <c r="F61" s="593"/>
      <c r="G61" s="687"/>
      <c r="H61" s="687"/>
      <c r="I61" s="687"/>
      <c r="J61" s="688"/>
      <c r="K61" s="107"/>
    </row>
    <row r="62" spans="1:11" ht="13.5" thickBot="1" x14ac:dyDescent="0.35">
      <c r="A62" s="148">
        <f t="shared" si="5"/>
        <v>50</v>
      </c>
      <c r="B62" s="101" t="s">
        <v>254</v>
      </c>
      <c r="C62" s="130"/>
      <c r="D62" s="725" t="s">
        <v>213</v>
      </c>
      <c r="E62" s="725"/>
      <c r="F62" s="725"/>
      <c r="G62" s="689"/>
      <c r="H62" s="689"/>
      <c r="I62" s="689"/>
      <c r="J62" s="690"/>
      <c r="K62" s="107"/>
    </row>
    <row r="63" spans="1:11" ht="13.5" thickBot="1" x14ac:dyDescent="0.35">
      <c r="A63" s="707" t="s">
        <v>253</v>
      </c>
      <c r="B63" s="708"/>
      <c r="C63" s="708"/>
      <c r="D63" s="708"/>
      <c r="E63" s="708"/>
      <c r="F63" s="708"/>
      <c r="G63" s="708"/>
      <c r="H63" s="708"/>
      <c r="I63" s="708"/>
      <c r="J63" s="709"/>
      <c r="K63" s="107"/>
    </row>
    <row r="64" spans="1:11" x14ac:dyDescent="0.3">
      <c r="A64" s="147">
        <f>A62+1</f>
        <v>51</v>
      </c>
      <c r="B64" s="106" t="s">
        <v>248</v>
      </c>
      <c r="C64" s="126" t="s">
        <v>222</v>
      </c>
      <c r="D64" s="710" t="s">
        <v>251</v>
      </c>
      <c r="E64" s="710"/>
      <c r="F64" s="710"/>
      <c r="G64" s="710" t="s">
        <v>247</v>
      </c>
      <c r="H64" s="710"/>
      <c r="I64" s="710"/>
      <c r="J64" s="711"/>
      <c r="K64" s="107"/>
    </row>
    <row r="65" spans="1:11" x14ac:dyDescent="0.3">
      <c r="A65" s="148">
        <f>A64+1</f>
        <v>52</v>
      </c>
      <c r="B65" s="129" t="s">
        <v>256</v>
      </c>
      <c r="C65" s="100" t="s">
        <v>63</v>
      </c>
      <c r="D65" s="431">
        <f>'AL Datasheet'!D77</f>
        <v>0</v>
      </c>
      <c r="E65" s="431"/>
      <c r="F65" s="431"/>
      <c r="G65" s="687" t="s">
        <v>404</v>
      </c>
      <c r="H65" s="687"/>
      <c r="I65" s="687"/>
      <c r="J65" s="688"/>
      <c r="K65" s="107"/>
    </row>
    <row r="66" spans="1:11" x14ac:dyDescent="0.3">
      <c r="A66" s="148">
        <f t="shared" ref="A66:A69" si="6">A65+1</f>
        <v>53</v>
      </c>
      <c r="B66" s="129" t="s">
        <v>257</v>
      </c>
      <c r="C66" s="100" t="s">
        <v>238</v>
      </c>
      <c r="D66" s="431" t="str">
        <f>'AL Datasheet'!D78</f>
        <v>Maximum</v>
      </c>
      <c r="E66" s="431"/>
      <c r="F66" s="431"/>
      <c r="G66" s="687"/>
      <c r="H66" s="687"/>
      <c r="I66" s="687"/>
      <c r="J66" s="688"/>
      <c r="K66" s="107"/>
    </row>
    <row r="67" spans="1:11" x14ac:dyDescent="0.3">
      <c r="A67" s="148">
        <f t="shared" si="6"/>
        <v>54</v>
      </c>
      <c r="B67" s="99" t="s">
        <v>258</v>
      </c>
      <c r="C67" s="100" t="s">
        <v>238</v>
      </c>
      <c r="D67" s="431">
        <f>'AL Datasheet'!D79</f>
        <v>120</v>
      </c>
      <c r="E67" s="431"/>
      <c r="F67" s="431"/>
      <c r="G67" s="687"/>
      <c r="H67" s="687"/>
      <c r="I67" s="687"/>
      <c r="J67" s="688"/>
      <c r="K67" s="107"/>
    </row>
    <row r="68" spans="1:11" x14ac:dyDescent="0.3">
      <c r="A68" s="148">
        <f t="shared" si="6"/>
        <v>55</v>
      </c>
      <c r="B68" s="99" t="s">
        <v>259</v>
      </c>
      <c r="C68" s="100"/>
      <c r="D68" s="593" t="s">
        <v>255</v>
      </c>
      <c r="E68" s="593"/>
      <c r="F68" s="593"/>
      <c r="G68" s="687"/>
      <c r="H68" s="687"/>
      <c r="I68" s="687"/>
      <c r="J68" s="688"/>
      <c r="K68" s="107"/>
    </row>
    <row r="69" spans="1:11" ht="13.5" thickBot="1" x14ac:dyDescent="0.35">
      <c r="A69" s="148">
        <f t="shared" si="6"/>
        <v>56</v>
      </c>
      <c r="B69" s="101" t="s">
        <v>260</v>
      </c>
      <c r="C69" s="130" t="s">
        <v>122</v>
      </c>
      <c r="D69" s="721" t="s">
        <v>335</v>
      </c>
      <c r="E69" s="721"/>
      <c r="F69" s="721"/>
      <c r="G69" s="689"/>
      <c r="H69" s="689"/>
      <c r="I69" s="689"/>
      <c r="J69" s="690"/>
      <c r="K69" s="107"/>
    </row>
    <row r="70" spans="1:11" ht="13.5" thickBot="1" x14ac:dyDescent="0.35">
      <c r="A70" s="707" t="s">
        <v>261</v>
      </c>
      <c r="B70" s="708"/>
      <c r="C70" s="708"/>
      <c r="D70" s="708"/>
      <c r="E70" s="708"/>
      <c r="F70" s="708"/>
      <c r="G70" s="708"/>
      <c r="H70" s="708"/>
      <c r="I70" s="708"/>
      <c r="J70" s="709"/>
      <c r="K70" s="107"/>
    </row>
    <row r="71" spans="1:11" x14ac:dyDescent="0.3">
      <c r="A71" s="147">
        <f>A69+1</f>
        <v>57</v>
      </c>
      <c r="B71" s="106" t="s">
        <v>248</v>
      </c>
      <c r="C71" s="126" t="s">
        <v>222</v>
      </c>
      <c r="D71" s="126" t="s">
        <v>262</v>
      </c>
      <c r="E71" s="126" t="s">
        <v>263</v>
      </c>
      <c r="F71" s="710" t="s">
        <v>247</v>
      </c>
      <c r="G71" s="710"/>
      <c r="H71" s="710"/>
      <c r="I71" s="710"/>
      <c r="J71" s="711"/>
      <c r="K71" s="107"/>
    </row>
    <row r="72" spans="1:11" x14ac:dyDescent="0.3">
      <c r="A72" s="151">
        <f>A71+1</f>
        <v>58</v>
      </c>
      <c r="B72" s="129" t="s">
        <v>405</v>
      </c>
      <c r="C72" s="144" t="s">
        <v>330</v>
      </c>
      <c r="D72" s="143"/>
      <c r="E72" s="143"/>
      <c r="F72" s="694" t="s">
        <v>406</v>
      </c>
      <c r="G72" s="695"/>
      <c r="H72" s="695"/>
      <c r="I72" s="695"/>
      <c r="J72" s="696"/>
      <c r="K72" s="107"/>
    </row>
    <row r="73" spans="1:11" ht="14.5" customHeight="1" x14ac:dyDescent="0.3">
      <c r="A73" s="151">
        <f t="shared" ref="A73:A82" si="7">A72+1</f>
        <v>59</v>
      </c>
      <c r="B73" s="129" t="s">
        <v>407</v>
      </c>
      <c r="C73" s="144" t="s">
        <v>330</v>
      </c>
      <c r="D73" s="143"/>
      <c r="E73" s="143"/>
      <c r="F73" s="697"/>
      <c r="G73" s="698"/>
      <c r="H73" s="698"/>
      <c r="I73" s="698"/>
      <c r="J73" s="699"/>
      <c r="K73" s="107"/>
    </row>
    <row r="74" spans="1:11" ht="13" customHeight="1" x14ac:dyDescent="0.3">
      <c r="A74" s="151">
        <f t="shared" si="7"/>
        <v>60</v>
      </c>
      <c r="B74" s="129" t="s">
        <v>384</v>
      </c>
      <c r="C74" s="144" t="s">
        <v>330</v>
      </c>
      <c r="D74" s="143"/>
      <c r="E74" s="143"/>
      <c r="F74" s="697"/>
      <c r="G74" s="698"/>
      <c r="H74" s="698"/>
      <c r="I74" s="698"/>
      <c r="J74" s="699"/>
      <c r="K74" s="107"/>
    </row>
    <row r="75" spans="1:11" ht="14.5" customHeight="1" x14ac:dyDescent="0.3">
      <c r="A75" s="151">
        <f t="shared" si="7"/>
        <v>61</v>
      </c>
      <c r="B75" s="129" t="s">
        <v>316</v>
      </c>
      <c r="C75" s="100" t="s">
        <v>238</v>
      </c>
      <c r="D75" s="100" t="s">
        <v>246</v>
      </c>
      <c r="E75" s="171">
        <f>Q10</f>
        <v>51.7</v>
      </c>
      <c r="F75" s="697"/>
      <c r="G75" s="698"/>
      <c r="H75" s="698"/>
      <c r="I75" s="698"/>
      <c r="J75" s="699"/>
      <c r="K75" s="107"/>
    </row>
    <row r="76" spans="1:11" ht="14.5" customHeight="1" x14ac:dyDescent="0.3">
      <c r="A76" s="151">
        <f t="shared" si="7"/>
        <v>62</v>
      </c>
      <c r="B76" s="129" t="s">
        <v>385</v>
      </c>
      <c r="C76" s="100" t="s">
        <v>330</v>
      </c>
      <c r="D76" s="100"/>
      <c r="E76" s="113"/>
      <c r="F76" s="697"/>
      <c r="G76" s="698"/>
      <c r="H76" s="698"/>
      <c r="I76" s="698"/>
      <c r="J76" s="699"/>
      <c r="K76" s="107"/>
    </row>
    <row r="77" spans="1:11" ht="14.5" customHeight="1" x14ac:dyDescent="0.3">
      <c r="A77" s="151">
        <f t="shared" si="7"/>
        <v>63</v>
      </c>
      <c r="B77" s="129" t="s">
        <v>317</v>
      </c>
      <c r="C77" s="100" t="s">
        <v>238</v>
      </c>
      <c r="D77" s="100" t="s">
        <v>408</v>
      </c>
      <c r="E77" s="127" t="s">
        <v>408</v>
      </c>
      <c r="F77" s="697"/>
      <c r="G77" s="698"/>
      <c r="H77" s="698"/>
      <c r="I77" s="698"/>
      <c r="J77" s="699"/>
      <c r="K77" s="107"/>
    </row>
    <row r="78" spans="1:11" ht="14.5" customHeight="1" x14ac:dyDescent="0.3">
      <c r="A78" s="151">
        <f t="shared" si="7"/>
        <v>64</v>
      </c>
      <c r="B78" s="129" t="s">
        <v>318</v>
      </c>
      <c r="C78" s="100" t="s">
        <v>330</v>
      </c>
      <c r="D78" s="100"/>
      <c r="E78" s="113"/>
      <c r="F78" s="697"/>
      <c r="G78" s="698"/>
      <c r="H78" s="698"/>
      <c r="I78" s="698"/>
      <c r="J78" s="699"/>
      <c r="K78" s="107"/>
    </row>
    <row r="79" spans="1:11" ht="14.5" customHeight="1" x14ac:dyDescent="0.3">
      <c r="A79" s="151">
        <f t="shared" si="7"/>
        <v>65</v>
      </c>
      <c r="B79" s="129" t="s">
        <v>368</v>
      </c>
      <c r="C79" s="100" t="s">
        <v>238</v>
      </c>
      <c r="D79" s="100" t="s">
        <v>408</v>
      </c>
      <c r="E79" s="127" t="s">
        <v>408</v>
      </c>
      <c r="F79" s="697"/>
      <c r="G79" s="698"/>
      <c r="H79" s="698"/>
      <c r="I79" s="698"/>
      <c r="J79" s="699"/>
      <c r="K79" s="107"/>
    </row>
    <row r="80" spans="1:11" ht="14.5" customHeight="1" x14ac:dyDescent="0.3">
      <c r="A80" s="151">
        <f t="shared" si="7"/>
        <v>66</v>
      </c>
      <c r="B80" s="99" t="s">
        <v>252</v>
      </c>
      <c r="C80" s="100" t="s">
        <v>330</v>
      </c>
      <c r="D80" s="100"/>
      <c r="E80" s="113"/>
      <c r="F80" s="697"/>
      <c r="G80" s="698"/>
      <c r="H80" s="698"/>
      <c r="I80" s="698"/>
      <c r="J80" s="699"/>
      <c r="K80" s="107"/>
    </row>
    <row r="81" spans="1:11" ht="14.5" customHeight="1" x14ac:dyDescent="0.3">
      <c r="A81" s="151">
        <f t="shared" si="7"/>
        <v>67</v>
      </c>
      <c r="B81" s="99" t="s">
        <v>321</v>
      </c>
      <c r="C81" s="100" t="s">
        <v>330</v>
      </c>
      <c r="D81" s="100"/>
      <c r="E81" s="113"/>
      <c r="F81" s="697"/>
      <c r="G81" s="698"/>
      <c r="H81" s="698"/>
      <c r="I81" s="698"/>
      <c r="J81" s="699"/>
      <c r="K81" s="107"/>
    </row>
    <row r="82" spans="1:11" ht="15" customHeight="1" thickBot="1" x14ac:dyDescent="0.35">
      <c r="A82" s="151">
        <f t="shared" si="7"/>
        <v>68</v>
      </c>
      <c r="B82" s="101" t="s">
        <v>264</v>
      </c>
      <c r="C82" s="130" t="s">
        <v>330</v>
      </c>
      <c r="D82" s="130"/>
      <c r="E82" s="114"/>
      <c r="F82" s="700"/>
      <c r="G82" s="701"/>
      <c r="H82" s="701"/>
      <c r="I82" s="701"/>
      <c r="J82" s="702"/>
      <c r="K82" s="107"/>
    </row>
    <row r="83" spans="1:11" ht="13.5" thickBot="1" x14ac:dyDescent="0.35">
      <c r="A83" s="707" t="s">
        <v>265</v>
      </c>
      <c r="B83" s="708"/>
      <c r="C83" s="708"/>
      <c r="D83" s="708"/>
      <c r="E83" s="708"/>
      <c r="F83" s="708"/>
      <c r="G83" s="708"/>
      <c r="H83" s="708"/>
      <c r="I83" s="708"/>
      <c r="J83" s="709"/>
      <c r="K83" s="107"/>
    </row>
    <row r="84" spans="1:11" x14ac:dyDescent="0.3">
      <c r="A84" s="722" t="s">
        <v>409</v>
      </c>
      <c r="B84" s="723"/>
      <c r="C84" s="723"/>
      <c r="D84" s="723"/>
      <c r="E84" s="723"/>
      <c r="F84" s="723"/>
      <c r="G84" s="723"/>
      <c r="H84" s="723"/>
      <c r="I84" s="723"/>
      <c r="J84" s="724"/>
      <c r="K84" s="107"/>
    </row>
    <row r="85" spans="1:11" x14ac:dyDescent="0.3">
      <c r="A85" s="691" t="s">
        <v>346</v>
      </c>
      <c r="B85" s="692"/>
      <c r="C85" s="692"/>
      <c r="D85" s="692"/>
      <c r="E85" s="692"/>
      <c r="F85" s="692"/>
      <c r="G85" s="692"/>
      <c r="H85" s="692"/>
      <c r="I85" s="692"/>
      <c r="J85" s="693"/>
      <c r="K85" s="107"/>
    </row>
    <row r="86" spans="1:11" x14ac:dyDescent="0.3">
      <c r="A86" s="691" t="s">
        <v>347</v>
      </c>
      <c r="B86" s="692"/>
      <c r="C86" s="692"/>
      <c r="D86" s="692"/>
      <c r="E86" s="692"/>
      <c r="F86" s="692"/>
      <c r="G86" s="692"/>
      <c r="H86" s="692"/>
      <c r="I86" s="692"/>
      <c r="J86" s="693"/>
      <c r="K86" s="107"/>
    </row>
    <row r="87" spans="1:11" x14ac:dyDescent="0.3">
      <c r="A87" s="691" t="s">
        <v>410</v>
      </c>
      <c r="B87" s="692"/>
      <c r="C87" s="692"/>
      <c r="D87" s="692"/>
      <c r="E87" s="692"/>
      <c r="F87" s="692"/>
      <c r="G87" s="692"/>
      <c r="H87" s="692"/>
      <c r="I87" s="692"/>
      <c r="J87" s="693"/>
      <c r="K87" s="107"/>
    </row>
    <row r="88" spans="1:11" x14ac:dyDescent="0.3">
      <c r="A88" s="691" t="s">
        <v>268</v>
      </c>
      <c r="B88" s="692"/>
      <c r="C88" s="692"/>
      <c r="D88" s="692"/>
      <c r="E88" s="692"/>
      <c r="F88" s="692"/>
      <c r="G88" s="692"/>
      <c r="H88" s="692"/>
      <c r="I88" s="692"/>
      <c r="J88" s="693"/>
      <c r="K88" s="107"/>
    </row>
    <row r="89" spans="1:11" x14ac:dyDescent="0.3">
      <c r="A89" s="691" t="s">
        <v>411</v>
      </c>
      <c r="B89" s="692"/>
      <c r="C89" s="692"/>
      <c r="D89" s="692"/>
      <c r="E89" s="692"/>
      <c r="F89" s="692"/>
      <c r="G89" s="692"/>
      <c r="H89" s="692"/>
      <c r="I89" s="692"/>
      <c r="J89" s="693"/>
      <c r="K89" s="107"/>
    </row>
    <row r="90" spans="1:11" x14ac:dyDescent="0.3">
      <c r="A90" s="691" t="s">
        <v>331</v>
      </c>
      <c r="B90" s="692"/>
      <c r="C90" s="692"/>
      <c r="D90" s="692"/>
      <c r="E90" s="692"/>
      <c r="F90" s="692"/>
      <c r="G90" s="692"/>
      <c r="H90" s="692"/>
      <c r="I90" s="692"/>
      <c r="J90" s="693"/>
      <c r="K90" s="107"/>
    </row>
    <row r="91" spans="1:11" x14ac:dyDescent="0.3">
      <c r="A91" s="691"/>
      <c r="B91" s="692"/>
      <c r="C91" s="692"/>
      <c r="D91" s="692"/>
      <c r="E91" s="692"/>
      <c r="F91" s="692"/>
      <c r="G91" s="692"/>
      <c r="H91" s="692"/>
      <c r="I91" s="692"/>
      <c r="J91" s="693"/>
      <c r="K91" s="107"/>
    </row>
    <row r="92" spans="1:11" x14ac:dyDescent="0.3">
      <c r="A92" s="718"/>
      <c r="B92" s="719"/>
      <c r="C92" s="719"/>
      <c r="D92" s="719"/>
      <c r="E92" s="719"/>
      <c r="F92" s="719"/>
      <c r="G92" s="719"/>
      <c r="H92" s="719"/>
      <c r="I92" s="719"/>
      <c r="J92" s="720"/>
      <c r="K92" s="107"/>
    </row>
    <row r="93" spans="1:11" ht="15" customHeight="1" x14ac:dyDescent="0.3">
      <c r="A93" s="718"/>
      <c r="B93" s="719"/>
      <c r="C93" s="719"/>
      <c r="D93" s="719"/>
      <c r="E93" s="719"/>
      <c r="F93" s="719"/>
      <c r="G93" s="719"/>
      <c r="H93" s="719"/>
      <c r="I93" s="719"/>
      <c r="J93" s="720"/>
      <c r="K93" s="107"/>
    </row>
    <row r="94" spans="1:11" ht="15" customHeight="1" thickBot="1" x14ac:dyDescent="0.35">
      <c r="A94" s="712"/>
      <c r="B94" s="713"/>
      <c r="C94" s="713"/>
      <c r="D94" s="713"/>
      <c r="E94" s="713"/>
      <c r="F94" s="713"/>
      <c r="G94" s="713"/>
      <c r="H94" s="713"/>
      <c r="I94" s="713"/>
      <c r="J94" s="714"/>
      <c r="K94" s="115"/>
    </row>
    <row r="95" spans="1:11" ht="15" customHeight="1" thickBot="1" x14ac:dyDescent="0.35">
      <c r="A95" s="715" t="s">
        <v>269</v>
      </c>
      <c r="B95" s="716"/>
      <c r="C95" s="716"/>
      <c r="D95" s="716"/>
      <c r="E95" s="716"/>
      <c r="F95" s="716"/>
      <c r="G95" s="716"/>
      <c r="H95" s="716"/>
      <c r="I95" s="716"/>
      <c r="J95" s="716"/>
      <c r="K95" s="717"/>
    </row>
    <row r="96" spans="1:11" ht="14.5" customHeight="1" x14ac:dyDescent="0.3"/>
  </sheetData>
  <mergeCells count="75">
    <mergeCell ref="C12:J12"/>
    <mergeCell ref="A1:K1"/>
    <mergeCell ref="A2:B5"/>
    <mergeCell ref="D2:G2"/>
    <mergeCell ref="H2:K2"/>
    <mergeCell ref="D3:G3"/>
    <mergeCell ref="H3:K3"/>
    <mergeCell ref="D4:G4"/>
    <mergeCell ref="D5:G5"/>
    <mergeCell ref="A6:K6"/>
    <mergeCell ref="A7:J7"/>
    <mergeCell ref="C8:J8"/>
    <mergeCell ref="C9:J9"/>
    <mergeCell ref="C10:J10"/>
    <mergeCell ref="A14:J14"/>
    <mergeCell ref="G15:J15"/>
    <mergeCell ref="G16:J27"/>
    <mergeCell ref="B20:F20"/>
    <mergeCell ref="D21:F21"/>
    <mergeCell ref="D22:F22"/>
    <mergeCell ref="D23:F23"/>
    <mergeCell ref="D24:F24"/>
    <mergeCell ref="D25:F25"/>
    <mergeCell ref="D26:F26"/>
    <mergeCell ref="A49:J49"/>
    <mergeCell ref="D27:F27"/>
    <mergeCell ref="A28:J28"/>
    <mergeCell ref="G29:J29"/>
    <mergeCell ref="G30:J41"/>
    <mergeCell ref="D36:F36"/>
    <mergeCell ref="D37:F37"/>
    <mergeCell ref="A42:J42"/>
    <mergeCell ref="G43:J43"/>
    <mergeCell ref="D44:F44"/>
    <mergeCell ref="G44:J48"/>
    <mergeCell ref="D47:F47"/>
    <mergeCell ref="D58:F58"/>
    <mergeCell ref="G58:J62"/>
    <mergeCell ref="D59:F59"/>
    <mergeCell ref="D60:F60"/>
    <mergeCell ref="D61:F61"/>
    <mergeCell ref="G50:J50"/>
    <mergeCell ref="G51:J55"/>
    <mergeCell ref="A56:J56"/>
    <mergeCell ref="D57:F57"/>
    <mergeCell ref="G57:J57"/>
    <mergeCell ref="A83:J83"/>
    <mergeCell ref="A84:J84"/>
    <mergeCell ref="A85:J85"/>
    <mergeCell ref="D62:F62"/>
    <mergeCell ref="A63:J63"/>
    <mergeCell ref="D64:F64"/>
    <mergeCell ref="G64:J64"/>
    <mergeCell ref="D65:F65"/>
    <mergeCell ref="G65:J69"/>
    <mergeCell ref="D66:F66"/>
    <mergeCell ref="D67:F67"/>
    <mergeCell ref="D68:F68"/>
    <mergeCell ref="D69:F69"/>
    <mergeCell ref="A92:J92"/>
    <mergeCell ref="A93:J93"/>
    <mergeCell ref="A94:J94"/>
    <mergeCell ref="A95:K95"/>
    <mergeCell ref="D11:F11"/>
    <mergeCell ref="H11:J11"/>
    <mergeCell ref="D45:F45"/>
    <mergeCell ref="A86:J86"/>
    <mergeCell ref="A87:J87"/>
    <mergeCell ref="A88:J88"/>
    <mergeCell ref="A89:J89"/>
    <mergeCell ref="A90:J90"/>
    <mergeCell ref="A91:J91"/>
    <mergeCell ref="A70:J70"/>
    <mergeCell ref="F71:J71"/>
    <mergeCell ref="F72:J82"/>
  </mergeCells>
  <pageMargins left="0.7" right="0.7" top="0.75" bottom="0.75" header="0.3" footer="0.3"/>
  <pageSetup paperSize="8" scale="78"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3</xdr:col>
                    <xdr:colOff>260350</xdr:colOff>
                    <xdr:row>70</xdr:row>
                    <xdr:rowOff>146050</xdr:rowOff>
                  </from>
                  <to>
                    <xdr:col>3</xdr:col>
                    <xdr:colOff>679450</xdr:colOff>
                    <xdr:row>72</xdr:row>
                    <xdr:rowOff>38100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3</xdr:col>
                    <xdr:colOff>260350</xdr:colOff>
                    <xdr:row>78</xdr:row>
                    <xdr:rowOff>146050</xdr:rowOff>
                  </from>
                  <to>
                    <xdr:col>3</xdr:col>
                    <xdr:colOff>679450</xdr:colOff>
                    <xdr:row>79</xdr:row>
                    <xdr:rowOff>184150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3</xdr:col>
                    <xdr:colOff>260350</xdr:colOff>
                    <xdr:row>79</xdr:row>
                    <xdr:rowOff>146050</xdr:rowOff>
                  </from>
                  <to>
                    <xdr:col>3</xdr:col>
                    <xdr:colOff>679450</xdr:colOff>
                    <xdr:row>80</xdr:row>
                    <xdr:rowOff>184150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from>
                    <xdr:col>4</xdr:col>
                    <xdr:colOff>241300</xdr:colOff>
                    <xdr:row>70</xdr:row>
                    <xdr:rowOff>146050</xdr:rowOff>
                  </from>
                  <to>
                    <xdr:col>4</xdr:col>
                    <xdr:colOff>647700</xdr:colOff>
                    <xdr:row>72</xdr:row>
                    <xdr:rowOff>38100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from>
                    <xdr:col>4</xdr:col>
                    <xdr:colOff>241300</xdr:colOff>
                    <xdr:row>78</xdr:row>
                    <xdr:rowOff>146050</xdr:rowOff>
                  </from>
                  <to>
                    <xdr:col>4</xdr:col>
                    <xdr:colOff>647700</xdr:colOff>
                    <xdr:row>79</xdr:row>
                    <xdr:rowOff>184150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from>
                    <xdr:col>4</xdr:col>
                    <xdr:colOff>241300</xdr:colOff>
                    <xdr:row>79</xdr:row>
                    <xdr:rowOff>146050</xdr:rowOff>
                  </from>
                  <to>
                    <xdr:col>4</xdr:col>
                    <xdr:colOff>660400</xdr:colOff>
                    <xdr:row>80</xdr:row>
                    <xdr:rowOff>184150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from>
                    <xdr:col>3</xdr:col>
                    <xdr:colOff>260350</xdr:colOff>
                    <xdr:row>80</xdr:row>
                    <xdr:rowOff>146050</xdr:rowOff>
                  </from>
                  <to>
                    <xdr:col>3</xdr:col>
                    <xdr:colOff>679450</xdr:colOff>
                    <xdr:row>81</xdr:row>
                    <xdr:rowOff>184150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from>
                    <xdr:col>4</xdr:col>
                    <xdr:colOff>241300</xdr:colOff>
                    <xdr:row>80</xdr:row>
                    <xdr:rowOff>146050</xdr:rowOff>
                  </from>
                  <to>
                    <xdr:col>4</xdr:col>
                    <xdr:colOff>647700</xdr:colOff>
                    <xdr:row>81</xdr:row>
                    <xdr:rowOff>184150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from>
                    <xdr:col>3</xdr:col>
                    <xdr:colOff>260350</xdr:colOff>
                    <xdr:row>74</xdr:row>
                    <xdr:rowOff>152400</xdr:rowOff>
                  </from>
                  <to>
                    <xdr:col>3</xdr:col>
                    <xdr:colOff>679450</xdr:colOff>
                    <xdr:row>76</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from>
                    <xdr:col>4</xdr:col>
                    <xdr:colOff>241300</xdr:colOff>
                    <xdr:row>74</xdr:row>
                    <xdr:rowOff>146050</xdr:rowOff>
                  </from>
                  <to>
                    <xdr:col>4</xdr:col>
                    <xdr:colOff>660400</xdr:colOff>
                    <xdr:row>75</xdr:row>
                    <xdr:rowOff>184150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from>
                    <xdr:col>3</xdr:col>
                    <xdr:colOff>260350</xdr:colOff>
                    <xdr:row>76</xdr:row>
                    <xdr:rowOff>152400</xdr:rowOff>
                  </from>
                  <to>
                    <xdr:col>3</xdr:col>
                    <xdr:colOff>679450</xdr:colOff>
                    <xdr:row>78</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from>
                    <xdr:col>4</xdr:col>
                    <xdr:colOff>241300</xdr:colOff>
                    <xdr:row>76</xdr:row>
                    <xdr:rowOff>146050</xdr:rowOff>
                  </from>
                  <to>
                    <xdr:col>4</xdr:col>
                    <xdr:colOff>660400</xdr:colOff>
                    <xdr:row>77</xdr:row>
                    <xdr:rowOff>184150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from>
                    <xdr:col>3</xdr:col>
                    <xdr:colOff>260350</xdr:colOff>
                    <xdr:row>72</xdr:row>
                    <xdr:rowOff>146050</xdr:rowOff>
                  </from>
                  <to>
                    <xdr:col>3</xdr:col>
                    <xdr:colOff>679450</xdr:colOff>
                    <xdr:row>74</xdr:row>
                    <xdr:rowOff>12700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from>
                    <xdr:col>4</xdr:col>
                    <xdr:colOff>241300</xdr:colOff>
                    <xdr:row>72</xdr:row>
                    <xdr:rowOff>146050</xdr:rowOff>
                  </from>
                  <to>
                    <xdr:col>4</xdr:col>
                    <xdr:colOff>647700</xdr:colOff>
                    <xdr:row>74</xdr:row>
                    <xdr:rowOff>12700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from>
                    <xdr:col>3</xdr:col>
                    <xdr:colOff>260350</xdr:colOff>
                    <xdr:row>71</xdr:row>
                    <xdr:rowOff>146050</xdr:rowOff>
                  </from>
                  <to>
                    <xdr:col>3</xdr:col>
                    <xdr:colOff>679450</xdr:colOff>
                    <xdr:row>73</xdr:row>
                    <xdr:rowOff>12700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from>
                    <xdr:col>4</xdr:col>
                    <xdr:colOff>241300</xdr:colOff>
                    <xdr:row>71</xdr:row>
                    <xdr:rowOff>146050</xdr:rowOff>
                  </from>
                  <to>
                    <xdr:col>4</xdr:col>
                    <xdr:colOff>647700</xdr:colOff>
                    <xdr:row>73</xdr:row>
                    <xdr:rowOff>12700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from>
                    <xdr:col>2</xdr:col>
                    <xdr:colOff>222250</xdr:colOff>
                    <xdr:row>9</xdr:row>
                    <xdr:rowOff>184150</xdr:rowOff>
                  </from>
                  <to>
                    <xdr:col>2</xdr:col>
                    <xdr:colOff>622300</xdr:colOff>
                    <xdr:row>11</xdr:row>
                    <xdr:rowOff>31750</xdr:rowOff>
                  </to>
                </anchor>
              </controlPr>
            </control>
          </mc:Choice>
        </mc:AlternateContent>
        <mc:AlternateContent xmlns:mc="http://schemas.openxmlformats.org/markup-compatibility/2006">
          <mc:Choice Requires="x14">
            <control shapeId="13331" r:id="rId21" name="Check Box 19">
              <controlPr defaultSize="0" autoFill="0" autoLine="0" autoPict="0">
                <anchor moveWithCells="1">
                  <from>
                    <xdr:col>2</xdr:col>
                    <xdr:colOff>222250</xdr:colOff>
                    <xdr:row>9</xdr:row>
                    <xdr:rowOff>184150</xdr:rowOff>
                  </from>
                  <to>
                    <xdr:col>2</xdr:col>
                    <xdr:colOff>622300</xdr:colOff>
                    <xdr:row>11</xdr:row>
                    <xdr:rowOff>31750</xdr:rowOff>
                  </to>
                </anchor>
              </controlPr>
            </control>
          </mc:Choice>
        </mc:AlternateContent>
        <mc:AlternateContent xmlns:mc="http://schemas.openxmlformats.org/markup-compatibility/2006">
          <mc:Choice Requires="x14">
            <control shapeId="13332" r:id="rId22" name="Check Box 20">
              <controlPr defaultSize="0" autoFill="0" autoLine="0" autoPict="0">
                <anchor moveWithCells="1">
                  <from>
                    <xdr:col>6</xdr:col>
                    <xdr:colOff>222250</xdr:colOff>
                    <xdr:row>9</xdr:row>
                    <xdr:rowOff>184150</xdr:rowOff>
                  </from>
                  <to>
                    <xdr:col>6</xdr:col>
                    <xdr:colOff>622300</xdr:colOff>
                    <xdr:row>11</xdr:row>
                    <xdr:rowOff>31750</xdr:rowOff>
                  </to>
                </anchor>
              </controlPr>
            </control>
          </mc:Choice>
        </mc:AlternateContent>
        <mc:AlternateContent xmlns:mc="http://schemas.openxmlformats.org/markup-compatibility/2006">
          <mc:Choice Requires="x14">
            <control shapeId="13333" r:id="rId23" name="Check Box 21">
              <controlPr defaultSize="0" autoFill="0" autoLine="0" autoPict="0">
                <anchor moveWithCells="1">
                  <from>
                    <xdr:col>2</xdr:col>
                    <xdr:colOff>12700</xdr:colOff>
                    <xdr:row>11</xdr:row>
                    <xdr:rowOff>165100</xdr:rowOff>
                  </from>
                  <to>
                    <xdr:col>2</xdr:col>
                    <xdr:colOff>431800</xdr:colOff>
                    <xdr:row>13</xdr:row>
                    <xdr:rowOff>12700</xdr:rowOff>
                  </to>
                </anchor>
              </controlPr>
            </control>
          </mc:Choice>
        </mc:AlternateContent>
        <mc:AlternateContent xmlns:mc="http://schemas.openxmlformats.org/markup-compatibility/2006">
          <mc:Choice Requires="x14">
            <control shapeId="13334" r:id="rId24" name="Check Box 22">
              <controlPr defaultSize="0" autoFill="0" autoLine="0" autoPict="0">
                <anchor moveWithCells="1">
                  <from>
                    <xdr:col>6</xdr:col>
                    <xdr:colOff>755650</xdr:colOff>
                    <xdr:row>11</xdr:row>
                    <xdr:rowOff>184150</xdr:rowOff>
                  </from>
                  <to>
                    <xdr:col>7</xdr:col>
                    <xdr:colOff>412750</xdr:colOff>
                    <xdr:row>13</xdr:row>
                    <xdr:rowOff>38100</xdr:rowOff>
                  </to>
                </anchor>
              </controlPr>
            </control>
          </mc:Choice>
        </mc:AlternateContent>
        <mc:AlternateContent xmlns:mc="http://schemas.openxmlformats.org/markup-compatibility/2006">
          <mc:Choice Requires="x14">
            <control shapeId="13335" r:id="rId25" name="Check Box 23">
              <controlPr defaultSize="0" autoFill="0" autoLine="0" autoPict="0">
                <anchor moveWithCells="1">
                  <from>
                    <xdr:col>4</xdr:col>
                    <xdr:colOff>431800</xdr:colOff>
                    <xdr:row>11</xdr:row>
                    <xdr:rowOff>165100</xdr:rowOff>
                  </from>
                  <to>
                    <xdr:col>5</xdr:col>
                    <xdr:colOff>184150</xdr:colOff>
                    <xdr:row>13</xdr:row>
                    <xdr:rowOff>31750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E0B76-3D67-4AEC-8692-BB624FFA6223}">
  <sheetPr>
    <pageSetUpPr fitToPage="1"/>
  </sheetPr>
  <dimension ref="A1:Q98"/>
  <sheetViews>
    <sheetView topLeftCell="H1" zoomScale="85" zoomScaleNormal="85" workbookViewId="0">
      <selection activeCell="O8" sqref="O8"/>
    </sheetView>
  </sheetViews>
  <sheetFormatPr defaultColWidth="8.54296875" defaultRowHeight="13" x14ac:dyDescent="0.3"/>
  <cols>
    <col min="1" max="1" width="3.453125" style="152" customWidth="1"/>
    <col min="2" max="2" width="31" style="104" customWidth="1"/>
    <col min="3" max="3" width="10.1796875" style="104" customWidth="1"/>
    <col min="4" max="4" width="9.81640625" style="104" bestFit="1" customWidth="1"/>
    <col min="5" max="5" width="9.54296875" style="104" bestFit="1" customWidth="1"/>
    <col min="6" max="6" width="9.1796875" style="104" customWidth="1"/>
    <col min="7" max="7" width="10.54296875" style="104" customWidth="1"/>
    <col min="8" max="8" width="8.54296875" style="104" bestFit="1" customWidth="1"/>
    <col min="9" max="9" width="6.81640625" style="104" bestFit="1" customWidth="1"/>
    <col min="10" max="10" width="7.453125" style="104" customWidth="1"/>
    <col min="11" max="11" width="5" style="245" customWidth="1"/>
    <col min="12" max="12" width="8.54296875" style="104"/>
    <col min="13" max="13" width="19.453125" style="104" bestFit="1" customWidth="1"/>
    <col min="14" max="14" width="8.54296875" style="104"/>
    <col min="15" max="15" width="31" style="104" bestFit="1" customWidth="1"/>
    <col min="16" max="17" width="47" style="104" bestFit="1" customWidth="1"/>
    <col min="18" max="16384" width="8.54296875" style="104"/>
  </cols>
  <sheetData>
    <row r="1" spans="1:17" ht="13.5" thickBot="1" x14ac:dyDescent="0.35">
      <c r="A1" s="707" t="s">
        <v>224</v>
      </c>
      <c r="B1" s="708"/>
      <c r="C1" s="708"/>
      <c r="D1" s="708"/>
      <c r="E1" s="708"/>
      <c r="F1" s="708"/>
      <c r="G1" s="708"/>
      <c r="H1" s="708"/>
      <c r="I1" s="708"/>
      <c r="J1" s="708"/>
      <c r="K1" s="709"/>
    </row>
    <row r="2" spans="1:17" ht="14.5" customHeight="1" x14ac:dyDescent="0.3">
      <c r="A2" s="731"/>
      <c r="B2" s="732"/>
      <c r="C2" s="225" t="s">
        <v>219</v>
      </c>
      <c r="D2" s="737" t="s">
        <v>524</v>
      </c>
      <c r="E2" s="737"/>
      <c r="F2" s="737"/>
      <c r="G2" s="737"/>
      <c r="H2" s="738" t="s">
        <v>560</v>
      </c>
      <c r="I2" s="738"/>
      <c r="J2" s="738"/>
      <c r="K2" s="739"/>
    </row>
    <row r="3" spans="1:17" ht="14.5" customHeight="1" x14ac:dyDescent="0.3">
      <c r="A3" s="733"/>
      <c r="B3" s="734"/>
      <c r="C3" s="218" t="s">
        <v>210</v>
      </c>
      <c r="D3" s="602" t="s">
        <v>332</v>
      </c>
      <c r="E3" s="602"/>
      <c r="F3" s="602"/>
      <c r="G3" s="602"/>
      <c r="H3" s="593" t="s">
        <v>379</v>
      </c>
      <c r="I3" s="593"/>
      <c r="J3" s="593"/>
      <c r="K3" s="740"/>
    </row>
    <row r="4" spans="1:17" ht="14.5" customHeight="1" x14ac:dyDescent="0.3">
      <c r="A4" s="733"/>
      <c r="B4" s="734"/>
      <c r="C4" s="218" t="s">
        <v>212</v>
      </c>
      <c r="D4" s="602" t="s">
        <v>525</v>
      </c>
      <c r="E4" s="602"/>
      <c r="F4" s="602"/>
      <c r="G4" s="602"/>
      <c r="H4" s="105" t="s">
        <v>231</v>
      </c>
      <c r="I4" s="105" t="s">
        <v>229</v>
      </c>
      <c r="J4" s="105" t="s">
        <v>230</v>
      </c>
      <c r="K4" s="111" t="s">
        <v>235</v>
      </c>
    </row>
    <row r="5" spans="1:17" ht="15" customHeight="1" thickBot="1" x14ac:dyDescent="0.35">
      <c r="A5" s="735"/>
      <c r="B5" s="736"/>
      <c r="C5" s="226" t="s">
        <v>526</v>
      </c>
      <c r="D5" s="741" t="s">
        <v>228</v>
      </c>
      <c r="E5" s="741"/>
      <c r="F5" s="741"/>
      <c r="G5" s="741"/>
      <c r="H5" s="102" t="s">
        <v>232</v>
      </c>
      <c r="I5" s="102" t="s">
        <v>234</v>
      </c>
      <c r="J5" s="102" t="s">
        <v>233</v>
      </c>
      <c r="K5" s="103" t="s">
        <v>45</v>
      </c>
    </row>
    <row r="6" spans="1:17" ht="8.15" customHeight="1" thickBot="1" x14ac:dyDescent="0.35">
      <c r="A6" s="742"/>
      <c r="B6" s="743"/>
      <c r="C6" s="743"/>
      <c r="D6" s="743"/>
      <c r="E6" s="743"/>
      <c r="F6" s="743"/>
      <c r="G6" s="743"/>
      <c r="H6" s="743"/>
      <c r="I6" s="743"/>
      <c r="J6" s="743"/>
      <c r="K6" s="744"/>
    </row>
    <row r="7" spans="1:17" ht="13.5" thickBot="1" x14ac:dyDescent="0.35">
      <c r="A7" s="707" t="s">
        <v>236</v>
      </c>
      <c r="B7" s="708"/>
      <c r="C7" s="708"/>
      <c r="D7" s="708"/>
      <c r="E7" s="708"/>
      <c r="F7" s="708"/>
      <c r="G7" s="708"/>
      <c r="H7" s="708"/>
      <c r="I7" s="708"/>
      <c r="J7" s="709"/>
      <c r="K7" s="228" t="s">
        <v>235</v>
      </c>
      <c r="M7" s="104" t="s">
        <v>6</v>
      </c>
      <c r="O7" s="137">
        <v>12</v>
      </c>
      <c r="P7" s="137">
        <v>13</v>
      </c>
      <c r="Q7" s="137">
        <v>14</v>
      </c>
    </row>
    <row r="8" spans="1:17" x14ac:dyDescent="0.3">
      <c r="A8" s="151">
        <v>1</v>
      </c>
      <c r="B8" s="229" t="s">
        <v>277</v>
      </c>
      <c r="C8" s="775" t="s">
        <v>562</v>
      </c>
      <c r="D8" s="775"/>
      <c r="E8" s="775"/>
      <c r="F8" s="775"/>
      <c r="G8" s="775"/>
      <c r="H8" s="775"/>
      <c r="I8" s="775"/>
      <c r="J8" s="776"/>
      <c r="K8" s="230"/>
      <c r="M8" s="104" t="s">
        <v>14</v>
      </c>
      <c r="O8" s="104" t="str">
        <f>HLOOKUP(O7,'Property Calc_Design Flow'!$E$2:$ED$3,2,FALSE)</f>
        <v>RECYCLE GAS TO RECYCLE GAS COMPRESSOR</v>
      </c>
      <c r="P8" s="104" t="str">
        <f>HLOOKUP(P7,'Property Calc_Design Flow'!$E$2:$ED$3,2,FALSE)</f>
        <v>COMPRESSED RECYCLE GAS TO RECYCLE GAS AIR COOLED  AFTER COOLER</v>
      </c>
      <c r="Q8" s="104" t="str">
        <f>HLOOKUP(Q7,'Property Calc_Design Flow'!$E$2:$ED$3,2,FALSE)</f>
        <v>COMPRESSED COOLED RECYCLE GAS TO FEED COMPRESSOR</v>
      </c>
    </row>
    <row r="9" spans="1:17" ht="14.5" x14ac:dyDescent="0.35">
      <c r="A9" s="148">
        <f>A8+1</f>
        <v>2</v>
      </c>
      <c r="B9" s="218" t="s">
        <v>275</v>
      </c>
      <c r="C9" s="602" t="s">
        <v>338</v>
      </c>
      <c r="D9" s="602"/>
      <c r="E9" s="602"/>
      <c r="F9" s="602"/>
      <c r="G9" s="602"/>
      <c r="H9" s="602"/>
      <c r="I9" s="602"/>
      <c r="J9" s="749"/>
      <c r="K9" s="108"/>
      <c r="M9" s="19" t="s">
        <v>1</v>
      </c>
      <c r="N9" s="215" t="s">
        <v>5</v>
      </c>
      <c r="O9" s="215">
        <f>HLOOKUP(O$8,'Property Calc_Design Flow'!$E$3:$EJ$25,MATCH(M9,'Property Calc_Design Flow'!$C$3:$C$24,0),FALSE)</f>
        <v>2</v>
      </c>
      <c r="P9" s="215">
        <f>HLOOKUP(P$8,'Property Calc_Design Flow'!$E$3:$EJ$25,MATCH(M9,'Property Calc_Design Flow'!$C$3:$C$24,0),FALSE)</f>
        <v>65</v>
      </c>
      <c r="Q9" s="215">
        <f>HLOOKUP(Q$8,'Property Calc_Design Flow'!$E$3:$EJ$25,MATCH(M9,'Property Calc_Design Flow'!$C$3:$C$24,0),FALSE)</f>
        <v>63</v>
      </c>
    </row>
    <row r="10" spans="1:17" ht="14.5" x14ac:dyDescent="0.35">
      <c r="A10" s="149">
        <f>A8+1</f>
        <v>2</v>
      </c>
      <c r="B10" s="227" t="s">
        <v>279</v>
      </c>
      <c r="C10" s="602" t="s">
        <v>339</v>
      </c>
      <c r="D10" s="602"/>
      <c r="E10" s="602"/>
      <c r="F10" s="602"/>
      <c r="G10" s="602"/>
      <c r="H10" s="602"/>
      <c r="I10" s="602"/>
      <c r="J10" s="749"/>
      <c r="K10" s="108"/>
      <c r="M10" s="19" t="s">
        <v>0</v>
      </c>
      <c r="N10" s="215" t="s">
        <v>4</v>
      </c>
      <c r="O10" s="215">
        <f>HLOOKUP(O$8,'Property Calc_Design Flow'!$E$3:$EJ$25,MATCH(M10,'Property Calc_Design Flow'!$C$3:$C$24,0),FALSE)</f>
        <v>62.4</v>
      </c>
      <c r="P10" s="215">
        <f>HLOOKUP(P$8,'Property Calc_Design Flow'!$E$3:$EJ$25,MATCH(M10,'Property Calc_Design Flow'!$C$3:$C$24,0),FALSE)</f>
        <v>250</v>
      </c>
      <c r="Q10" s="215">
        <f>HLOOKUP(Q$8,'Property Calc_Design Flow'!$E$3:$EJ$25,MATCH(M10,'Property Calc_Design Flow'!$C$3:$C$24,0),FALSE)</f>
        <v>120</v>
      </c>
    </row>
    <row r="11" spans="1:17" ht="14.5" x14ac:dyDescent="0.35">
      <c r="A11" s="149">
        <f>A9+1</f>
        <v>3</v>
      </c>
      <c r="B11" s="227" t="s">
        <v>528</v>
      </c>
      <c r="C11" s="769" t="s">
        <v>529</v>
      </c>
      <c r="D11" s="770"/>
      <c r="E11" s="770"/>
      <c r="F11" s="771"/>
      <c r="G11" s="772" t="s">
        <v>530</v>
      </c>
      <c r="H11" s="773"/>
      <c r="I11" s="773"/>
      <c r="J11" s="774"/>
      <c r="K11" s="108" t="s">
        <v>45</v>
      </c>
      <c r="M11" s="19" t="s">
        <v>0</v>
      </c>
      <c r="N11" s="215" t="s">
        <v>4</v>
      </c>
      <c r="O11" s="215">
        <f>HLOOKUP(O$8,'Property Calc_Design Flow'!$E$3:$EJ$25,MATCH(M11,'Property Calc_Design Flow'!$C$3:$C$24,0),FALSE)</f>
        <v>62.4</v>
      </c>
      <c r="P11" s="215">
        <f>HLOOKUP(P$8,'Property Calc_Design Flow'!$E$3:$EJ$25,MATCH(M11,'Property Calc_Design Flow'!$C$3:$C$24,0),FALSE)</f>
        <v>250</v>
      </c>
      <c r="Q11" s="215">
        <f>HLOOKUP(Q$8,'Property Calc_Design Flow'!$E$3:$EJ$25,MATCH(M11,'Property Calc_Design Flow'!$C$3:$C$24,0),FALSE)</f>
        <v>120</v>
      </c>
    </row>
    <row r="12" spans="1:17" ht="14.5" x14ac:dyDescent="0.35">
      <c r="A12" s="149">
        <f>A11+1</f>
        <v>4</v>
      </c>
      <c r="B12" s="227" t="s">
        <v>355</v>
      </c>
      <c r="C12" s="146"/>
      <c r="D12" s="692" t="s">
        <v>531</v>
      </c>
      <c r="E12" s="692"/>
      <c r="F12" s="703"/>
      <c r="G12" s="145"/>
      <c r="H12" s="692" t="s">
        <v>563</v>
      </c>
      <c r="I12" s="692"/>
      <c r="J12" s="693"/>
      <c r="K12" s="108"/>
      <c r="M12" s="19" t="s">
        <v>26</v>
      </c>
      <c r="N12" s="215" t="s">
        <v>27</v>
      </c>
      <c r="O12" s="215">
        <f>HLOOKUP(O$8,'Property Calc_Design Flow'!$E$3:$EJ$25,MATCH(M12,'Property Calc_Design Flow'!$C$3:$C$24,0),FALSE)</f>
        <v>1775.3656652646953</v>
      </c>
      <c r="P12" s="215">
        <f>HLOOKUP(P$8,'Property Calc_Design Flow'!$E$3:$EJ$25,MATCH(M12,'Property Calc_Design Flow'!$C$3:$C$24,0),FALSE)</f>
        <v>1775.3656652646953</v>
      </c>
      <c r="Q12" s="215">
        <f>HLOOKUP(Q$8,'Property Calc_Design Flow'!$E$3:$EJ$25,MATCH(M12,'Property Calc_Design Flow'!$C$3:$C$24,0),FALSE)</f>
        <v>1775.3656652646953</v>
      </c>
    </row>
    <row r="13" spans="1:17" ht="14.5" x14ac:dyDescent="0.35">
      <c r="A13" s="148">
        <f>A12+1</f>
        <v>5</v>
      </c>
      <c r="B13" s="218" t="s">
        <v>225</v>
      </c>
      <c r="C13" s="602" t="s">
        <v>564</v>
      </c>
      <c r="D13" s="602"/>
      <c r="E13" s="602"/>
      <c r="F13" s="602"/>
      <c r="G13" s="602"/>
      <c r="H13" s="602"/>
      <c r="I13" s="602"/>
      <c r="J13" s="749"/>
      <c r="K13" s="108"/>
      <c r="M13" s="19" t="s">
        <v>28</v>
      </c>
      <c r="N13" s="215" t="s">
        <v>29</v>
      </c>
      <c r="O13" s="215">
        <f>HLOOKUP(O$8,'Property Calc_Design Flow'!$E$3:$EJ$25,MATCH(M13,'Property Calc_Design Flow'!$C$3:$C$24,0),FALSE)</f>
        <v>1569.959701284416</v>
      </c>
      <c r="P13" s="215">
        <f>HLOOKUP(P$8,'Property Calc_Design Flow'!$E$3:$EJ$25,MATCH(M13,'Property Calc_Design Flow'!$C$3:$C$24,0),FALSE)</f>
        <v>447.09708156470475</v>
      </c>
      <c r="Q13" s="215">
        <f>HLOOKUP(Q$8,'Property Calc_Design Flow'!$E$3:$EJ$25,MATCH(M13,'Property Calc_Design Flow'!$C$3:$C$24,0),FALSE)</f>
        <v>374.63537427103233</v>
      </c>
    </row>
    <row r="14" spans="1:17" ht="15" thickBot="1" x14ac:dyDescent="0.4">
      <c r="A14" s="163">
        <f>A13+1</f>
        <v>6</v>
      </c>
      <c r="B14" s="161" t="s">
        <v>392</v>
      </c>
      <c r="C14" s="172" t="s">
        <v>393</v>
      </c>
      <c r="D14" s="161"/>
      <c r="E14" s="164"/>
      <c r="F14" s="161" t="s">
        <v>394</v>
      </c>
      <c r="G14" s="161"/>
      <c r="H14" s="165" t="s">
        <v>395</v>
      </c>
      <c r="I14" s="161"/>
      <c r="J14" s="162"/>
      <c r="K14" s="108"/>
      <c r="M14" s="19"/>
      <c r="N14" s="215"/>
      <c r="O14" s="215"/>
      <c r="P14" s="215"/>
      <c r="Q14" s="215"/>
    </row>
    <row r="15" spans="1:17" ht="15" thickBot="1" x14ac:dyDescent="0.4">
      <c r="A15" s="707" t="s">
        <v>565</v>
      </c>
      <c r="B15" s="708"/>
      <c r="C15" s="708"/>
      <c r="D15" s="708"/>
      <c r="E15" s="708"/>
      <c r="F15" s="708"/>
      <c r="G15" s="708"/>
      <c r="H15" s="708"/>
      <c r="I15" s="708"/>
      <c r="J15" s="709"/>
      <c r="K15" s="228" t="s">
        <v>45</v>
      </c>
      <c r="M15" s="19" t="s">
        <v>2</v>
      </c>
      <c r="N15" s="215" t="s">
        <v>3</v>
      </c>
      <c r="O15" s="215">
        <f>HLOOKUP(O$8,'Property Calc_Design Flow'!$E$3:$EJ$25,MATCH(M15,'Property Calc_Design Flow'!$C$3:$C$24,0),FALSE)</f>
        <v>8176.3774392939749</v>
      </c>
      <c r="P15" s="215">
        <f>HLOOKUP(P$8,'Property Calc_Design Flow'!$E$3:$EJ$25,MATCH(M15,'Property Calc_Design Flow'!$C$3:$C$24,0),FALSE)</f>
        <v>8176.3774392939749</v>
      </c>
      <c r="Q15" s="215">
        <f>HLOOKUP(Q$8,'Property Calc_Design Flow'!$E$3:$EJ$25,MATCH(M15,'Property Calc_Design Flow'!$C$3:$C$24,0),FALSE)</f>
        <v>8176.3774392939749</v>
      </c>
    </row>
    <row r="16" spans="1:17" ht="14.5" x14ac:dyDescent="0.35">
      <c r="A16" s="147">
        <f>A14+1</f>
        <v>7</v>
      </c>
      <c r="B16" s="106" t="s">
        <v>248</v>
      </c>
      <c r="C16" s="220" t="s">
        <v>222</v>
      </c>
      <c r="D16" s="220" t="s">
        <v>215</v>
      </c>
      <c r="E16" s="220" t="s">
        <v>218</v>
      </c>
      <c r="F16" s="220" t="s">
        <v>214</v>
      </c>
      <c r="G16" s="710" t="s">
        <v>221</v>
      </c>
      <c r="H16" s="710"/>
      <c r="I16" s="710"/>
      <c r="J16" s="711"/>
      <c r="K16" s="221"/>
      <c r="M16" s="19" t="s">
        <v>30</v>
      </c>
      <c r="N16" s="215" t="s">
        <v>31</v>
      </c>
      <c r="O16" s="215">
        <f>HLOOKUP(O$8,'Property Calc_Design Flow'!$E$3:$EJ$25,MATCH(M16,'Property Calc_Design Flow'!$C$3:$C$24,0),FALSE)</f>
        <v>280.69762026899713</v>
      </c>
      <c r="P16" s="215">
        <f>HLOOKUP(P$8,'Property Calc_Design Flow'!$E$3:$EJ$25,MATCH(M16,'Property Calc_Design Flow'!$C$3:$C$24,0),FALSE)</f>
        <v>280.69762026899713</v>
      </c>
      <c r="Q16" s="215">
        <f>HLOOKUP(Q$8,'Property Calc_Design Flow'!$E$3:$EJ$25,MATCH(M16,'Property Calc_Design Flow'!$C$3:$C$24,0),FALSE)</f>
        <v>280.69762026899713</v>
      </c>
    </row>
    <row r="17" spans="1:17" ht="14.5" x14ac:dyDescent="0.35">
      <c r="A17" s="148">
        <f>A16+1</f>
        <v>8</v>
      </c>
      <c r="B17" s="218" t="s">
        <v>282</v>
      </c>
      <c r="C17" s="100" t="s">
        <v>27</v>
      </c>
      <c r="D17" s="222">
        <f>O12</f>
        <v>1775.3656652646953</v>
      </c>
      <c r="E17" s="222">
        <f>D17</f>
        <v>1775.3656652646953</v>
      </c>
      <c r="F17" s="100">
        <v>200</v>
      </c>
      <c r="G17" s="687" t="s">
        <v>341</v>
      </c>
      <c r="H17" s="687"/>
      <c r="I17" s="687"/>
      <c r="J17" s="688"/>
      <c r="K17" s="221" t="s">
        <v>45</v>
      </c>
      <c r="M17" s="19" t="s">
        <v>18</v>
      </c>
      <c r="N17" s="215"/>
      <c r="O17" s="215">
        <f>HLOOKUP(O$8,'Property Calc_Design Flow'!$E$3:$EJ$25,MATCH(M17,'Property Calc_Design Flow'!$C$3:$C$24,0),FALSE)</f>
        <v>29.128773629995219</v>
      </c>
      <c r="P17" s="215">
        <f>HLOOKUP(P$8,'Property Calc_Design Flow'!$E$3:$EJ$25,MATCH(M17,'Property Calc_Design Flow'!$C$3:$C$24,0),FALSE)</f>
        <v>29.128773629995219</v>
      </c>
      <c r="Q17" s="215">
        <f>HLOOKUP(Q$8,'Property Calc_Design Flow'!$E$3:$EJ$25,MATCH(M17,'Property Calc_Design Flow'!$C$3:$C$24,0),FALSE)</f>
        <v>29.128773629995219</v>
      </c>
    </row>
    <row r="18" spans="1:17" ht="14.5" x14ac:dyDescent="0.35">
      <c r="A18" s="148">
        <f>A17+1</f>
        <v>9</v>
      </c>
      <c r="B18" s="99" t="s">
        <v>288</v>
      </c>
      <c r="C18" s="100" t="s">
        <v>237</v>
      </c>
      <c r="D18" s="138">
        <f>O9</f>
        <v>2</v>
      </c>
      <c r="E18" s="138">
        <v>2</v>
      </c>
      <c r="F18" s="223">
        <v>1</v>
      </c>
      <c r="G18" s="687"/>
      <c r="H18" s="687"/>
      <c r="I18" s="687"/>
      <c r="J18" s="688"/>
      <c r="K18" s="221" t="s">
        <v>45</v>
      </c>
      <c r="M18" s="19" t="s">
        <v>22</v>
      </c>
      <c r="N18" s="215" t="s">
        <v>23</v>
      </c>
      <c r="O18" s="215">
        <f>HLOOKUP(O$8,'Property Calc_Design Flow'!$E$3:$EJ$25,MATCH(M18,'Property Calc_Design Flow'!$C$3:$C$24,0),FALSE)</f>
        <v>0.99980339092408044</v>
      </c>
      <c r="P18" s="215">
        <f>HLOOKUP(P$8,'Property Calc_Design Flow'!$E$3:$EJ$25,MATCH(M18,'Property Calc_Design Flow'!$C$3:$C$24,0),FALSE)</f>
        <v>0.99980339092408044</v>
      </c>
      <c r="Q18" s="215">
        <f>HLOOKUP(Q$8,'Property Calc_Design Flow'!$E$3:$EJ$25,MATCH(M18,'Property Calc_Design Flow'!$C$3:$C$24,0),FALSE)</f>
        <v>0.99980339092408044</v>
      </c>
    </row>
    <row r="19" spans="1:17" ht="14.5" x14ac:dyDescent="0.35">
      <c r="A19" s="148">
        <f t="shared" ref="A19:A28" si="0">A18+1</f>
        <v>10</v>
      </c>
      <c r="B19" s="99" t="s">
        <v>0</v>
      </c>
      <c r="C19" s="100" t="s">
        <v>238</v>
      </c>
      <c r="D19" s="138">
        <f>O11</f>
        <v>62.4</v>
      </c>
      <c r="E19" s="138">
        <f>D19</f>
        <v>62.4</v>
      </c>
      <c r="F19" s="223">
        <v>70</v>
      </c>
      <c r="G19" s="687"/>
      <c r="H19" s="687"/>
      <c r="I19" s="687"/>
      <c r="J19" s="688"/>
      <c r="K19" s="221" t="s">
        <v>45</v>
      </c>
      <c r="M19" s="19" t="s">
        <v>20</v>
      </c>
      <c r="N19" s="215" t="s">
        <v>21</v>
      </c>
      <c r="O19" s="215">
        <f>HLOOKUP(O$8,'Property Calc_Design Flow'!$E$3:$EJ$25,MATCH(M19,'Property Calc_Design Flow'!$C$3:$C$24,0),FALSE)</f>
        <v>8.6807031745741448E-2</v>
      </c>
      <c r="P19" s="215">
        <f>HLOOKUP(P$8,'Property Calc_Design Flow'!$E$3:$EJ$25,MATCH(M19,'Property Calc_Design Flow'!$C$3:$C$24,0),FALSE)</f>
        <v>0.30481867864576484</v>
      </c>
      <c r="Q19" s="215">
        <f>HLOOKUP(Q$8,'Property Calc_Design Flow'!$E$3:$EJ$25,MATCH(M19,'Property Calc_Design Flow'!$C$3:$C$24,0),FALSE)</f>
        <v>0.36377649039179055</v>
      </c>
    </row>
    <row r="20" spans="1:17" ht="14.5" x14ac:dyDescent="0.35">
      <c r="A20" s="148">
        <f t="shared" si="0"/>
        <v>11</v>
      </c>
      <c r="B20" s="99" t="s">
        <v>286</v>
      </c>
      <c r="C20" s="100"/>
      <c r="D20" s="138">
        <f>E20*1.1</f>
        <v>32.041650992994747</v>
      </c>
      <c r="E20" s="138">
        <f>O17</f>
        <v>29.128773629995219</v>
      </c>
      <c r="F20" s="138">
        <f>E20*0.9</f>
        <v>26.215896266995699</v>
      </c>
      <c r="G20" s="687"/>
      <c r="H20" s="687"/>
      <c r="I20" s="687"/>
      <c r="J20" s="688"/>
      <c r="K20" s="221" t="s">
        <v>45</v>
      </c>
      <c r="M20" s="139"/>
      <c r="N20" s="216"/>
      <c r="O20" s="215"/>
      <c r="P20" s="215"/>
      <c r="Q20" s="215"/>
    </row>
    <row r="21" spans="1:17" ht="14.5" x14ac:dyDescent="0.35">
      <c r="A21" s="148">
        <f t="shared" si="0"/>
        <v>12</v>
      </c>
      <c r="B21" s="729" t="s">
        <v>287</v>
      </c>
      <c r="C21" s="729"/>
      <c r="D21" s="729"/>
      <c r="E21" s="729"/>
      <c r="F21" s="729"/>
      <c r="G21" s="687"/>
      <c r="H21" s="687"/>
      <c r="I21" s="687"/>
      <c r="J21" s="688"/>
      <c r="K21" s="221"/>
      <c r="M21" s="98" t="s">
        <v>159</v>
      </c>
      <c r="N21" s="217" t="s">
        <v>3</v>
      </c>
      <c r="O21" s="215" t="str">
        <f>HLOOKUP(O$8,'Property Calc_Design Flow'!$E$3:$EJ$25,MATCH(M21,'Property Calc_Design Flow'!$C$3:$C$24,0),FALSE)</f>
        <v/>
      </c>
      <c r="P21" s="215" t="str">
        <f>HLOOKUP(P$8,'Property Calc_Design Flow'!$E$3:$EJ$25,MATCH(M21,'Property Calc_Design Flow'!$C$3:$C$24,0),FALSE)</f>
        <v/>
      </c>
      <c r="Q21" s="215" t="str">
        <f>HLOOKUP(Q$8,'Property Calc_Design Flow'!$E$3:$EJ$25,MATCH(M21,'Property Calc_Design Flow'!$C$3:$C$24,0),FALSE)</f>
        <v/>
      </c>
    </row>
    <row r="22" spans="1:17" ht="15" x14ac:dyDescent="0.4">
      <c r="A22" s="148">
        <f t="shared" si="0"/>
        <v>13</v>
      </c>
      <c r="B22" s="99" t="s">
        <v>240</v>
      </c>
      <c r="C22" s="100" t="s">
        <v>122</v>
      </c>
      <c r="D22" s="728">
        <f>O22</f>
        <v>51.814507662187808</v>
      </c>
      <c r="E22" s="728"/>
      <c r="F22" s="728"/>
      <c r="G22" s="687"/>
      <c r="H22" s="687"/>
      <c r="I22" s="687"/>
      <c r="J22" s="688"/>
      <c r="K22" s="221" t="s">
        <v>45</v>
      </c>
      <c r="M22" s="19" t="s">
        <v>7</v>
      </c>
      <c r="N22" s="215" t="s">
        <v>122</v>
      </c>
      <c r="O22" s="215">
        <f>HLOOKUP(O$8,'Property Calc_Design Flow'!$E$3:$EJ$25,MATCH(M22,'Property Calc_Design Flow'!$C$3:$C$24,0),FALSE)</f>
        <v>51.814507662187808</v>
      </c>
      <c r="P22" s="215">
        <f>HLOOKUP(P$8,'Property Calc_Design Flow'!$E$3:$EJ$25,MATCH(M22,'Property Calc_Design Flow'!$C$3:$C$24,0),FALSE)</f>
        <v>51.814507662187808</v>
      </c>
      <c r="Q22" s="215">
        <f>HLOOKUP(Q$8,'Property Calc_Design Flow'!$E$3:$EJ$25,MATCH(M22,'Property Calc_Design Flow'!$C$3:$C$24,0),FALSE)</f>
        <v>51.814507662187808</v>
      </c>
    </row>
    <row r="23" spans="1:17" ht="15" x14ac:dyDescent="0.4">
      <c r="A23" s="148">
        <f t="shared" si="0"/>
        <v>14</v>
      </c>
      <c r="B23" s="99" t="s">
        <v>241</v>
      </c>
      <c r="C23" s="100" t="s">
        <v>122</v>
      </c>
      <c r="D23" s="728">
        <f>O23</f>
        <v>45.435183870509718</v>
      </c>
      <c r="E23" s="728"/>
      <c r="F23" s="728"/>
      <c r="G23" s="687"/>
      <c r="H23" s="687"/>
      <c r="I23" s="687"/>
      <c r="J23" s="688"/>
      <c r="K23" s="221" t="s">
        <v>45</v>
      </c>
      <c r="M23" s="19" t="s">
        <v>8</v>
      </c>
      <c r="N23" s="215" t="s">
        <v>122</v>
      </c>
      <c r="O23" s="215">
        <f>HLOOKUP(O$8,'Property Calc_Design Flow'!$E$3:$EJ$25,MATCH(M23,'Property Calc_Design Flow'!$C$3:$C$24,0),FALSE)</f>
        <v>45.435183870509718</v>
      </c>
      <c r="P23" s="215">
        <f>HLOOKUP(P$8,'Property Calc_Design Flow'!$E$3:$EJ$25,MATCH(M23,'Property Calc_Design Flow'!$C$3:$C$24,0),FALSE)</f>
        <v>45.435183870509718</v>
      </c>
      <c r="Q23" s="215">
        <f>HLOOKUP(Q$8,'Property Calc_Design Flow'!$E$3:$EJ$25,MATCH(M23,'Property Calc_Design Flow'!$C$3:$C$24,0),FALSE)</f>
        <v>45.435183870509718</v>
      </c>
    </row>
    <row r="24" spans="1:17" ht="15" x14ac:dyDescent="0.4">
      <c r="A24" s="148">
        <f t="shared" si="0"/>
        <v>15</v>
      </c>
      <c r="B24" s="99" t="s">
        <v>243</v>
      </c>
      <c r="C24" s="100" t="s">
        <v>122</v>
      </c>
      <c r="D24" s="728">
        <f>O24</f>
        <v>1.2198706937064672</v>
      </c>
      <c r="E24" s="728"/>
      <c r="F24" s="728"/>
      <c r="G24" s="687"/>
      <c r="H24" s="687"/>
      <c r="I24" s="687"/>
      <c r="J24" s="688"/>
      <c r="K24" s="221" t="s">
        <v>45</v>
      </c>
      <c r="M24" s="19" t="s">
        <v>9</v>
      </c>
      <c r="N24" s="215" t="s">
        <v>122</v>
      </c>
      <c r="O24" s="215">
        <f>HLOOKUP(O$8,'Property Calc_Design Flow'!$E$3:$EJ$25,MATCH(M24,'Property Calc_Design Flow'!$C$3:$C$24,0),FALSE)</f>
        <v>1.2198706937064672</v>
      </c>
      <c r="P24" s="215">
        <f>HLOOKUP(P$8,'Property Calc_Design Flow'!$E$3:$EJ$25,MATCH(M24,'Property Calc_Design Flow'!$C$3:$C$24,0),FALSE)</f>
        <v>1.2198706937064672</v>
      </c>
      <c r="Q24" s="215">
        <f>HLOOKUP(Q$8,'Property Calc_Design Flow'!$E$3:$EJ$25,MATCH(M24,'Property Calc_Design Flow'!$C$3:$C$24,0),FALSE)</f>
        <v>1.2198706937064672</v>
      </c>
    </row>
    <row r="25" spans="1:17" ht="15" x14ac:dyDescent="0.4">
      <c r="A25" s="148">
        <f t="shared" si="0"/>
        <v>16</v>
      </c>
      <c r="B25" s="99" t="s">
        <v>242</v>
      </c>
      <c r="C25" s="100" t="s">
        <v>122</v>
      </c>
      <c r="D25" s="728">
        <f>O25</f>
        <v>1.4598452564028215</v>
      </c>
      <c r="E25" s="728"/>
      <c r="F25" s="728"/>
      <c r="G25" s="687"/>
      <c r="H25" s="687"/>
      <c r="I25" s="687"/>
      <c r="J25" s="688"/>
      <c r="K25" s="221" t="s">
        <v>45</v>
      </c>
      <c r="M25" s="19" t="s">
        <v>10</v>
      </c>
      <c r="N25" s="215" t="s">
        <v>122</v>
      </c>
      <c r="O25" s="215">
        <f>HLOOKUP(O$8,'Property Calc_Design Flow'!$E$3:$EJ$25,MATCH(M25,'Property Calc_Design Flow'!$C$3:$C$24,0),FALSE)</f>
        <v>1.4598452564028215</v>
      </c>
      <c r="P25" s="215">
        <f>HLOOKUP(P$8,'Property Calc_Design Flow'!$E$3:$EJ$25,MATCH(M25,'Property Calc_Design Flow'!$C$3:$C$24,0),FALSE)</f>
        <v>1.4598452564028215</v>
      </c>
      <c r="Q25" s="215">
        <f>HLOOKUP(Q$8,'Property Calc_Design Flow'!$E$3:$EJ$25,MATCH(M25,'Property Calc_Design Flow'!$C$3:$C$24,0),FALSE)</f>
        <v>1.4598452564028215</v>
      </c>
    </row>
    <row r="26" spans="1:17" ht="15" x14ac:dyDescent="0.4">
      <c r="A26" s="148">
        <f t="shared" si="0"/>
        <v>17</v>
      </c>
      <c r="B26" s="99" t="s">
        <v>244</v>
      </c>
      <c r="C26" s="100" t="s">
        <v>239</v>
      </c>
      <c r="D26" s="785">
        <v>4</v>
      </c>
      <c r="E26" s="785"/>
      <c r="F26" s="785"/>
      <c r="G26" s="687"/>
      <c r="H26" s="687"/>
      <c r="I26" s="687"/>
      <c r="J26" s="688"/>
      <c r="K26" s="221"/>
      <c r="M26" s="19" t="s">
        <v>11</v>
      </c>
      <c r="N26" s="215" t="s">
        <v>122</v>
      </c>
      <c r="O26" s="215">
        <f>HLOOKUP(O$8,'Property Calc_Design Flow'!$E$3:$EJ$25,MATCH(M26,'Property Calc_Design Flow'!$C$3:$C$24,0),FALSE)</f>
        <v>5.9993640674088546E-4</v>
      </c>
      <c r="P26" s="215">
        <f>HLOOKUP(P$8,'Property Calc_Design Flow'!$E$3:$EJ$25,MATCH(M26,'Property Calc_Design Flow'!$C$3:$C$24,0),FALSE)</f>
        <v>5.9993640674088546E-4</v>
      </c>
      <c r="Q26" s="215">
        <f>HLOOKUP(Q$8,'Property Calc_Design Flow'!$E$3:$EJ$25,MATCH(M26,'Property Calc_Design Flow'!$C$3:$C$24,0),FALSE)</f>
        <v>5.9993640674088546E-4</v>
      </c>
    </row>
    <row r="27" spans="1:17" ht="15" x14ac:dyDescent="0.4">
      <c r="A27" s="148">
        <f t="shared" si="0"/>
        <v>18</v>
      </c>
      <c r="B27" s="99" t="s">
        <v>245</v>
      </c>
      <c r="C27" s="100" t="s">
        <v>122</v>
      </c>
      <c r="D27" s="728">
        <f>O27</f>
        <v>6.9992580786436623E-2</v>
      </c>
      <c r="E27" s="728"/>
      <c r="F27" s="728"/>
      <c r="G27" s="687"/>
      <c r="H27" s="687"/>
      <c r="I27" s="687"/>
      <c r="J27" s="688"/>
      <c r="K27" s="221" t="s">
        <v>45</v>
      </c>
      <c r="M27" s="19" t="s">
        <v>12</v>
      </c>
      <c r="N27" s="215" t="s">
        <v>122</v>
      </c>
      <c r="O27" s="215">
        <f>HLOOKUP(O$8,'Property Calc_Design Flow'!$E$3:$EJ$25,MATCH(M27,'Property Calc_Design Flow'!$C$3:$C$24,0),FALSE)</f>
        <v>6.9992580786436623E-2</v>
      </c>
      <c r="P27" s="215">
        <f>HLOOKUP(P$8,'Property Calc_Design Flow'!$E$3:$EJ$25,MATCH(M27,'Property Calc_Design Flow'!$C$3:$C$24,0),FALSE)</f>
        <v>6.9992580786436623E-2</v>
      </c>
      <c r="Q27" s="215">
        <f>HLOOKUP(Q$8,'Property Calc_Design Flow'!$E$3:$EJ$25,MATCH(M27,'Property Calc_Design Flow'!$C$3:$C$24,0),FALSE)</f>
        <v>6.9992580786436623E-2</v>
      </c>
    </row>
    <row r="28" spans="1:17" ht="15" thickBot="1" x14ac:dyDescent="0.4">
      <c r="A28" s="148">
        <f t="shared" si="0"/>
        <v>19</v>
      </c>
      <c r="B28" s="101" t="s">
        <v>216</v>
      </c>
      <c r="C28" s="224" t="s">
        <v>239</v>
      </c>
      <c r="D28" s="730" t="s">
        <v>217</v>
      </c>
      <c r="E28" s="730"/>
      <c r="F28" s="730"/>
      <c r="G28" s="689"/>
      <c r="H28" s="689"/>
      <c r="I28" s="689"/>
      <c r="J28" s="690"/>
      <c r="K28" s="221"/>
      <c r="M28" s="19" t="s">
        <v>32</v>
      </c>
      <c r="N28" s="215" t="s">
        <v>122</v>
      </c>
      <c r="O28" s="215">
        <f>HLOOKUP(O$8,'Property Calc_Design Flow'!$E$3:$EJ$25,MATCH(M28,'Property Calc_Design Flow'!$C$3:$C$24,0),FALSE)</f>
        <v>0</v>
      </c>
      <c r="P28" s="215">
        <f>HLOOKUP(P$8,'Property Calc_Design Flow'!$E$3:$EJ$25,MATCH(M28,'Property Calc_Design Flow'!$C$3:$C$24,0),FALSE)</f>
        <v>0</v>
      </c>
      <c r="Q28" s="215">
        <f>HLOOKUP(Q$8,'Property Calc_Design Flow'!$E$3:$EJ$25,MATCH(M28,'Property Calc_Design Flow'!$C$3:$C$24,0),FALSE)</f>
        <v>0</v>
      </c>
    </row>
    <row r="29" spans="1:17" ht="13.5" thickBot="1" x14ac:dyDescent="0.35">
      <c r="A29" s="707" t="s">
        <v>566</v>
      </c>
      <c r="B29" s="708"/>
      <c r="C29" s="708"/>
      <c r="D29" s="708"/>
      <c r="E29" s="708"/>
      <c r="F29" s="708"/>
      <c r="G29" s="708"/>
      <c r="H29" s="708"/>
      <c r="I29" s="708"/>
      <c r="J29" s="709"/>
      <c r="K29" s="228" t="s">
        <v>45</v>
      </c>
    </row>
    <row r="30" spans="1:17" x14ac:dyDescent="0.3">
      <c r="A30" s="147">
        <f>A28+1</f>
        <v>20</v>
      </c>
      <c r="B30" s="106" t="s">
        <v>248</v>
      </c>
      <c r="C30" s="220" t="s">
        <v>222</v>
      </c>
      <c r="D30" s="220" t="s">
        <v>215</v>
      </c>
      <c r="E30" s="220" t="s">
        <v>218</v>
      </c>
      <c r="F30" s="220" t="s">
        <v>214</v>
      </c>
      <c r="G30" s="710" t="s">
        <v>221</v>
      </c>
      <c r="H30" s="710"/>
      <c r="I30" s="710"/>
      <c r="J30" s="711"/>
      <c r="K30" s="221"/>
    </row>
    <row r="31" spans="1:17" x14ac:dyDescent="0.3">
      <c r="A31" s="148">
        <f>A30+1</f>
        <v>21</v>
      </c>
      <c r="B31" s="99" t="s">
        <v>289</v>
      </c>
      <c r="C31" s="100" t="s">
        <v>237</v>
      </c>
      <c r="D31" s="222">
        <v>75</v>
      </c>
      <c r="E31" s="222">
        <f>P9</f>
        <v>65</v>
      </c>
      <c r="F31" s="100">
        <v>40</v>
      </c>
      <c r="G31" s="687" t="s">
        <v>577</v>
      </c>
      <c r="H31" s="687"/>
      <c r="I31" s="687"/>
      <c r="J31" s="688"/>
      <c r="K31" s="221"/>
    </row>
    <row r="32" spans="1:17" x14ac:dyDescent="0.3">
      <c r="A32" s="148">
        <f t="shared" ref="A32:A33" si="1">A31+1</f>
        <v>22</v>
      </c>
      <c r="B32" s="99" t="s">
        <v>396</v>
      </c>
      <c r="C32" s="100" t="s">
        <v>238</v>
      </c>
      <c r="D32" s="138">
        <f>E32</f>
        <v>250</v>
      </c>
      <c r="E32" s="138">
        <f>P11</f>
        <v>250</v>
      </c>
      <c r="F32" s="138">
        <f>E32</f>
        <v>250</v>
      </c>
      <c r="G32" s="687"/>
      <c r="H32" s="687"/>
      <c r="I32" s="687"/>
      <c r="J32" s="688"/>
      <c r="K32" s="221"/>
    </row>
    <row r="33" spans="1:11" x14ac:dyDescent="0.3">
      <c r="A33" s="148">
        <f t="shared" si="1"/>
        <v>23</v>
      </c>
      <c r="B33" s="99" t="s">
        <v>397</v>
      </c>
      <c r="C33" s="100" t="s">
        <v>238</v>
      </c>
      <c r="D33" s="138">
        <f>Q10</f>
        <v>120</v>
      </c>
      <c r="E33" s="138">
        <v>121</v>
      </c>
      <c r="F33" s="138">
        <v>100</v>
      </c>
      <c r="G33" s="687"/>
      <c r="H33" s="687"/>
      <c r="I33" s="687"/>
      <c r="J33" s="688"/>
      <c r="K33" s="221" t="s">
        <v>45</v>
      </c>
    </row>
    <row r="34" spans="1:11" x14ac:dyDescent="0.3">
      <c r="A34" s="148">
        <f>A33+1</f>
        <v>24</v>
      </c>
      <c r="B34" s="99" t="s">
        <v>291</v>
      </c>
      <c r="C34" s="100"/>
      <c r="D34" s="223" t="s">
        <v>246</v>
      </c>
      <c r="E34" s="223" t="s">
        <v>246</v>
      </c>
      <c r="F34" s="223" t="s">
        <v>246</v>
      </c>
      <c r="G34" s="687"/>
      <c r="H34" s="687"/>
      <c r="I34" s="687"/>
      <c r="J34" s="688"/>
      <c r="K34" s="221"/>
    </row>
    <row r="35" spans="1:11" x14ac:dyDescent="0.3">
      <c r="A35" s="148">
        <f t="shared" ref="A35:A42" si="2">A34+1</f>
        <v>25</v>
      </c>
      <c r="B35" s="99" t="s">
        <v>292</v>
      </c>
      <c r="C35" s="100"/>
      <c r="D35" s="223" t="s">
        <v>246</v>
      </c>
      <c r="E35" s="223" t="s">
        <v>246</v>
      </c>
      <c r="F35" s="223" t="s">
        <v>246</v>
      </c>
      <c r="G35" s="687"/>
      <c r="H35" s="687"/>
      <c r="I35" s="687"/>
      <c r="J35" s="688"/>
      <c r="K35" s="221"/>
    </row>
    <row r="36" spans="1:11" x14ac:dyDescent="0.3">
      <c r="A36" s="148">
        <f t="shared" si="2"/>
        <v>26</v>
      </c>
      <c r="B36" s="99" t="s">
        <v>293</v>
      </c>
      <c r="C36" s="100" t="s">
        <v>238</v>
      </c>
      <c r="D36" s="223" t="s">
        <v>246</v>
      </c>
      <c r="E36" s="223" t="s">
        <v>246</v>
      </c>
      <c r="F36" s="223" t="s">
        <v>246</v>
      </c>
      <c r="G36" s="687"/>
      <c r="H36" s="687"/>
      <c r="I36" s="687"/>
      <c r="J36" s="688"/>
      <c r="K36" s="221"/>
    </row>
    <row r="37" spans="1:11" x14ac:dyDescent="0.3">
      <c r="A37" s="148">
        <f t="shared" si="2"/>
        <v>27</v>
      </c>
      <c r="B37" s="99" t="s">
        <v>342</v>
      </c>
      <c r="C37" s="100" t="s">
        <v>123</v>
      </c>
      <c r="D37" s="728" t="s">
        <v>295</v>
      </c>
      <c r="E37" s="728"/>
      <c r="F37" s="728"/>
      <c r="G37" s="687"/>
      <c r="H37" s="687"/>
      <c r="I37" s="687"/>
      <c r="J37" s="688"/>
      <c r="K37" s="221"/>
    </row>
    <row r="38" spans="1:11" x14ac:dyDescent="0.3">
      <c r="A38" s="148">
        <f t="shared" si="2"/>
        <v>28</v>
      </c>
      <c r="B38" s="99" t="s">
        <v>296</v>
      </c>
      <c r="C38" s="100" t="s">
        <v>297</v>
      </c>
      <c r="D38" s="728" t="s">
        <v>246</v>
      </c>
      <c r="E38" s="728"/>
      <c r="F38" s="728"/>
      <c r="G38" s="687"/>
      <c r="H38" s="687"/>
      <c r="I38" s="687"/>
      <c r="J38" s="688"/>
      <c r="K38" s="221"/>
    </row>
    <row r="39" spans="1:11" ht="15" customHeight="1" x14ac:dyDescent="0.3">
      <c r="A39" s="148">
        <f t="shared" si="2"/>
        <v>29</v>
      </c>
      <c r="B39" s="99" t="s">
        <v>298</v>
      </c>
      <c r="C39" s="100" t="s">
        <v>299</v>
      </c>
      <c r="D39" s="223" t="s">
        <v>246</v>
      </c>
      <c r="E39" s="223" t="s">
        <v>246</v>
      </c>
      <c r="F39" s="223" t="s">
        <v>246</v>
      </c>
      <c r="G39" s="687"/>
      <c r="H39" s="687"/>
      <c r="I39" s="687"/>
      <c r="J39" s="688"/>
      <c r="K39" s="221"/>
    </row>
    <row r="40" spans="1:11" x14ac:dyDescent="0.3">
      <c r="A40" s="148">
        <f t="shared" si="2"/>
        <v>30</v>
      </c>
      <c r="B40" s="99" t="s">
        <v>300</v>
      </c>
      <c r="C40" s="100" t="s">
        <v>301</v>
      </c>
      <c r="D40" s="223" t="s">
        <v>246</v>
      </c>
      <c r="E40" s="223" t="s">
        <v>246</v>
      </c>
      <c r="F40" s="223" t="s">
        <v>246</v>
      </c>
      <c r="G40" s="687"/>
      <c r="H40" s="687"/>
      <c r="I40" s="687"/>
      <c r="J40" s="688"/>
      <c r="K40" s="221"/>
    </row>
    <row r="41" spans="1:11" x14ac:dyDescent="0.3">
      <c r="A41" s="148">
        <f t="shared" si="2"/>
        <v>31</v>
      </c>
      <c r="B41" s="141" t="s">
        <v>302</v>
      </c>
      <c r="C41" s="142" t="s">
        <v>149</v>
      </c>
      <c r="D41" s="223" t="s">
        <v>246</v>
      </c>
      <c r="E41" s="223" t="s">
        <v>246</v>
      </c>
      <c r="F41" s="223" t="s">
        <v>246</v>
      </c>
      <c r="G41" s="726"/>
      <c r="H41" s="726"/>
      <c r="I41" s="726"/>
      <c r="J41" s="727"/>
      <c r="K41" s="221"/>
    </row>
    <row r="42" spans="1:11" ht="13.5" thickBot="1" x14ac:dyDescent="0.35">
      <c r="A42" s="148">
        <f t="shared" si="2"/>
        <v>32</v>
      </c>
      <c r="B42" s="141" t="s">
        <v>567</v>
      </c>
      <c r="C42" s="142"/>
      <c r="D42" s="223" t="s">
        <v>246</v>
      </c>
      <c r="E42" s="223" t="s">
        <v>246</v>
      </c>
      <c r="F42" s="223" t="s">
        <v>246</v>
      </c>
      <c r="G42" s="726"/>
      <c r="H42" s="726"/>
      <c r="I42" s="726"/>
      <c r="J42" s="727"/>
      <c r="K42" s="221" t="s">
        <v>45</v>
      </c>
    </row>
    <row r="43" spans="1:11" ht="13.5" thickBot="1" x14ac:dyDescent="0.35">
      <c r="A43" s="707" t="s">
        <v>304</v>
      </c>
      <c r="B43" s="708"/>
      <c r="C43" s="708"/>
      <c r="D43" s="708"/>
      <c r="E43" s="708"/>
      <c r="F43" s="708"/>
      <c r="G43" s="708"/>
      <c r="H43" s="708"/>
      <c r="I43" s="708"/>
      <c r="J43" s="709"/>
      <c r="K43" s="228"/>
    </row>
    <row r="44" spans="1:11" x14ac:dyDescent="0.3">
      <c r="A44" s="147">
        <f>A42+1</f>
        <v>33</v>
      </c>
      <c r="B44" s="106" t="s">
        <v>248</v>
      </c>
      <c r="C44" s="220" t="s">
        <v>222</v>
      </c>
      <c r="D44" s="220" t="s">
        <v>215</v>
      </c>
      <c r="E44" s="220" t="s">
        <v>218</v>
      </c>
      <c r="F44" s="220" t="s">
        <v>214</v>
      </c>
      <c r="G44" s="710" t="s">
        <v>221</v>
      </c>
      <c r="H44" s="710"/>
      <c r="I44" s="710"/>
      <c r="J44" s="711"/>
      <c r="K44" s="221"/>
    </row>
    <row r="45" spans="1:11" x14ac:dyDescent="0.3">
      <c r="A45" s="148">
        <f>A44+1</f>
        <v>34</v>
      </c>
      <c r="B45" s="218" t="s">
        <v>305</v>
      </c>
      <c r="C45" s="100" t="s">
        <v>330</v>
      </c>
      <c r="D45" s="704" t="s">
        <v>262</v>
      </c>
      <c r="E45" s="705"/>
      <c r="F45" s="706"/>
      <c r="G45" s="687"/>
      <c r="H45" s="687"/>
      <c r="I45" s="687"/>
      <c r="J45" s="688"/>
      <c r="K45" s="221"/>
    </row>
    <row r="46" spans="1:11" x14ac:dyDescent="0.3">
      <c r="A46" s="148">
        <f>A45+1</f>
        <v>35</v>
      </c>
      <c r="B46" s="218" t="s">
        <v>362</v>
      </c>
      <c r="C46" s="100" t="s">
        <v>330</v>
      </c>
      <c r="D46" s="704" t="s">
        <v>262</v>
      </c>
      <c r="E46" s="705"/>
      <c r="F46" s="706"/>
      <c r="G46" s="687"/>
      <c r="H46" s="687"/>
      <c r="I46" s="687"/>
      <c r="J46" s="688"/>
      <c r="K46" s="221"/>
    </row>
    <row r="47" spans="1:11" x14ac:dyDescent="0.3">
      <c r="A47" s="148">
        <f>A46+1</f>
        <v>36</v>
      </c>
      <c r="B47" s="99" t="s">
        <v>306</v>
      </c>
      <c r="C47" s="100"/>
      <c r="D47" s="223" t="s">
        <v>307</v>
      </c>
      <c r="E47" s="223" t="s">
        <v>308</v>
      </c>
      <c r="F47" s="223" t="s">
        <v>309</v>
      </c>
      <c r="G47" s="687"/>
      <c r="H47" s="687"/>
      <c r="I47" s="687"/>
      <c r="J47" s="688"/>
      <c r="K47" s="221"/>
    </row>
    <row r="48" spans="1:11" x14ac:dyDescent="0.3">
      <c r="A48" s="148">
        <f t="shared" ref="A48:A49" si="3">A47+1</f>
        <v>37</v>
      </c>
      <c r="B48" s="99" t="s">
        <v>310</v>
      </c>
      <c r="C48" s="100" t="s">
        <v>330</v>
      </c>
      <c r="D48" s="704" t="s">
        <v>262</v>
      </c>
      <c r="E48" s="705"/>
      <c r="F48" s="706"/>
      <c r="G48" s="687"/>
      <c r="H48" s="687"/>
      <c r="I48" s="687"/>
      <c r="J48" s="688"/>
      <c r="K48" s="221"/>
    </row>
    <row r="49" spans="1:11" ht="13.5" thickBot="1" x14ac:dyDescent="0.35">
      <c r="A49" s="148">
        <f t="shared" si="3"/>
        <v>38</v>
      </c>
      <c r="B49" s="99" t="s">
        <v>311</v>
      </c>
      <c r="C49" s="100"/>
      <c r="D49" s="223" t="s">
        <v>246</v>
      </c>
      <c r="E49" s="223" t="s">
        <v>308</v>
      </c>
      <c r="F49" s="223" t="s">
        <v>246</v>
      </c>
      <c r="G49" s="687"/>
      <c r="H49" s="687"/>
      <c r="I49" s="687"/>
      <c r="J49" s="688"/>
      <c r="K49" s="221"/>
    </row>
    <row r="50" spans="1:11" ht="13.5" thickBot="1" x14ac:dyDescent="0.35">
      <c r="A50" s="707" t="s">
        <v>312</v>
      </c>
      <c r="B50" s="708"/>
      <c r="C50" s="708"/>
      <c r="D50" s="708"/>
      <c r="E50" s="708"/>
      <c r="F50" s="708"/>
      <c r="G50" s="708"/>
      <c r="H50" s="708"/>
      <c r="I50" s="708"/>
      <c r="J50" s="709"/>
      <c r="K50" s="228"/>
    </row>
    <row r="51" spans="1:11" x14ac:dyDescent="0.3">
      <c r="A51" s="147">
        <f>A49+1</f>
        <v>39</v>
      </c>
      <c r="B51" s="106" t="s">
        <v>248</v>
      </c>
      <c r="C51" s="220" t="s">
        <v>222</v>
      </c>
      <c r="D51" s="220" t="s">
        <v>215</v>
      </c>
      <c r="E51" s="220" t="s">
        <v>218</v>
      </c>
      <c r="F51" s="220" t="s">
        <v>214</v>
      </c>
      <c r="G51" s="710" t="s">
        <v>221</v>
      </c>
      <c r="H51" s="710"/>
      <c r="I51" s="710"/>
      <c r="J51" s="711"/>
      <c r="K51" s="221"/>
    </row>
    <row r="52" spans="1:11" ht="14.5" customHeight="1" x14ac:dyDescent="0.3">
      <c r="A52" s="148">
        <f>A51+1</f>
        <v>40</v>
      </c>
      <c r="B52" s="218" t="s">
        <v>266</v>
      </c>
      <c r="C52" s="100" t="s">
        <v>5</v>
      </c>
      <c r="D52" s="222">
        <f>'Input Sheet'!F27</f>
        <v>120</v>
      </c>
      <c r="E52" s="222">
        <f>'Input Sheet'!G27</f>
        <v>100</v>
      </c>
      <c r="F52" s="222">
        <f>'Input Sheet'!H27</f>
        <v>80</v>
      </c>
      <c r="G52" s="687"/>
      <c r="H52" s="687"/>
      <c r="I52" s="687"/>
      <c r="J52" s="688"/>
      <c r="K52" s="221"/>
    </row>
    <row r="53" spans="1:11" ht="14.5" customHeight="1" x14ac:dyDescent="0.3">
      <c r="A53" s="148">
        <f t="shared" ref="A53:A56" si="4">A52+1</f>
        <v>41</v>
      </c>
      <c r="B53" s="218" t="s">
        <v>267</v>
      </c>
      <c r="C53" s="100" t="s">
        <v>238</v>
      </c>
      <c r="D53" s="222">
        <f>'Input Sheet'!F28</f>
        <v>150</v>
      </c>
      <c r="E53" s="222">
        <f>'Input Sheet'!G28</f>
        <v>100</v>
      </c>
      <c r="F53" s="222">
        <f>'Input Sheet'!H28</f>
        <v>60</v>
      </c>
      <c r="G53" s="687"/>
      <c r="H53" s="687"/>
      <c r="I53" s="687"/>
      <c r="J53" s="688"/>
      <c r="K53" s="221"/>
    </row>
    <row r="54" spans="1:11" ht="14.5" customHeight="1" x14ac:dyDescent="0.3">
      <c r="A54" s="148">
        <f t="shared" si="4"/>
        <v>42</v>
      </c>
      <c r="B54" s="218" t="s">
        <v>322</v>
      </c>
      <c r="C54" s="100" t="s">
        <v>5</v>
      </c>
      <c r="D54" s="222" t="s">
        <v>408</v>
      </c>
      <c r="E54" s="222" t="s">
        <v>408</v>
      </c>
      <c r="F54" s="222" t="s">
        <v>408</v>
      </c>
      <c r="G54" s="687"/>
      <c r="H54" s="687"/>
      <c r="I54" s="687"/>
      <c r="J54" s="688"/>
      <c r="K54" s="221" t="s">
        <v>45</v>
      </c>
    </row>
    <row r="55" spans="1:11" ht="14.5" customHeight="1" x14ac:dyDescent="0.3">
      <c r="A55" s="148">
        <f t="shared" si="4"/>
        <v>43</v>
      </c>
      <c r="B55" s="218" t="s">
        <v>323</v>
      </c>
      <c r="C55" s="100" t="s">
        <v>238</v>
      </c>
      <c r="D55" s="222" t="s">
        <v>408</v>
      </c>
      <c r="E55" s="222" t="s">
        <v>408</v>
      </c>
      <c r="F55" s="222" t="s">
        <v>408</v>
      </c>
      <c r="G55" s="687"/>
      <c r="H55" s="687"/>
      <c r="I55" s="687"/>
      <c r="J55" s="688"/>
      <c r="K55" s="221" t="s">
        <v>45</v>
      </c>
    </row>
    <row r="56" spans="1:11" ht="14.5" customHeight="1" thickBot="1" x14ac:dyDescent="0.35">
      <c r="A56" s="150">
        <f t="shared" si="4"/>
        <v>44</v>
      </c>
      <c r="B56" s="226" t="s">
        <v>400</v>
      </c>
      <c r="C56" s="224" t="s">
        <v>238</v>
      </c>
      <c r="D56" s="222" t="s">
        <v>408</v>
      </c>
      <c r="E56" s="222" t="s">
        <v>408</v>
      </c>
      <c r="F56" s="222" t="s">
        <v>408</v>
      </c>
      <c r="G56" s="689"/>
      <c r="H56" s="689"/>
      <c r="I56" s="689"/>
      <c r="J56" s="690"/>
      <c r="K56" s="221" t="s">
        <v>45</v>
      </c>
    </row>
    <row r="57" spans="1:11" ht="15" customHeight="1" thickBot="1" x14ac:dyDescent="0.35">
      <c r="A57" s="707" t="s">
        <v>313</v>
      </c>
      <c r="B57" s="708"/>
      <c r="C57" s="708"/>
      <c r="D57" s="708"/>
      <c r="E57" s="708"/>
      <c r="F57" s="708"/>
      <c r="G57" s="708"/>
      <c r="H57" s="708"/>
      <c r="I57" s="708"/>
      <c r="J57" s="709"/>
      <c r="K57" s="228"/>
    </row>
    <row r="58" spans="1:11" x14ac:dyDescent="0.3">
      <c r="A58" s="147">
        <f>A56+1</f>
        <v>45</v>
      </c>
      <c r="B58" s="106" t="s">
        <v>248</v>
      </c>
      <c r="C58" s="220" t="s">
        <v>222</v>
      </c>
      <c r="D58" s="710" t="s">
        <v>251</v>
      </c>
      <c r="E58" s="710"/>
      <c r="F58" s="710"/>
      <c r="G58" s="710" t="s">
        <v>221</v>
      </c>
      <c r="H58" s="710"/>
      <c r="I58" s="710"/>
      <c r="J58" s="711"/>
      <c r="K58" s="221"/>
    </row>
    <row r="59" spans="1:11" x14ac:dyDescent="0.3">
      <c r="A59" s="148">
        <f>A58+1</f>
        <v>46</v>
      </c>
      <c r="B59" s="218" t="s">
        <v>315</v>
      </c>
      <c r="C59" s="100" t="s">
        <v>5</v>
      </c>
      <c r="D59" s="431">
        <v>250</v>
      </c>
      <c r="E59" s="431"/>
      <c r="F59" s="431"/>
      <c r="G59" s="687" t="s">
        <v>568</v>
      </c>
      <c r="H59" s="687"/>
      <c r="I59" s="687"/>
      <c r="J59" s="688"/>
      <c r="K59" s="221" t="s">
        <v>45</v>
      </c>
    </row>
    <row r="60" spans="1:11" x14ac:dyDescent="0.3">
      <c r="A60" s="148">
        <f t="shared" ref="A60:A63" si="5">A59+1</f>
        <v>47</v>
      </c>
      <c r="B60" s="218" t="s">
        <v>401</v>
      </c>
      <c r="C60" s="100" t="s">
        <v>238</v>
      </c>
      <c r="D60" s="431" t="s">
        <v>246</v>
      </c>
      <c r="E60" s="431"/>
      <c r="F60" s="431"/>
      <c r="G60" s="687"/>
      <c r="H60" s="687"/>
      <c r="I60" s="687"/>
      <c r="J60" s="688"/>
      <c r="K60" s="221"/>
    </row>
    <row r="61" spans="1:11" x14ac:dyDescent="0.3">
      <c r="A61" s="148">
        <f t="shared" si="5"/>
        <v>48</v>
      </c>
      <c r="B61" s="99" t="s">
        <v>249</v>
      </c>
      <c r="C61" s="100"/>
      <c r="D61" s="431" t="s">
        <v>250</v>
      </c>
      <c r="E61" s="431"/>
      <c r="F61" s="431"/>
      <c r="G61" s="687"/>
      <c r="H61" s="687"/>
      <c r="I61" s="687"/>
      <c r="J61" s="688"/>
      <c r="K61" s="221"/>
    </row>
    <row r="62" spans="1:11" x14ac:dyDescent="0.3">
      <c r="A62" s="148">
        <f t="shared" si="5"/>
        <v>49</v>
      </c>
      <c r="B62" s="99" t="s">
        <v>403</v>
      </c>
      <c r="C62" s="100"/>
      <c r="D62" s="593" t="s">
        <v>246</v>
      </c>
      <c r="E62" s="593"/>
      <c r="F62" s="593"/>
      <c r="G62" s="687"/>
      <c r="H62" s="687"/>
      <c r="I62" s="687"/>
      <c r="J62" s="688"/>
      <c r="K62" s="221"/>
    </row>
    <row r="63" spans="1:11" ht="13.5" thickBot="1" x14ac:dyDescent="0.35">
      <c r="A63" s="148">
        <f t="shared" si="5"/>
        <v>50</v>
      </c>
      <c r="B63" s="101" t="s">
        <v>254</v>
      </c>
      <c r="C63" s="224"/>
      <c r="D63" s="725" t="s">
        <v>213</v>
      </c>
      <c r="E63" s="725"/>
      <c r="F63" s="725"/>
      <c r="G63" s="689"/>
      <c r="H63" s="689"/>
      <c r="I63" s="689"/>
      <c r="J63" s="690"/>
      <c r="K63" s="221"/>
    </row>
    <row r="64" spans="1:11" ht="13.5" thickBot="1" x14ac:dyDescent="0.35">
      <c r="A64" s="707" t="s">
        <v>253</v>
      </c>
      <c r="B64" s="708"/>
      <c r="C64" s="708"/>
      <c r="D64" s="708"/>
      <c r="E64" s="708"/>
      <c r="F64" s="708"/>
      <c r="G64" s="708"/>
      <c r="H64" s="708"/>
      <c r="I64" s="708"/>
      <c r="J64" s="709"/>
      <c r="K64" s="228"/>
    </row>
    <row r="65" spans="1:11" x14ac:dyDescent="0.3">
      <c r="A65" s="147">
        <f>A63+1</f>
        <v>51</v>
      </c>
      <c r="B65" s="106" t="s">
        <v>248</v>
      </c>
      <c r="C65" s="220" t="s">
        <v>222</v>
      </c>
      <c r="D65" s="710" t="s">
        <v>251</v>
      </c>
      <c r="E65" s="710"/>
      <c r="F65" s="710"/>
      <c r="G65" s="710" t="s">
        <v>221</v>
      </c>
      <c r="H65" s="710"/>
      <c r="I65" s="710"/>
      <c r="J65" s="711"/>
      <c r="K65" s="221"/>
    </row>
    <row r="66" spans="1:11" x14ac:dyDescent="0.3">
      <c r="A66" s="148">
        <f>A65+1</f>
        <v>52</v>
      </c>
      <c r="B66" s="218" t="s">
        <v>256</v>
      </c>
      <c r="C66" s="100" t="s">
        <v>63</v>
      </c>
      <c r="D66" s="431">
        <f>'Input Sheet'!F22</f>
        <v>95</v>
      </c>
      <c r="E66" s="431"/>
      <c r="F66" s="431"/>
      <c r="G66" s="687" t="s">
        <v>569</v>
      </c>
      <c r="H66" s="687"/>
      <c r="I66" s="687"/>
      <c r="J66" s="688"/>
      <c r="K66" s="221"/>
    </row>
    <row r="67" spans="1:11" x14ac:dyDescent="0.3">
      <c r="A67" s="148">
        <f t="shared" ref="A67:A70" si="6">A66+1</f>
        <v>53</v>
      </c>
      <c r="B67" s="218" t="s">
        <v>257</v>
      </c>
      <c r="C67" s="100" t="s">
        <v>238</v>
      </c>
      <c r="D67" s="431">
        <f>'Input Sheet'!F23</f>
        <v>24</v>
      </c>
      <c r="E67" s="431"/>
      <c r="F67" s="431"/>
      <c r="G67" s="687"/>
      <c r="H67" s="687"/>
      <c r="I67" s="687"/>
      <c r="J67" s="688"/>
      <c r="K67" s="221" t="s">
        <v>45</v>
      </c>
    </row>
    <row r="68" spans="1:11" x14ac:dyDescent="0.3">
      <c r="A68" s="148">
        <f t="shared" si="6"/>
        <v>54</v>
      </c>
      <c r="B68" s="99" t="s">
        <v>258</v>
      </c>
      <c r="C68" s="100" t="s">
        <v>238</v>
      </c>
      <c r="D68" s="431">
        <f>'Input Sheet'!F24</f>
        <v>101</v>
      </c>
      <c r="E68" s="431"/>
      <c r="F68" s="431"/>
      <c r="G68" s="687"/>
      <c r="H68" s="687"/>
      <c r="I68" s="687"/>
      <c r="J68" s="688"/>
      <c r="K68" s="221"/>
    </row>
    <row r="69" spans="1:11" x14ac:dyDescent="0.3">
      <c r="A69" s="148">
        <f t="shared" si="6"/>
        <v>55</v>
      </c>
      <c r="B69" s="99" t="s">
        <v>259</v>
      </c>
      <c r="C69" s="100"/>
      <c r="D69" s="593" t="s">
        <v>255</v>
      </c>
      <c r="E69" s="593"/>
      <c r="F69" s="593"/>
      <c r="G69" s="687"/>
      <c r="H69" s="687"/>
      <c r="I69" s="687"/>
      <c r="J69" s="688"/>
      <c r="K69" s="221"/>
    </row>
    <row r="70" spans="1:11" ht="13.5" thickBot="1" x14ac:dyDescent="0.35">
      <c r="A70" s="148">
        <f t="shared" si="6"/>
        <v>56</v>
      </c>
      <c r="B70" s="101" t="s">
        <v>260</v>
      </c>
      <c r="C70" s="224" t="s">
        <v>122</v>
      </c>
      <c r="D70" s="721" t="s">
        <v>335</v>
      </c>
      <c r="E70" s="721"/>
      <c r="F70" s="721"/>
      <c r="G70" s="689"/>
      <c r="H70" s="689"/>
      <c r="I70" s="689"/>
      <c r="J70" s="690"/>
      <c r="K70" s="221"/>
    </row>
    <row r="71" spans="1:11" ht="13.5" thickBot="1" x14ac:dyDescent="0.35">
      <c r="A71" s="707" t="s">
        <v>261</v>
      </c>
      <c r="B71" s="708"/>
      <c r="C71" s="708"/>
      <c r="D71" s="708"/>
      <c r="E71" s="708"/>
      <c r="F71" s="708"/>
      <c r="G71" s="708"/>
      <c r="H71" s="708"/>
      <c r="I71" s="708"/>
      <c r="J71" s="709"/>
      <c r="K71" s="228"/>
    </row>
    <row r="72" spans="1:11" x14ac:dyDescent="0.3">
      <c r="A72" s="147">
        <f>A70+1</f>
        <v>57</v>
      </c>
      <c r="B72" s="106" t="s">
        <v>248</v>
      </c>
      <c r="C72" s="220" t="s">
        <v>222</v>
      </c>
      <c r="D72" s="220" t="s">
        <v>262</v>
      </c>
      <c r="E72" s="220" t="s">
        <v>263</v>
      </c>
      <c r="F72" s="710" t="s">
        <v>221</v>
      </c>
      <c r="G72" s="710"/>
      <c r="H72" s="710"/>
      <c r="I72" s="710"/>
      <c r="J72" s="711"/>
      <c r="K72" s="221"/>
    </row>
    <row r="73" spans="1:11" ht="12.75" customHeight="1" x14ac:dyDescent="0.3">
      <c r="A73" s="151">
        <f>A72+1</f>
        <v>58</v>
      </c>
      <c r="B73" s="229" t="s">
        <v>546</v>
      </c>
      <c r="C73" s="144" t="s">
        <v>330</v>
      </c>
      <c r="D73" s="143"/>
      <c r="E73" s="143"/>
      <c r="F73" s="755" t="s">
        <v>570</v>
      </c>
      <c r="G73" s="777"/>
      <c r="H73" s="777"/>
      <c r="I73" s="777"/>
      <c r="J73" s="778"/>
      <c r="K73" s="221" t="s">
        <v>45</v>
      </c>
    </row>
    <row r="74" spans="1:11" ht="15" customHeight="1" x14ac:dyDescent="0.3">
      <c r="A74" s="151">
        <f t="shared" ref="A74:A84" si="7">A73+1</f>
        <v>59</v>
      </c>
      <c r="B74" s="218" t="s">
        <v>571</v>
      </c>
      <c r="C74" s="144" t="s">
        <v>330</v>
      </c>
      <c r="D74" s="143"/>
      <c r="E74" s="143"/>
      <c r="F74" s="779"/>
      <c r="G74" s="780"/>
      <c r="H74" s="780"/>
      <c r="I74" s="780"/>
      <c r="J74" s="781"/>
      <c r="K74" s="221" t="s">
        <v>45</v>
      </c>
    </row>
    <row r="75" spans="1:11" ht="14.5" customHeight="1" x14ac:dyDescent="0.3">
      <c r="A75" s="151">
        <f t="shared" si="7"/>
        <v>60</v>
      </c>
      <c r="B75" s="218" t="s">
        <v>572</v>
      </c>
      <c r="C75" s="144" t="s">
        <v>330</v>
      </c>
      <c r="D75" s="143"/>
      <c r="E75" s="143"/>
      <c r="F75" s="779"/>
      <c r="G75" s="780"/>
      <c r="H75" s="780"/>
      <c r="I75" s="780"/>
      <c r="J75" s="781"/>
      <c r="K75" s="221"/>
    </row>
    <row r="76" spans="1:11" ht="13" customHeight="1" x14ac:dyDescent="0.3">
      <c r="A76" s="151">
        <f t="shared" si="7"/>
        <v>61</v>
      </c>
      <c r="B76" s="218" t="s">
        <v>573</v>
      </c>
      <c r="C76" s="144" t="s">
        <v>330</v>
      </c>
      <c r="D76" s="143"/>
      <c r="E76" s="143"/>
      <c r="F76" s="779"/>
      <c r="G76" s="780"/>
      <c r="H76" s="780"/>
      <c r="I76" s="780"/>
      <c r="J76" s="781"/>
      <c r="K76" s="221"/>
    </row>
    <row r="77" spans="1:11" ht="14.5" customHeight="1" x14ac:dyDescent="0.3">
      <c r="A77" s="151">
        <f t="shared" si="7"/>
        <v>62</v>
      </c>
      <c r="B77" s="218" t="s">
        <v>316</v>
      </c>
      <c r="C77" s="100" t="s">
        <v>238</v>
      </c>
      <c r="D77" s="100" t="s">
        <v>246</v>
      </c>
      <c r="E77" s="171" t="s">
        <v>246</v>
      </c>
      <c r="F77" s="779"/>
      <c r="G77" s="780"/>
      <c r="H77" s="780"/>
      <c r="I77" s="780"/>
      <c r="J77" s="781"/>
      <c r="K77" s="221"/>
    </row>
    <row r="78" spans="1:11" ht="14.5" customHeight="1" x14ac:dyDescent="0.3">
      <c r="A78" s="151">
        <f t="shared" si="7"/>
        <v>63</v>
      </c>
      <c r="B78" s="218" t="s">
        <v>385</v>
      </c>
      <c r="C78" s="100" t="s">
        <v>330</v>
      </c>
      <c r="D78" s="100"/>
      <c r="E78" s="113"/>
      <c r="F78" s="779"/>
      <c r="G78" s="780"/>
      <c r="H78" s="780"/>
      <c r="I78" s="780"/>
      <c r="J78" s="781"/>
      <c r="K78" s="221"/>
    </row>
    <row r="79" spans="1:11" ht="14.5" customHeight="1" x14ac:dyDescent="0.3">
      <c r="A79" s="151">
        <f t="shared" si="7"/>
        <v>64</v>
      </c>
      <c r="B79" s="218" t="s">
        <v>317</v>
      </c>
      <c r="C79" s="100" t="s">
        <v>238</v>
      </c>
      <c r="D79" s="100" t="s">
        <v>408</v>
      </c>
      <c r="E79" s="222" t="s">
        <v>408</v>
      </c>
      <c r="F79" s="779"/>
      <c r="G79" s="780"/>
      <c r="H79" s="780"/>
      <c r="I79" s="780"/>
      <c r="J79" s="781"/>
      <c r="K79" s="221"/>
    </row>
    <row r="80" spans="1:11" ht="14.5" customHeight="1" x14ac:dyDescent="0.3">
      <c r="A80" s="151">
        <f t="shared" si="7"/>
        <v>65</v>
      </c>
      <c r="B80" s="218" t="s">
        <v>318</v>
      </c>
      <c r="C80" s="100" t="s">
        <v>330</v>
      </c>
      <c r="D80" s="100"/>
      <c r="E80" s="113"/>
      <c r="F80" s="779"/>
      <c r="G80" s="780"/>
      <c r="H80" s="780"/>
      <c r="I80" s="780"/>
      <c r="J80" s="781"/>
      <c r="K80" s="221"/>
    </row>
    <row r="81" spans="1:11" ht="14.5" customHeight="1" x14ac:dyDescent="0.3">
      <c r="A81" s="151">
        <f t="shared" si="7"/>
        <v>66</v>
      </c>
      <c r="B81" s="218" t="s">
        <v>386</v>
      </c>
      <c r="C81" s="100" t="s">
        <v>238</v>
      </c>
      <c r="D81" s="100" t="s">
        <v>408</v>
      </c>
      <c r="E81" s="222" t="s">
        <v>408</v>
      </c>
      <c r="F81" s="779"/>
      <c r="G81" s="780"/>
      <c r="H81" s="780"/>
      <c r="I81" s="780"/>
      <c r="J81" s="781"/>
      <c r="K81" s="221"/>
    </row>
    <row r="82" spans="1:11" ht="14.5" customHeight="1" x14ac:dyDescent="0.3">
      <c r="A82" s="151">
        <f t="shared" si="7"/>
        <v>67</v>
      </c>
      <c r="B82" s="99" t="s">
        <v>252</v>
      </c>
      <c r="C82" s="100" t="s">
        <v>330</v>
      </c>
      <c r="D82" s="100"/>
      <c r="E82" s="113"/>
      <c r="F82" s="779"/>
      <c r="G82" s="780"/>
      <c r="H82" s="780"/>
      <c r="I82" s="780"/>
      <c r="J82" s="781"/>
      <c r="K82" s="221"/>
    </row>
    <row r="83" spans="1:11" ht="14.5" customHeight="1" x14ac:dyDescent="0.3">
      <c r="A83" s="151">
        <f t="shared" si="7"/>
        <v>68</v>
      </c>
      <c r="B83" s="99" t="s">
        <v>589</v>
      </c>
      <c r="C83" s="100" t="s">
        <v>330</v>
      </c>
      <c r="D83" s="100"/>
      <c r="E83" s="113"/>
      <c r="F83" s="779"/>
      <c r="G83" s="780"/>
      <c r="H83" s="780"/>
      <c r="I83" s="780"/>
      <c r="J83" s="781"/>
      <c r="K83" s="221"/>
    </row>
    <row r="84" spans="1:11" ht="15" customHeight="1" thickBot="1" x14ac:dyDescent="0.35">
      <c r="A84" s="151">
        <f t="shared" si="7"/>
        <v>69</v>
      </c>
      <c r="B84" s="101" t="s">
        <v>574</v>
      </c>
      <c r="C84" s="224" t="s">
        <v>330</v>
      </c>
      <c r="D84" s="224"/>
      <c r="E84" s="114"/>
      <c r="F84" s="782"/>
      <c r="G84" s="783"/>
      <c r="H84" s="783"/>
      <c r="I84" s="783"/>
      <c r="J84" s="784"/>
      <c r="K84" s="221" t="s">
        <v>45</v>
      </c>
    </row>
    <row r="85" spans="1:11" ht="13.5" thickBot="1" x14ac:dyDescent="0.35">
      <c r="A85" s="707" t="s">
        <v>265</v>
      </c>
      <c r="B85" s="708"/>
      <c r="C85" s="708"/>
      <c r="D85" s="708"/>
      <c r="E85" s="708"/>
      <c r="F85" s="708"/>
      <c r="G85" s="708"/>
      <c r="H85" s="708"/>
      <c r="I85" s="708"/>
      <c r="J85" s="709"/>
      <c r="K85" s="228"/>
    </row>
    <row r="86" spans="1:11" x14ac:dyDescent="0.3">
      <c r="A86" s="722" t="s">
        <v>575</v>
      </c>
      <c r="B86" s="723"/>
      <c r="C86" s="723"/>
      <c r="D86" s="723"/>
      <c r="E86" s="723"/>
      <c r="F86" s="723"/>
      <c r="G86" s="723"/>
      <c r="H86" s="723"/>
      <c r="I86" s="723"/>
      <c r="J86" s="724"/>
      <c r="K86" s="221"/>
    </row>
    <row r="87" spans="1:11" x14ac:dyDescent="0.3">
      <c r="A87" s="691" t="s">
        <v>346</v>
      </c>
      <c r="B87" s="692"/>
      <c r="C87" s="692"/>
      <c r="D87" s="692"/>
      <c r="E87" s="692"/>
      <c r="F87" s="692"/>
      <c r="G87" s="692"/>
      <c r="H87" s="692"/>
      <c r="I87" s="692"/>
      <c r="J87" s="693"/>
      <c r="K87" s="221"/>
    </row>
    <row r="88" spans="1:11" x14ac:dyDescent="0.3">
      <c r="A88" s="691" t="s">
        <v>347</v>
      </c>
      <c r="B88" s="692"/>
      <c r="C88" s="692"/>
      <c r="D88" s="692"/>
      <c r="E88" s="692"/>
      <c r="F88" s="692"/>
      <c r="G88" s="692"/>
      <c r="H88" s="692"/>
      <c r="I88" s="692"/>
      <c r="J88" s="693"/>
      <c r="K88" s="221"/>
    </row>
    <row r="89" spans="1:11" x14ac:dyDescent="0.3">
      <c r="A89" s="691" t="s">
        <v>556</v>
      </c>
      <c r="B89" s="692"/>
      <c r="C89" s="692"/>
      <c r="D89" s="692"/>
      <c r="E89" s="692"/>
      <c r="F89" s="692"/>
      <c r="G89" s="692"/>
      <c r="H89" s="692"/>
      <c r="I89" s="692"/>
      <c r="J89" s="693"/>
      <c r="K89" s="221" t="s">
        <v>45</v>
      </c>
    </row>
    <row r="90" spans="1:11" x14ac:dyDescent="0.3">
      <c r="A90" s="691" t="s">
        <v>410</v>
      </c>
      <c r="B90" s="692"/>
      <c r="C90" s="692"/>
      <c r="D90" s="692"/>
      <c r="E90" s="692"/>
      <c r="F90" s="692"/>
      <c r="G90" s="692"/>
      <c r="H90" s="692"/>
      <c r="I90" s="692"/>
      <c r="J90" s="693"/>
      <c r="K90" s="221"/>
    </row>
    <row r="91" spans="1:11" x14ac:dyDescent="0.3">
      <c r="A91" s="691" t="s">
        <v>268</v>
      </c>
      <c r="B91" s="692"/>
      <c r="C91" s="692"/>
      <c r="D91" s="692"/>
      <c r="E91" s="692"/>
      <c r="F91" s="692"/>
      <c r="G91" s="692"/>
      <c r="H91" s="692"/>
      <c r="I91" s="692"/>
      <c r="J91" s="693"/>
      <c r="K91" s="221"/>
    </row>
    <row r="92" spans="1:11" x14ac:dyDescent="0.3">
      <c r="A92" s="691" t="s">
        <v>558</v>
      </c>
      <c r="B92" s="692"/>
      <c r="C92" s="692"/>
      <c r="D92" s="692"/>
      <c r="E92" s="692"/>
      <c r="F92" s="692"/>
      <c r="G92" s="692"/>
      <c r="H92" s="692"/>
      <c r="I92" s="692"/>
      <c r="J92" s="693"/>
      <c r="K92" s="221" t="s">
        <v>45</v>
      </c>
    </row>
    <row r="93" spans="1:11" x14ac:dyDescent="0.3">
      <c r="A93" s="691" t="s">
        <v>559</v>
      </c>
      <c r="B93" s="692"/>
      <c r="C93" s="692"/>
      <c r="D93" s="692"/>
      <c r="E93" s="692"/>
      <c r="F93" s="692"/>
      <c r="G93" s="692"/>
      <c r="H93" s="692"/>
      <c r="I93" s="692"/>
      <c r="J93" s="693"/>
      <c r="K93" s="221"/>
    </row>
    <row r="94" spans="1:11" x14ac:dyDescent="0.3">
      <c r="A94" s="718"/>
      <c r="B94" s="719"/>
      <c r="C94" s="719"/>
      <c r="D94" s="719"/>
      <c r="E94" s="719"/>
      <c r="F94" s="719"/>
      <c r="G94" s="719"/>
      <c r="H94" s="719"/>
      <c r="I94" s="719"/>
      <c r="J94" s="720"/>
      <c r="K94" s="221"/>
    </row>
    <row r="95" spans="1:11" ht="15" customHeight="1" x14ac:dyDescent="0.3">
      <c r="A95" s="718"/>
      <c r="B95" s="719"/>
      <c r="C95" s="719"/>
      <c r="D95" s="719"/>
      <c r="E95" s="719"/>
      <c r="F95" s="719"/>
      <c r="G95" s="719"/>
      <c r="H95" s="719"/>
      <c r="I95" s="719"/>
      <c r="J95" s="720"/>
      <c r="K95" s="221"/>
    </row>
    <row r="96" spans="1:11" ht="15" customHeight="1" thickBot="1" x14ac:dyDescent="0.35">
      <c r="A96" s="712"/>
      <c r="B96" s="713"/>
      <c r="C96" s="713"/>
      <c r="D96" s="713"/>
      <c r="E96" s="713"/>
      <c r="F96" s="713"/>
      <c r="G96" s="713"/>
      <c r="H96" s="713"/>
      <c r="I96" s="713"/>
      <c r="J96" s="714"/>
      <c r="K96" s="219"/>
    </row>
    <row r="97" spans="1:11" ht="15" customHeight="1" thickBot="1" x14ac:dyDescent="0.35">
      <c r="A97" s="715" t="s">
        <v>269</v>
      </c>
      <c r="B97" s="716"/>
      <c r="C97" s="716"/>
      <c r="D97" s="716"/>
      <c r="E97" s="716"/>
      <c r="F97" s="716"/>
      <c r="G97" s="716"/>
      <c r="H97" s="716"/>
      <c r="I97" s="716"/>
      <c r="J97" s="716"/>
      <c r="K97" s="717"/>
    </row>
    <row r="98" spans="1:11" ht="14.5" customHeight="1" x14ac:dyDescent="0.3"/>
  </sheetData>
  <mergeCells count="77">
    <mergeCell ref="C11:F11"/>
    <mergeCell ref="G11:J11"/>
    <mergeCell ref="A1:K1"/>
    <mergeCell ref="A2:B5"/>
    <mergeCell ref="D2:G2"/>
    <mergeCell ref="H2:K2"/>
    <mergeCell ref="D3:G3"/>
    <mergeCell ref="H3:K3"/>
    <mergeCell ref="D4:G4"/>
    <mergeCell ref="D5:G5"/>
    <mergeCell ref="A6:K6"/>
    <mergeCell ref="A7:J7"/>
    <mergeCell ref="C8:J8"/>
    <mergeCell ref="C9:J9"/>
    <mergeCell ref="C10:J10"/>
    <mergeCell ref="D12:F12"/>
    <mergeCell ref="H12:J12"/>
    <mergeCell ref="C13:J13"/>
    <mergeCell ref="A15:J15"/>
    <mergeCell ref="G16:J16"/>
    <mergeCell ref="G30:J30"/>
    <mergeCell ref="G17:J28"/>
    <mergeCell ref="B21:F21"/>
    <mergeCell ref="D22:F22"/>
    <mergeCell ref="D23:F23"/>
    <mergeCell ref="D24:F24"/>
    <mergeCell ref="D25:F25"/>
    <mergeCell ref="D26:F26"/>
    <mergeCell ref="D27:F27"/>
    <mergeCell ref="D28:F28"/>
    <mergeCell ref="A29:J29"/>
    <mergeCell ref="D37:F37"/>
    <mergeCell ref="D38:F38"/>
    <mergeCell ref="A43:J43"/>
    <mergeCell ref="G44:J44"/>
    <mergeCell ref="A50:J50"/>
    <mergeCell ref="D45:F45"/>
    <mergeCell ref="G45:J49"/>
    <mergeCell ref="D46:F46"/>
    <mergeCell ref="D48:F48"/>
    <mergeCell ref="G31:J42"/>
    <mergeCell ref="G51:J51"/>
    <mergeCell ref="G52:J56"/>
    <mergeCell ref="A57:J57"/>
    <mergeCell ref="D58:F58"/>
    <mergeCell ref="G58:J58"/>
    <mergeCell ref="D59:F59"/>
    <mergeCell ref="G59:J63"/>
    <mergeCell ref="D60:F60"/>
    <mergeCell ref="D61:F61"/>
    <mergeCell ref="D62:F62"/>
    <mergeCell ref="D63:F63"/>
    <mergeCell ref="A87:J87"/>
    <mergeCell ref="A64:J64"/>
    <mergeCell ref="D65:F65"/>
    <mergeCell ref="G65:J65"/>
    <mergeCell ref="D66:F66"/>
    <mergeCell ref="G66:J70"/>
    <mergeCell ref="D67:F67"/>
    <mergeCell ref="D68:F68"/>
    <mergeCell ref="D69:F69"/>
    <mergeCell ref="D70:F70"/>
    <mergeCell ref="A71:J71"/>
    <mergeCell ref="F72:J72"/>
    <mergeCell ref="F73:J84"/>
    <mergeCell ref="A85:J85"/>
    <mergeCell ref="A86:J86"/>
    <mergeCell ref="A94:J94"/>
    <mergeCell ref="A95:J95"/>
    <mergeCell ref="A96:J96"/>
    <mergeCell ref="A97:K97"/>
    <mergeCell ref="A88:J88"/>
    <mergeCell ref="A89:J89"/>
    <mergeCell ref="A90:J90"/>
    <mergeCell ref="A91:J91"/>
    <mergeCell ref="A92:J92"/>
    <mergeCell ref="A93:J93"/>
  </mergeCells>
  <pageMargins left="0.7" right="0.7" top="0.75" bottom="0.75" header="0.3" footer="0.3"/>
  <pageSetup paperSize="8" scale="78"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defaultSize="0" autoFill="0" autoLine="0" autoPict="0">
                <anchor moveWithCells="1">
                  <from>
                    <xdr:col>3</xdr:col>
                    <xdr:colOff>260350</xdr:colOff>
                    <xdr:row>71</xdr:row>
                    <xdr:rowOff>146050</xdr:rowOff>
                  </from>
                  <to>
                    <xdr:col>4</xdr:col>
                    <xdr:colOff>0</xdr:colOff>
                    <xdr:row>73</xdr:row>
                    <xdr:rowOff>38100</xdr:rowOff>
                  </to>
                </anchor>
              </controlPr>
            </control>
          </mc:Choice>
        </mc:AlternateContent>
        <mc:AlternateContent xmlns:mc="http://schemas.openxmlformats.org/markup-compatibility/2006">
          <mc:Choice Requires="x14">
            <control shapeId="24578" r:id="rId5" name="Check Box 2">
              <controlPr defaultSize="0" autoFill="0" autoLine="0" autoPict="0">
                <anchor moveWithCells="1">
                  <from>
                    <xdr:col>3</xdr:col>
                    <xdr:colOff>260350</xdr:colOff>
                    <xdr:row>80</xdr:row>
                    <xdr:rowOff>146050</xdr:rowOff>
                  </from>
                  <to>
                    <xdr:col>4</xdr:col>
                    <xdr:colOff>0</xdr:colOff>
                    <xdr:row>82</xdr:row>
                    <xdr:rowOff>0</xdr:rowOff>
                  </to>
                </anchor>
              </controlPr>
            </control>
          </mc:Choice>
        </mc:AlternateContent>
        <mc:AlternateContent xmlns:mc="http://schemas.openxmlformats.org/markup-compatibility/2006">
          <mc:Choice Requires="x14">
            <control shapeId="24579" r:id="rId6" name="Check Box 3">
              <controlPr defaultSize="0" autoFill="0" autoLine="0" autoPict="0">
                <anchor moveWithCells="1">
                  <from>
                    <xdr:col>3</xdr:col>
                    <xdr:colOff>260350</xdr:colOff>
                    <xdr:row>81</xdr:row>
                    <xdr:rowOff>146050</xdr:rowOff>
                  </from>
                  <to>
                    <xdr:col>4</xdr:col>
                    <xdr:colOff>0</xdr:colOff>
                    <xdr:row>83</xdr:row>
                    <xdr:rowOff>0</xdr:rowOff>
                  </to>
                </anchor>
              </controlPr>
            </control>
          </mc:Choice>
        </mc:AlternateContent>
        <mc:AlternateContent xmlns:mc="http://schemas.openxmlformats.org/markup-compatibility/2006">
          <mc:Choice Requires="x14">
            <control shapeId="24580" r:id="rId7" name="Check Box 4">
              <controlPr defaultSize="0" autoFill="0" autoLine="0" autoPict="0">
                <anchor moveWithCells="1">
                  <from>
                    <xdr:col>4</xdr:col>
                    <xdr:colOff>241300</xdr:colOff>
                    <xdr:row>71</xdr:row>
                    <xdr:rowOff>146050</xdr:rowOff>
                  </from>
                  <to>
                    <xdr:col>5</xdr:col>
                    <xdr:colOff>0</xdr:colOff>
                    <xdr:row>73</xdr:row>
                    <xdr:rowOff>38100</xdr:rowOff>
                  </to>
                </anchor>
              </controlPr>
            </control>
          </mc:Choice>
        </mc:AlternateContent>
        <mc:AlternateContent xmlns:mc="http://schemas.openxmlformats.org/markup-compatibility/2006">
          <mc:Choice Requires="x14">
            <control shapeId="24581" r:id="rId8" name="Check Box 5">
              <controlPr defaultSize="0" autoFill="0" autoLine="0" autoPict="0">
                <anchor moveWithCells="1">
                  <from>
                    <xdr:col>4</xdr:col>
                    <xdr:colOff>241300</xdr:colOff>
                    <xdr:row>80</xdr:row>
                    <xdr:rowOff>146050</xdr:rowOff>
                  </from>
                  <to>
                    <xdr:col>5</xdr:col>
                    <xdr:colOff>0</xdr:colOff>
                    <xdr:row>82</xdr:row>
                    <xdr:rowOff>0</xdr:rowOff>
                  </to>
                </anchor>
              </controlPr>
            </control>
          </mc:Choice>
        </mc:AlternateContent>
        <mc:AlternateContent xmlns:mc="http://schemas.openxmlformats.org/markup-compatibility/2006">
          <mc:Choice Requires="x14">
            <control shapeId="24582" r:id="rId9" name="Check Box 6">
              <controlPr defaultSize="0" autoFill="0" autoLine="0" autoPict="0">
                <anchor moveWithCells="1">
                  <from>
                    <xdr:col>4</xdr:col>
                    <xdr:colOff>241300</xdr:colOff>
                    <xdr:row>81</xdr:row>
                    <xdr:rowOff>146050</xdr:rowOff>
                  </from>
                  <to>
                    <xdr:col>5</xdr:col>
                    <xdr:colOff>0</xdr:colOff>
                    <xdr:row>83</xdr:row>
                    <xdr:rowOff>0</xdr:rowOff>
                  </to>
                </anchor>
              </controlPr>
            </control>
          </mc:Choice>
        </mc:AlternateContent>
        <mc:AlternateContent xmlns:mc="http://schemas.openxmlformats.org/markup-compatibility/2006">
          <mc:Choice Requires="x14">
            <control shapeId="24583" r:id="rId10" name="Check Box 7">
              <controlPr defaultSize="0" autoFill="0" autoLine="0" autoPict="0">
                <anchor moveWithCells="1">
                  <from>
                    <xdr:col>3</xdr:col>
                    <xdr:colOff>260350</xdr:colOff>
                    <xdr:row>82</xdr:row>
                    <xdr:rowOff>146050</xdr:rowOff>
                  </from>
                  <to>
                    <xdr:col>4</xdr:col>
                    <xdr:colOff>0</xdr:colOff>
                    <xdr:row>83</xdr:row>
                    <xdr:rowOff>184150</xdr:rowOff>
                  </to>
                </anchor>
              </controlPr>
            </control>
          </mc:Choice>
        </mc:AlternateContent>
        <mc:AlternateContent xmlns:mc="http://schemas.openxmlformats.org/markup-compatibility/2006">
          <mc:Choice Requires="x14">
            <control shapeId="24584" r:id="rId11" name="Check Box 8">
              <controlPr defaultSize="0" autoFill="0" autoLine="0" autoPict="0">
                <anchor moveWithCells="1">
                  <from>
                    <xdr:col>4</xdr:col>
                    <xdr:colOff>241300</xdr:colOff>
                    <xdr:row>82</xdr:row>
                    <xdr:rowOff>146050</xdr:rowOff>
                  </from>
                  <to>
                    <xdr:col>5</xdr:col>
                    <xdr:colOff>0</xdr:colOff>
                    <xdr:row>83</xdr:row>
                    <xdr:rowOff>184150</xdr:rowOff>
                  </to>
                </anchor>
              </controlPr>
            </control>
          </mc:Choice>
        </mc:AlternateContent>
        <mc:AlternateContent xmlns:mc="http://schemas.openxmlformats.org/markup-compatibility/2006">
          <mc:Choice Requires="x14">
            <control shapeId="24585" r:id="rId12" name="Check Box 9">
              <controlPr defaultSize="0" autoFill="0" autoLine="0" autoPict="0">
                <anchor moveWithCells="1">
                  <from>
                    <xdr:col>3</xdr:col>
                    <xdr:colOff>260350</xdr:colOff>
                    <xdr:row>76</xdr:row>
                    <xdr:rowOff>152400</xdr:rowOff>
                  </from>
                  <to>
                    <xdr:col>4</xdr:col>
                    <xdr:colOff>0</xdr:colOff>
                    <xdr:row>78</xdr:row>
                    <xdr:rowOff>0</xdr:rowOff>
                  </to>
                </anchor>
              </controlPr>
            </control>
          </mc:Choice>
        </mc:AlternateContent>
        <mc:AlternateContent xmlns:mc="http://schemas.openxmlformats.org/markup-compatibility/2006">
          <mc:Choice Requires="x14">
            <control shapeId="24586" r:id="rId13" name="Check Box 10">
              <controlPr defaultSize="0" autoFill="0" autoLine="0" autoPict="0">
                <anchor moveWithCells="1">
                  <from>
                    <xdr:col>4</xdr:col>
                    <xdr:colOff>241300</xdr:colOff>
                    <xdr:row>76</xdr:row>
                    <xdr:rowOff>146050</xdr:rowOff>
                  </from>
                  <to>
                    <xdr:col>5</xdr:col>
                    <xdr:colOff>0</xdr:colOff>
                    <xdr:row>78</xdr:row>
                    <xdr:rowOff>0</xdr:rowOff>
                  </to>
                </anchor>
              </controlPr>
            </control>
          </mc:Choice>
        </mc:AlternateContent>
        <mc:AlternateContent xmlns:mc="http://schemas.openxmlformats.org/markup-compatibility/2006">
          <mc:Choice Requires="x14">
            <control shapeId="24587" r:id="rId14" name="Check Box 11">
              <controlPr defaultSize="0" autoFill="0" autoLine="0" autoPict="0">
                <anchor moveWithCells="1">
                  <from>
                    <xdr:col>3</xdr:col>
                    <xdr:colOff>260350</xdr:colOff>
                    <xdr:row>78</xdr:row>
                    <xdr:rowOff>152400</xdr:rowOff>
                  </from>
                  <to>
                    <xdr:col>4</xdr:col>
                    <xdr:colOff>0</xdr:colOff>
                    <xdr:row>80</xdr:row>
                    <xdr:rowOff>0</xdr:rowOff>
                  </to>
                </anchor>
              </controlPr>
            </control>
          </mc:Choice>
        </mc:AlternateContent>
        <mc:AlternateContent xmlns:mc="http://schemas.openxmlformats.org/markup-compatibility/2006">
          <mc:Choice Requires="x14">
            <control shapeId="24588" r:id="rId15" name="Check Box 12">
              <controlPr defaultSize="0" autoFill="0" autoLine="0" autoPict="0">
                <anchor moveWithCells="1">
                  <from>
                    <xdr:col>4</xdr:col>
                    <xdr:colOff>241300</xdr:colOff>
                    <xdr:row>78</xdr:row>
                    <xdr:rowOff>146050</xdr:rowOff>
                  </from>
                  <to>
                    <xdr:col>5</xdr:col>
                    <xdr:colOff>0</xdr:colOff>
                    <xdr:row>80</xdr:row>
                    <xdr:rowOff>0</xdr:rowOff>
                  </to>
                </anchor>
              </controlPr>
            </control>
          </mc:Choice>
        </mc:AlternateContent>
        <mc:AlternateContent xmlns:mc="http://schemas.openxmlformats.org/markup-compatibility/2006">
          <mc:Choice Requires="x14">
            <control shapeId="24589" r:id="rId16" name="Check Box 13">
              <controlPr defaultSize="0" autoFill="0" autoLine="0" autoPict="0">
                <anchor moveWithCells="1">
                  <from>
                    <xdr:col>3</xdr:col>
                    <xdr:colOff>260350</xdr:colOff>
                    <xdr:row>74</xdr:row>
                    <xdr:rowOff>146050</xdr:rowOff>
                  </from>
                  <to>
                    <xdr:col>4</xdr:col>
                    <xdr:colOff>0</xdr:colOff>
                    <xdr:row>76</xdr:row>
                    <xdr:rowOff>12700</xdr:rowOff>
                  </to>
                </anchor>
              </controlPr>
            </control>
          </mc:Choice>
        </mc:AlternateContent>
        <mc:AlternateContent xmlns:mc="http://schemas.openxmlformats.org/markup-compatibility/2006">
          <mc:Choice Requires="x14">
            <control shapeId="24590" r:id="rId17" name="Check Box 14">
              <controlPr defaultSize="0" autoFill="0" autoLine="0" autoPict="0">
                <anchor moveWithCells="1">
                  <from>
                    <xdr:col>4</xdr:col>
                    <xdr:colOff>241300</xdr:colOff>
                    <xdr:row>74</xdr:row>
                    <xdr:rowOff>146050</xdr:rowOff>
                  </from>
                  <to>
                    <xdr:col>5</xdr:col>
                    <xdr:colOff>0</xdr:colOff>
                    <xdr:row>76</xdr:row>
                    <xdr:rowOff>12700</xdr:rowOff>
                  </to>
                </anchor>
              </controlPr>
            </control>
          </mc:Choice>
        </mc:AlternateContent>
        <mc:AlternateContent xmlns:mc="http://schemas.openxmlformats.org/markup-compatibility/2006">
          <mc:Choice Requires="x14">
            <control shapeId="24591" r:id="rId18" name="Check Box 15">
              <controlPr defaultSize="0" autoFill="0" autoLine="0" autoPict="0">
                <anchor moveWithCells="1">
                  <from>
                    <xdr:col>3</xdr:col>
                    <xdr:colOff>260350</xdr:colOff>
                    <xdr:row>73</xdr:row>
                    <xdr:rowOff>146050</xdr:rowOff>
                  </from>
                  <to>
                    <xdr:col>4</xdr:col>
                    <xdr:colOff>0</xdr:colOff>
                    <xdr:row>74</xdr:row>
                    <xdr:rowOff>165100</xdr:rowOff>
                  </to>
                </anchor>
              </controlPr>
            </control>
          </mc:Choice>
        </mc:AlternateContent>
        <mc:AlternateContent xmlns:mc="http://schemas.openxmlformats.org/markup-compatibility/2006">
          <mc:Choice Requires="x14">
            <control shapeId="24592" r:id="rId19" name="Check Box 16">
              <controlPr defaultSize="0" autoFill="0" autoLine="0" autoPict="0">
                <anchor moveWithCells="1">
                  <from>
                    <xdr:col>4</xdr:col>
                    <xdr:colOff>241300</xdr:colOff>
                    <xdr:row>73</xdr:row>
                    <xdr:rowOff>146050</xdr:rowOff>
                  </from>
                  <to>
                    <xdr:col>5</xdr:col>
                    <xdr:colOff>0</xdr:colOff>
                    <xdr:row>74</xdr:row>
                    <xdr:rowOff>165100</xdr:rowOff>
                  </to>
                </anchor>
              </controlPr>
            </control>
          </mc:Choice>
        </mc:AlternateContent>
        <mc:AlternateContent xmlns:mc="http://schemas.openxmlformats.org/markup-compatibility/2006">
          <mc:Choice Requires="x14">
            <control shapeId="24593" r:id="rId20" name="Check Box 17">
              <controlPr defaultSize="0" autoFill="0" autoLine="0" autoPict="0">
                <anchor moveWithCells="1">
                  <from>
                    <xdr:col>2</xdr:col>
                    <xdr:colOff>222250</xdr:colOff>
                    <xdr:row>10</xdr:row>
                    <xdr:rowOff>184150</xdr:rowOff>
                  </from>
                  <to>
                    <xdr:col>2</xdr:col>
                    <xdr:colOff>641350</xdr:colOff>
                    <xdr:row>12</xdr:row>
                    <xdr:rowOff>38100</xdr:rowOff>
                  </to>
                </anchor>
              </controlPr>
            </control>
          </mc:Choice>
        </mc:AlternateContent>
        <mc:AlternateContent xmlns:mc="http://schemas.openxmlformats.org/markup-compatibility/2006">
          <mc:Choice Requires="x14">
            <control shapeId="24594" r:id="rId21" name="Check Box 18">
              <controlPr defaultSize="0" autoFill="0" autoLine="0" autoPict="0">
                <anchor moveWithCells="1">
                  <from>
                    <xdr:col>2</xdr:col>
                    <xdr:colOff>222250</xdr:colOff>
                    <xdr:row>10</xdr:row>
                    <xdr:rowOff>184150</xdr:rowOff>
                  </from>
                  <to>
                    <xdr:col>2</xdr:col>
                    <xdr:colOff>641350</xdr:colOff>
                    <xdr:row>12</xdr:row>
                    <xdr:rowOff>38100</xdr:rowOff>
                  </to>
                </anchor>
              </controlPr>
            </control>
          </mc:Choice>
        </mc:AlternateContent>
        <mc:AlternateContent xmlns:mc="http://schemas.openxmlformats.org/markup-compatibility/2006">
          <mc:Choice Requires="x14">
            <control shapeId="24595" r:id="rId22" name="Check Box 19">
              <controlPr defaultSize="0" autoFill="0" autoLine="0" autoPict="0">
                <anchor moveWithCells="1">
                  <from>
                    <xdr:col>6</xdr:col>
                    <xdr:colOff>222250</xdr:colOff>
                    <xdr:row>10</xdr:row>
                    <xdr:rowOff>184150</xdr:rowOff>
                  </from>
                  <to>
                    <xdr:col>6</xdr:col>
                    <xdr:colOff>641350</xdr:colOff>
                    <xdr:row>12</xdr:row>
                    <xdr:rowOff>38100</xdr:rowOff>
                  </to>
                </anchor>
              </controlPr>
            </control>
          </mc:Choice>
        </mc:AlternateContent>
        <mc:AlternateContent xmlns:mc="http://schemas.openxmlformats.org/markup-compatibility/2006">
          <mc:Choice Requires="x14">
            <control shapeId="24596" r:id="rId23" name="Check Box 20">
              <controlPr defaultSize="0" autoFill="0" autoLine="0" autoPict="0">
                <anchor moveWithCells="1">
                  <from>
                    <xdr:col>2</xdr:col>
                    <xdr:colOff>12700</xdr:colOff>
                    <xdr:row>12</xdr:row>
                    <xdr:rowOff>165100</xdr:rowOff>
                  </from>
                  <to>
                    <xdr:col>2</xdr:col>
                    <xdr:colOff>450850</xdr:colOff>
                    <xdr:row>14</xdr:row>
                    <xdr:rowOff>12700</xdr:rowOff>
                  </to>
                </anchor>
              </controlPr>
            </control>
          </mc:Choice>
        </mc:AlternateContent>
        <mc:AlternateContent xmlns:mc="http://schemas.openxmlformats.org/markup-compatibility/2006">
          <mc:Choice Requires="x14">
            <control shapeId="24597" r:id="rId24" name="Check Box 21">
              <controlPr defaultSize="0" autoFill="0" autoLine="0" autoPict="0">
                <anchor moveWithCells="1">
                  <from>
                    <xdr:col>6</xdr:col>
                    <xdr:colOff>755650</xdr:colOff>
                    <xdr:row>12</xdr:row>
                    <xdr:rowOff>184150</xdr:rowOff>
                  </from>
                  <to>
                    <xdr:col>7</xdr:col>
                    <xdr:colOff>419100</xdr:colOff>
                    <xdr:row>14</xdr:row>
                    <xdr:rowOff>38100</xdr:rowOff>
                  </to>
                </anchor>
              </controlPr>
            </control>
          </mc:Choice>
        </mc:AlternateContent>
        <mc:AlternateContent xmlns:mc="http://schemas.openxmlformats.org/markup-compatibility/2006">
          <mc:Choice Requires="x14">
            <control shapeId="24598" r:id="rId25" name="Check Box 22">
              <controlPr defaultSize="0" autoFill="0" autoLine="0" autoPict="0">
                <anchor moveWithCells="1">
                  <from>
                    <xdr:col>4</xdr:col>
                    <xdr:colOff>431800</xdr:colOff>
                    <xdr:row>12</xdr:row>
                    <xdr:rowOff>165100</xdr:rowOff>
                  </from>
                  <to>
                    <xdr:col>5</xdr:col>
                    <xdr:colOff>184150</xdr:colOff>
                    <xdr:row>14</xdr:row>
                    <xdr:rowOff>38100</xdr:rowOff>
                  </to>
                </anchor>
              </controlPr>
            </control>
          </mc:Choice>
        </mc:AlternateContent>
        <mc:AlternateContent xmlns:mc="http://schemas.openxmlformats.org/markup-compatibility/2006">
          <mc:Choice Requires="x14">
            <control shapeId="24599" r:id="rId26" name="Check Box 23">
              <controlPr defaultSize="0" autoFill="0" autoLine="0" autoPict="0">
                <anchor moveWithCells="1">
                  <from>
                    <xdr:col>3</xdr:col>
                    <xdr:colOff>260350</xdr:colOff>
                    <xdr:row>71</xdr:row>
                    <xdr:rowOff>146050</xdr:rowOff>
                  </from>
                  <to>
                    <xdr:col>4</xdr:col>
                    <xdr:colOff>0</xdr:colOff>
                    <xdr:row>73</xdr:row>
                    <xdr:rowOff>38100</xdr:rowOff>
                  </to>
                </anchor>
              </controlPr>
            </control>
          </mc:Choice>
        </mc:AlternateContent>
        <mc:AlternateContent xmlns:mc="http://schemas.openxmlformats.org/markup-compatibility/2006">
          <mc:Choice Requires="x14">
            <control shapeId="24600" r:id="rId27" name="Check Box 24">
              <controlPr defaultSize="0" autoFill="0" autoLine="0" autoPict="0">
                <anchor moveWithCells="1">
                  <from>
                    <xdr:col>4</xdr:col>
                    <xdr:colOff>241300</xdr:colOff>
                    <xdr:row>71</xdr:row>
                    <xdr:rowOff>146050</xdr:rowOff>
                  </from>
                  <to>
                    <xdr:col>5</xdr:col>
                    <xdr:colOff>0</xdr:colOff>
                    <xdr:row>73</xdr:row>
                    <xdr:rowOff>38100</xdr:rowOff>
                  </to>
                </anchor>
              </controlPr>
            </control>
          </mc:Choice>
        </mc:AlternateContent>
        <mc:AlternateContent xmlns:mc="http://schemas.openxmlformats.org/markup-compatibility/2006">
          <mc:Choice Requires="x14">
            <control shapeId="24601" r:id="rId28" name="Check Box 25">
              <controlPr defaultSize="0" autoFill="0" autoLine="0" autoPict="0">
                <anchor moveWithCells="1">
                  <from>
                    <xdr:col>3</xdr:col>
                    <xdr:colOff>260350</xdr:colOff>
                    <xdr:row>72</xdr:row>
                    <xdr:rowOff>146050</xdr:rowOff>
                  </from>
                  <to>
                    <xdr:col>4</xdr:col>
                    <xdr:colOff>0</xdr:colOff>
                    <xdr:row>74</xdr:row>
                    <xdr:rowOff>12700</xdr:rowOff>
                  </to>
                </anchor>
              </controlPr>
            </control>
          </mc:Choice>
        </mc:AlternateContent>
        <mc:AlternateContent xmlns:mc="http://schemas.openxmlformats.org/markup-compatibility/2006">
          <mc:Choice Requires="x14">
            <control shapeId="24602" r:id="rId29" name="Check Box 26">
              <controlPr defaultSize="0" autoFill="0" autoLine="0" autoPict="0">
                <anchor moveWithCells="1">
                  <from>
                    <xdr:col>4</xdr:col>
                    <xdr:colOff>241300</xdr:colOff>
                    <xdr:row>72</xdr:row>
                    <xdr:rowOff>146050</xdr:rowOff>
                  </from>
                  <to>
                    <xdr:col>5</xdr:col>
                    <xdr:colOff>0</xdr:colOff>
                    <xdr:row>74</xdr:row>
                    <xdr:rowOff>12700</xdr:rowOff>
                  </to>
                </anchor>
              </controlPr>
            </control>
          </mc:Choice>
        </mc:AlternateContent>
        <mc:AlternateContent xmlns:mc="http://schemas.openxmlformats.org/markup-compatibility/2006">
          <mc:Choice Requires="x14">
            <control shapeId="24603" r:id="rId30" name="Check Box 27">
              <controlPr defaultSize="0" autoFill="0" autoLine="0" autoPict="0">
                <anchor moveWithCells="1">
                  <from>
                    <xdr:col>3</xdr:col>
                    <xdr:colOff>260350</xdr:colOff>
                    <xdr:row>72</xdr:row>
                    <xdr:rowOff>146050</xdr:rowOff>
                  </from>
                  <to>
                    <xdr:col>4</xdr:col>
                    <xdr:colOff>0</xdr:colOff>
                    <xdr:row>74</xdr:row>
                    <xdr:rowOff>12700</xdr:rowOff>
                  </to>
                </anchor>
              </controlPr>
            </control>
          </mc:Choice>
        </mc:AlternateContent>
        <mc:AlternateContent xmlns:mc="http://schemas.openxmlformats.org/markup-compatibility/2006">
          <mc:Choice Requires="x14">
            <control shapeId="24604" r:id="rId31" name="Check Box 28">
              <controlPr defaultSize="0" autoFill="0" autoLine="0" autoPict="0">
                <anchor moveWithCells="1">
                  <from>
                    <xdr:col>4</xdr:col>
                    <xdr:colOff>241300</xdr:colOff>
                    <xdr:row>72</xdr:row>
                    <xdr:rowOff>146050</xdr:rowOff>
                  </from>
                  <to>
                    <xdr:col>5</xdr:col>
                    <xdr:colOff>0</xdr:colOff>
                    <xdr:row>74</xdr:row>
                    <xdr:rowOff>12700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923F5-AC50-4997-BEB3-3B747DEE34C2}">
  <sheetPr>
    <pageSetUpPr fitToPage="1"/>
  </sheetPr>
  <dimension ref="A1:P94"/>
  <sheetViews>
    <sheetView topLeftCell="A22" zoomScale="70" zoomScaleNormal="70" workbookViewId="0">
      <selection activeCell="O8" sqref="O8:P8"/>
    </sheetView>
  </sheetViews>
  <sheetFormatPr defaultColWidth="8.81640625" defaultRowHeight="13" x14ac:dyDescent="0.3"/>
  <cols>
    <col min="1" max="1" width="3.453125" style="152" customWidth="1"/>
    <col min="2" max="2" width="29.81640625" style="104" customWidth="1"/>
    <col min="3" max="3" width="10.1796875" style="104" customWidth="1"/>
    <col min="4" max="4" width="9.81640625" style="104" bestFit="1" customWidth="1"/>
    <col min="5" max="5" width="9.453125" style="104" bestFit="1" customWidth="1"/>
    <col min="6" max="6" width="9.1796875" style="104" customWidth="1"/>
    <col min="7" max="7" width="10.81640625" style="104" customWidth="1"/>
    <col min="8" max="8" width="8.1796875" style="104" customWidth="1"/>
    <col min="9" max="9" width="9" style="104" customWidth="1"/>
    <col min="10" max="10" width="7.1796875" style="104" customWidth="1"/>
    <col min="11" max="11" width="5" style="104" customWidth="1"/>
    <col min="12" max="12" width="8.81640625" style="104"/>
    <col min="13" max="13" width="19.453125" style="104" bestFit="1" customWidth="1"/>
    <col min="14" max="14" width="8.81640625" style="104"/>
    <col min="15" max="15" width="31" style="104" bestFit="1" customWidth="1"/>
    <col min="16" max="16" width="47" style="104" bestFit="1" customWidth="1"/>
    <col min="17" max="16384" width="8.81640625" style="104"/>
  </cols>
  <sheetData>
    <row r="1" spans="1:16" ht="13.5" thickBot="1" x14ac:dyDescent="0.35">
      <c r="A1" s="707" t="s">
        <v>224</v>
      </c>
      <c r="B1" s="708"/>
      <c r="C1" s="708"/>
      <c r="D1" s="708"/>
      <c r="E1" s="708"/>
      <c r="F1" s="708"/>
      <c r="G1" s="708"/>
      <c r="H1" s="708"/>
      <c r="I1" s="708"/>
      <c r="J1" s="708"/>
      <c r="K1" s="709"/>
    </row>
    <row r="2" spans="1:16" ht="14.5" customHeight="1" x14ac:dyDescent="0.3">
      <c r="A2" s="731"/>
      <c r="B2" s="732"/>
      <c r="C2" s="132" t="s">
        <v>219</v>
      </c>
      <c r="D2" s="737" t="s">
        <v>220</v>
      </c>
      <c r="E2" s="737"/>
      <c r="F2" s="737"/>
      <c r="G2" s="737"/>
      <c r="H2" s="738" t="s">
        <v>274</v>
      </c>
      <c r="I2" s="738"/>
      <c r="J2" s="738"/>
      <c r="K2" s="739"/>
    </row>
    <row r="3" spans="1:16" ht="14.5" customHeight="1" x14ac:dyDescent="0.3">
      <c r="A3" s="733"/>
      <c r="B3" s="734"/>
      <c r="C3" s="129" t="s">
        <v>210</v>
      </c>
      <c r="D3" s="602" t="s">
        <v>332</v>
      </c>
      <c r="E3" s="602"/>
      <c r="F3" s="602"/>
      <c r="G3" s="602"/>
      <c r="H3" s="593" t="s">
        <v>223</v>
      </c>
      <c r="I3" s="593"/>
      <c r="J3" s="593"/>
      <c r="K3" s="740"/>
    </row>
    <row r="4" spans="1:16" ht="14.5" customHeight="1" x14ac:dyDescent="0.3">
      <c r="A4" s="733"/>
      <c r="B4" s="734"/>
      <c r="C4" s="129" t="s">
        <v>212</v>
      </c>
      <c r="D4" s="602" t="s">
        <v>226</v>
      </c>
      <c r="E4" s="602"/>
      <c r="F4" s="602"/>
      <c r="G4" s="602"/>
      <c r="H4" s="105" t="s">
        <v>231</v>
      </c>
      <c r="I4" s="105" t="s">
        <v>229</v>
      </c>
      <c r="J4" s="105" t="s">
        <v>230</v>
      </c>
      <c r="K4" s="111" t="s">
        <v>235</v>
      </c>
    </row>
    <row r="5" spans="1:16" ht="15" customHeight="1" thickBot="1" x14ac:dyDescent="0.35">
      <c r="A5" s="735"/>
      <c r="B5" s="736"/>
      <c r="C5" s="131" t="s">
        <v>227</v>
      </c>
      <c r="D5" s="741" t="s">
        <v>228</v>
      </c>
      <c r="E5" s="741"/>
      <c r="F5" s="741"/>
      <c r="G5" s="741"/>
      <c r="H5" s="102" t="s">
        <v>232</v>
      </c>
      <c r="I5" s="102" t="s">
        <v>234</v>
      </c>
      <c r="J5" s="102" t="s">
        <v>233</v>
      </c>
      <c r="K5" s="103" t="s">
        <v>46</v>
      </c>
    </row>
    <row r="6" spans="1:16" ht="8.15" customHeight="1" thickBot="1" x14ac:dyDescent="0.35">
      <c r="A6" s="742"/>
      <c r="B6" s="743"/>
      <c r="C6" s="743"/>
      <c r="D6" s="743"/>
      <c r="E6" s="743"/>
      <c r="F6" s="743"/>
      <c r="G6" s="743"/>
      <c r="H6" s="743"/>
      <c r="I6" s="743"/>
      <c r="J6" s="743"/>
      <c r="K6" s="744"/>
    </row>
    <row r="7" spans="1:16" ht="13.5" thickBot="1" x14ac:dyDescent="0.35">
      <c r="A7" s="745" t="s">
        <v>236</v>
      </c>
      <c r="B7" s="746"/>
      <c r="C7" s="746"/>
      <c r="D7" s="746"/>
      <c r="E7" s="746"/>
      <c r="F7" s="746"/>
      <c r="G7" s="746"/>
      <c r="H7" s="746"/>
      <c r="I7" s="746"/>
      <c r="J7" s="747"/>
      <c r="K7" s="110" t="s">
        <v>211</v>
      </c>
      <c r="M7" s="104" t="s">
        <v>6</v>
      </c>
      <c r="O7" s="137">
        <v>17</v>
      </c>
      <c r="P7" s="137">
        <v>20</v>
      </c>
    </row>
    <row r="8" spans="1:16" x14ac:dyDescent="0.3">
      <c r="A8" s="147">
        <v>1</v>
      </c>
      <c r="B8" s="132" t="s">
        <v>277</v>
      </c>
      <c r="C8" s="737" t="s">
        <v>351</v>
      </c>
      <c r="D8" s="737"/>
      <c r="E8" s="737"/>
      <c r="F8" s="737"/>
      <c r="G8" s="737"/>
      <c r="H8" s="737"/>
      <c r="I8" s="737"/>
      <c r="J8" s="748"/>
      <c r="K8" s="108"/>
      <c r="M8" s="104" t="s">
        <v>14</v>
      </c>
      <c r="O8" s="104" t="str">
        <f>HLOOKUP(O7,'Property Calc_Design Flow'!$E$2:$ED$3,2,FALSE)</f>
        <v>PRODUCT GAS TO CHILLED WATER COOLER</v>
      </c>
      <c r="P8" s="104" t="str">
        <f>HLOOKUP(P7,'Property Calc_Design Flow'!$E$2:$ED$3,2,FALSE)</f>
        <v>Condensnate Line Hydraulics</v>
      </c>
    </row>
    <row r="9" spans="1:16" ht="14.5" x14ac:dyDescent="0.35">
      <c r="A9" s="148">
        <f>A8+1</f>
        <v>2</v>
      </c>
      <c r="B9" s="129" t="s">
        <v>275</v>
      </c>
      <c r="C9" s="602" t="s">
        <v>352</v>
      </c>
      <c r="D9" s="602"/>
      <c r="E9" s="602"/>
      <c r="F9" s="602"/>
      <c r="G9" s="602"/>
      <c r="H9" s="602"/>
      <c r="I9" s="602"/>
      <c r="J9" s="749"/>
      <c r="K9" s="108"/>
      <c r="M9" s="19" t="s">
        <v>1</v>
      </c>
      <c r="N9" s="73" t="s">
        <v>5</v>
      </c>
      <c r="O9" s="73">
        <f>HLOOKUP(O$8,'Property Calc_Design Flow'!$E$3:$EJ$25,MATCH(M9,'Property Calc_Design Flow'!$C$3:$C$24,0),FALSE)</f>
        <v>268</v>
      </c>
      <c r="P9" s="73">
        <f>HLOOKUP(P$8,'Property Calc_Design Flow'!$E$3:$EJ$25,MATCH(M9,'Property Calc_Design Flow'!$C$3:$C$24,0),FALSE)</f>
        <v>120</v>
      </c>
    </row>
    <row r="10" spans="1:16" ht="14.5" x14ac:dyDescent="0.35">
      <c r="A10" s="149">
        <f>A9+1</f>
        <v>3</v>
      </c>
      <c r="B10" s="136" t="s">
        <v>279</v>
      </c>
      <c r="C10" s="602" t="s">
        <v>353</v>
      </c>
      <c r="D10" s="602"/>
      <c r="E10" s="602"/>
      <c r="F10" s="602"/>
      <c r="G10" s="602"/>
      <c r="H10" s="602"/>
      <c r="I10" s="602"/>
      <c r="J10" s="749"/>
      <c r="K10" s="108"/>
      <c r="M10" s="19" t="s">
        <v>0</v>
      </c>
      <c r="N10" s="73" t="s">
        <v>4</v>
      </c>
      <c r="O10" s="73">
        <f>HLOOKUP(O$8,'Property Calc_Design Flow'!$E$3:$EJ$25,MATCH(M10,'Property Calc_Design Flow'!$C$3:$C$24,0),FALSE)</f>
        <v>111</v>
      </c>
      <c r="P10" s="73">
        <f>HLOOKUP(P$8,'Property Calc_Design Flow'!$E$3:$EJ$25,MATCH(M10,'Property Calc_Design Flow'!$C$3:$C$24,0),FALSE)</f>
        <v>40</v>
      </c>
    </row>
    <row r="11" spans="1:16" ht="14.5" x14ac:dyDescent="0.35">
      <c r="A11" s="149">
        <f>A10+1</f>
        <v>4</v>
      </c>
      <c r="B11" s="136" t="s">
        <v>355</v>
      </c>
      <c r="C11" s="146"/>
      <c r="D11" s="692" t="s">
        <v>356</v>
      </c>
      <c r="E11" s="692"/>
      <c r="F11" s="703"/>
      <c r="G11" s="145"/>
      <c r="H11" s="692" t="s">
        <v>357</v>
      </c>
      <c r="I11" s="692"/>
      <c r="J11" s="693"/>
      <c r="K11" s="108"/>
      <c r="M11" s="19" t="s">
        <v>26</v>
      </c>
      <c r="N11" s="73" t="s">
        <v>27</v>
      </c>
      <c r="O11" s="73">
        <f>HLOOKUP(O$8,'Property Calc_Design Flow'!$E$3:$EJ$25,MATCH(M11,'Property Calc_Design Flow'!$C$3:$C$24,0),FALSE)</f>
        <v>1393.8650566569991</v>
      </c>
      <c r="P11" s="73">
        <f>HLOOKUP(P$8,'Property Calc_Design Flow'!$E$3:$EJ$25,MATCH(M11,'Property Calc_Design Flow'!$C$3:$C$24,0),FALSE)</f>
        <v>1.8216379120248329</v>
      </c>
    </row>
    <row r="12" spans="1:16" ht="14.5" x14ac:dyDescent="0.35">
      <c r="A12" s="149">
        <f>A11+1</f>
        <v>5</v>
      </c>
      <c r="B12" s="136" t="s">
        <v>225</v>
      </c>
      <c r="C12" s="798" t="s">
        <v>354</v>
      </c>
      <c r="D12" s="798"/>
      <c r="E12" s="798"/>
      <c r="F12" s="798"/>
      <c r="G12" s="798"/>
      <c r="H12" s="798"/>
      <c r="I12" s="798"/>
      <c r="J12" s="799"/>
      <c r="K12" s="108"/>
      <c r="M12" s="19" t="s">
        <v>28</v>
      </c>
      <c r="N12" s="73" t="s">
        <v>29</v>
      </c>
      <c r="O12" s="73">
        <f>HLOOKUP(O$8,'Property Calc_Design Flow'!$E$3:$EJ$25,MATCH(M12,'Property Calc_Design Flow'!$C$3:$C$24,0),FALSE)</f>
        <v>79.587529088064628</v>
      </c>
      <c r="P12" s="73">
        <f>HLOOKUP(P$8,'Property Calc_Design Flow'!$E$3:$EJ$25,MATCH(M12,'Property Calc_Design Flow'!$C$3:$C$24,0),FALSE)</f>
        <v>0.19115182818489121</v>
      </c>
    </row>
    <row r="13" spans="1:16" ht="15" thickBot="1" x14ac:dyDescent="0.4">
      <c r="A13" s="150">
        <f>A12+1</f>
        <v>6</v>
      </c>
      <c r="B13" s="167" t="s">
        <v>392</v>
      </c>
      <c r="C13" s="166" t="s">
        <v>393</v>
      </c>
      <c r="D13" s="167"/>
      <c r="E13" s="168"/>
      <c r="F13" s="167" t="s">
        <v>394</v>
      </c>
      <c r="G13" s="167"/>
      <c r="H13" s="169" t="s">
        <v>395</v>
      </c>
      <c r="I13" s="167"/>
      <c r="J13" s="170"/>
      <c r="K13" s="108"/>
      <c r="M13" s="19"/>
      <c r="N13" s="73"/>
      <c r="O13" s="73"/>
      <c r="P13" s="73"/>
    </row>
    <row r="14" spans="1:16" ht="15" thickBot="1" x14ac:dyDescent="0.4">
      <c r="A14" s="707" t="s">
        <v>284</v>
      </c>
      <c r="B14" s="708"/>
      <c r="C14" s="708"/>
      <c r="D14" s="708"/>
      <c r="E14" s="708"/>
      <c r="F14" s="708"/>
      <c r="G14" s="708"/>
      <c r="H14" s="708"/>
      <c r="I14" s="708"/>
      <c r="J14" s="709"/>
      <c r="K14" s="109"/>
      <c r="M14" s="19" t="s">
        <v>2</v>
      </c>
      <c r="N14" s="73" t="s">
        <v>3</v>
      </c>
      <c r="O14" s="73">
        <f>HLOOKUP(O$8,'Property Calc_Design Flow'!$E$3:$EJ$25,MATCH(M14,'Property Calc_Design Flow'!$C$3:$C$24,0),FALSE)</f>
        <v>3587.0764912074692</v>
      </c>
      <c r="P14" s="73">
        <f>HLOOKUP(P$8,'Property Calc_Design Flow'!$E$3:$EJ$25,MATCH(M14,'Property Calc_Design Flow'!$C$3:$C$24,0),FALSE)</f>
        <v>5.1900047708272927</v>
      </c>
    </row>
    <row r="15" spans="1:16" ht="14.5" x14ac:dyDescent="0.35">
      <c r="A15" s="147">
        <f>A13+1</f>
        <v>7</v>
      </c>
      <c r="B15" s="106" t="s">
        <v>248</v>
      </c>
      <c r="C15" s="126" t="s">
        <v>222</v>
      </c>
      <c r="D15" s="126" t="s">
        <v>215</v>
      </c>
      <c r="E15" s="126" t="s">
        <v>218</v>
      </c>
      <c r="F15" s="126" t="s">
        <v>214</v>
      </c>
      <c r="G15" s="710" t="s">
        <v>221</v>
      </c>
      <c r="H15" s="710"/>
      <c r="I15" s="710"/>
      <c r="J15" s="711"/>
      <c r="K15" s="107"/>
      <c r="M15" s="19" t="s">
        <v>30</v>
      </c>
      <c r="N15" s="73" t="s">
        <v>31</v>
      </c>
      <c r="O15" s="73">
        <f>HLOOKUP(O$8,'Property Calc_Design Flow'!$E$3:$EJ$25,MATCH(M15,'Property Calc_Design Flow'!$C$3:$C$24,0),FALSE)</f>
        <v>220.37972910859295</v>
      </c>
      <c r="P15" s="73">
        <f>HLOOKUP(P$8,'Property Calc_Design Flow'!$E$3:$EJ$25,MATCH(M15,'Property Calc_Design Flow'!$C$3:$C$24,0),FALSE)</f>
        <v>0.28801358328675319</v>
      </c>
    </row>
    <row r="16" spans="1:16" ht="14.5" x14ac:dyDescent="0.35">
      <c r="A16" s="148">
        <f>A15+1</f>
        <v>8</v>
      </c>
      <c r="B16" s="129" t="s">
        <v>282</v>
      </c>
      <c r="C16" s="100" t="s">
        <v>27</v>
      </c>
      <c r="D16" s="127">
        <f>O11</f>
        <v>1393.8650566569991</v>
      </c>
      <c r="E16" s="127">
        <f>D16</f>
        <v>1393.8650566569991</v>
      </c>
      <c r="F16" s="100">
        <v>200</v>
      </c>
      <c r="G16" s="687" t="s">
        <v>358</v>
      </c>
      <c r="H16" s="687"/>
      <c r="I16" s="687"/>
      <c r="J16" s="688"/>
      <c r="K16" s="107"/>
      <c r="M16" s="19" t="s">
        <v>18</v>
      </c>
      <c r="N16" s="73"/>
      <c r="O16" s="73">
        <f>HLOOKUP(O$8,'Property Calc_Design Flow'!$E$3:$EJ$25,MATCH(M16,'Property Calc_Design Flow'!$C$3:$C$24,0),FALSE)</f>
        <v>16.276798713369519</v>
      </c>
      <c r="P16" s="73">
        <f>HLOOKUP(P$8,'Property Calc_Design Flow'!$E$3:$EJ$25,MATCH(M16,'Property Calc_Design Flow'!$C$3:$C$24,0),FALSE)</f>
        <v>18.02</v>
      </c>
    </row>
    <row r="17" spans="1:16" ht="14.5" x14ac:dyDescent="0.35">
      <c r="A17" s="148">
        <f>A16+1</f>
        <v>9</v>
      </c>
      <c r="B17" s="99" t="s">
        <v>288</v>
      </c>
      <c r="C17" s="100" t="s">
        <v>237</v>
      </c>
      <c r="D17" s="138">
        <v>150</v>
      </c>
      <c r="E17" s="138">
        <f>O9</f>
        <v>268</v>
      </c>
      <c r="F17" s="128">
        <v>100</v>
      </c>
      <c r="G17" s="687"/>
      <c r="H17" s="687"/>
      <c r="I17" s="687"/>
      <c r="J17" s="688"/>
      <c r="K17" s="107"/>
      <c r="M17" s="19" t="s">
        <v>22</v>
      </c>
      <c r="N17" s="73" t="s">
        <v>23</v>
      </c>
      <c r="O17" s="73">
        <f>HLOOKUP(O$8,'Property Calc_Design Flow'!$E$3:$EJ$25,MATCH(M17,'Property Calc_Design Flow'!$C$3:$C$24,0),FALSE)</f>
        <v>0.99980339092408044</v>
      </c>
      <c r="P17" s="73">
        <f>HLOOKUP(P$8,'Property Calc_Design Flow'!$E$3:$EJ$25,MATCH(M17,'Property Calc_Design Flow'!$C$3:$C$24,0),FALSE)</f>
        <v>0.99980339092408044</v>
      </c>
    </row>
    <row r="18" spans="1:16" ht="14.5" x14ac:dyDescent="0.35">
      <c r="A18" s="148">
        <f t="shared" ref="A18:A27" si="0">A17+1</f>
        <v>10</v>
      </c>
      <c r="B18" s="99" t="s">
        <v>0</v>
      </c>
      <c r="C18" s="100" t="s">
        <v>238</v>
      </c>
      <c r="D18" s="138">
        <f>O10</f>
        <v>111</v>
      </c>
      <c r="E18" s="138">
        <f>D18</f>
        <v>111</v>
      </c>
      <c r="F18" s="128">
        <v>70</v>
      </c>
      <c r="G18" s="687"/>
      <c r="H18" s="687"/>
      <c r="I18" s="687"/>
      <c r="J18" s="688"/>
      <c r="K18" s="107"/>
      <c r="M18" s="19" t="s">
        <v>20</v>
      </c>
      <c r="N18" s="73" t="s">
        <v>21</v>
      </c>
      <c r="O18" s="73">
        <f>HLOOKUP(O$8,'Property Calc_Design Flow'!$E$3:$EJ$25,MATCH(M18,'Property Calc_Design Flow'!$C$3:$C$24,0),FALSE)</f>
        <v>0.75123894831999516</v>
      </c>
      <c r="P18" s="73">
        <f>HLOOKUP(P$8,'Property Calc_Design Flow'!$E$3:$EJ$25,MATCH(M18,'Property Calc_Design Flow'!$C$3:$C$24,0),FALSE)</f>
        <v>0.45255543087399852</v>
      </c>
    </row>
    <row r="19" spans="1:16" ht="14.5" x14ac:dyDescent="0.35">
      <c r="A19" s="148">
        <f t="shared" si="0"/>
        <v>11</v>
      </c>
      <c r="B19" s="99" t="s">
        <v>286</v>
      </c>
      <c r="C19" s="100"/>
      <c r="D19" s="138">
        <f>E19*1.1</f>
        <v>17.904478584706474</v>
      </c>
      <c r="E19" s="138">
        <f>O16</f>
        <v>16.276798713369519</v>
      </c>
      <c r="F19" s="138">
        <f>E19*0.9</f>
        <v>14.649118842032568</v>
      </c>
      <c r="G19" s="687"/>
      <c r="H19" s="687"/>
      <c r="I19" s="687"/>
      <c r="J19" s="688"/>
      <c r="K19" s="107"/>
      <c r="M19" s="139"/>
      <c r="N19" s="140"/>
      <c r="O19" s="73"/>
      <c r="P19" s="73"/>
    </row>
    <row r="20" spans="1:16" ht="14.5" x14ac:dyDescent="0.35">
      <c r="A20" s="148">
        <f t="shared" si="0"/>
        <v>12</v>
      </c>
      <c r="B20" s="729" t="s">
        <v>195</v>
      </c>
      <c r="C20" s="729"/>
      <c r="D20" s="729"/>
      <c r="E20" s="729"/>
      <c r="F20" s="729"/>
      <c r="G20" s="687"/>
      <c r="H20" s="687"/>
      <c r="I20" s="687"/>
      <c r="J20" s="688"/>
      <c r="K20" s="107"/>
      <c r="M20" s="98" t="s">
        <v>159</v>
      </c>
      <c r="N20" s="125" t="s">
        <v>3</v>
      </c>
      <c r="O20" s="73">
        <f>HLOOKUP(O$8,'Property Calc_Design Flow'!$E$3:$EJ$25,MATCH(M20,'Property Calc_Design Flow'!$C$3:$C$24,0),FALSE)</f>
        <v>4.5980297819073259</v>
      </c>
      <c r="P20" s="73">
        <f>HLOOKUP(P$8,'Property Calc_Design Flow'!$E$3:$EJ$25,MATCH(M20,'Property Calc_Design Flow'!$C$3:$C$24,0),FALSE)</f>
        <v>5.1900047708272927</v>
      </c>
    </row>
    <row r="21" spans="1:16" ht="15" x14ac:dyDescent="0.4">
      <c r="A21" s="148">
        <f t="shared" si="0"/>
        <v>13</v>
      </c>
      <c r="B21" s="99" t="s">
        <v>240</v>
      </c>
      <c r="C21" s="100" t="s">
        <v>122</v>
      </c>
      <c r="D21" s="728">
        <f>O21</f>
        <v>98.243929242641002</v>
      </c>
      <c r="E21" s="728"/>
      <c r="F21" s="728"/>
      <c r="G21" s="687"/>
      <c r="H21" s="687"/>
      <c r="I21" s="687"/>
      <c r="J21" s="688"/>
      <c r="K21" s="107"/>
      <c r="M21" s="19" t="s">
        <v>7</v>
      </c>
      <c r="N21" s="73" t="s">
        <v>122</v>
      </c>
      <c r="O21" s="73">
        <f>HLOOKUP(O$8,'Property Calc_Design Flow'!$E$3:$EJ$25,MATCH(M21,'Property Calc_Design Flow'!$C$3:$C$24,0),FALSE)</f>
        <v>98.243929242641002</v>
      </c>
      <c r="P21" s="73">
        <f>HLOOKUP(P$8,'Property Calc_Design Flow'!$E$3:$EJ$25,MATCH(M21,'Property Calc_Design Flow'!$C$3:$C$24,0),FALSE)</f>
        <v>0</v>
      </c>
    </row>
    <row r="22" spans="1:16" ht="15" x14ac:dyDescent="0.4">
      <c r="A22" s="148">
        <f t="shared" si="0"/>
        <v>14</v>
      </c>
      <c r="B22" s="99" t="s">
        <v>241</v>
      </c>
      <c r="C22" s="100" t="s">
        <v>122</v>
      </c>
      <c r="D22" s="728">
        <f>O22</f>
        <v>0.15006586543830169</v>
      </c>
      <c r="E22" s="728"/>
      <c r="F22" s="728"/>
      <c r="G22" s="687"/>
      <c r="H22" s="687"/>
      <c r="I22" s="687"/>
      <c r="J22" s="688"/>
      <c r="K22" s="107"/>
      <c r="M22" s="19" t="s">
        <v>8</v>
      </c>
      <c r="N22" s="73" t="s">
        <v>122</v>
      </c>
      <c r="O22" s="73">
        <f>HLOOKUP(O$8,'Property Calc_Design Flow'!$E$3:$EJ$25,MATCH(M22,'Property Calc_Design Flow'!$C$3:$C$24,0),FALSE)</f>
        <v>0.15006586543830169</v>
      </c>
      <c r="P22" s="73">
        <f>HLOOKUP(P$8,'Property Calc_Design Flow'!$E$3:$EJ$25,MATCH(M22,'Property Calc_Design Flow'!$C$3:$C$24,0),FALSE)</f>
        <v>0</v>
      </c>
    </row>
    <row r="23" spans="1:16" ht="15" x14ac:dyDescent="0.4">
      <c r="A23" s="148">
        <f t="shared" si="0"/>
        <v>15</v>
      </c>
      <c r="B23" s="99" t="s">
        <v>242</v>
      </c>
      <c r="C23" s="100" t="s">
        <v>122</v>
      </c>
      <c r="D23" s="728">
        <f>O23</f>
        <v>1.4906542633537971</v>
      </c>
      <c r="E23" s="728"/>
      <c r="F23" s="728"/>
      <c r="G23" s="687"/>
      <c r="H23" s="687"/>
      <c r="I23" s="687"/>
      <c r="J23" s="688"/>
      <c r="K23" s="107"/>
      <c r="M23" s="19" t="s">
        <v>9</v>
      </c>
      <c r="N23" s="73" t="s">
        <v>122</v>
      </c>
      <c r="O23" s="73">
        <f>HLOOKUP(O$8,'Property Calc_Design Flow'!$E$3:$EJ$25,MATCH(M23,'Property Calc_Design Flow'!$C$3:$C$24,0),FALSE)</f>
        <v>1.4906542633537971</v>
      </c>
      <c r="P23" s="73">
        <f>HLOOKUP(P$8,'Property Calc_Design Flow'!$E$3:$EJ$25,MATCH(M23,'Property Calc_Design Flow'!$C$3:$C$24,0),FALSE)</f>
        <v>0</v>
      </c>
    </row>
    <row r="24" spans="1:16" ht="15" x14ac:dyDescent="0.4">
      <c r="A24" s="148">
        <f t="shared" si="0"/>
        <v>16</v>
      </c>
      <c r="B24" s="99" t="s">
        <v>243</v>
      </c>
      <c r="C24" s="100" t="s">
        <v>122</v>
      </c>
      <c r="D24" s="728">
        <f>'HMB_Design Case'!E22</f>
        <v>0.45996596229800635</v>
      </c>
      <c r="E24" s="728"/>
      <c r="F24" s="728"/>
      <c r="G24" s="687"/>
      <c r="H24" s="687"/>
      <c r="I24" s="687"/>
      <c r="J24" s="688"/>
      <c r="K24" s="107"/>
      <c r="M24" s="19" t="s">
        <v>10</v>
      </c>
      <c r="N24" s="73" t="s">
        <v>122</v>
      </c>
      <c r="O24" s="73">
        <f>HLOOKUP(O$8,'Property Calc_Design Flow'!$E$3:$EJ$25,MATCH(M24,'Property Calc_Design Flow'!$C$3:$C$24,0),FALSE)</f>
        <v>0.10004391029220111</v>
      </c>
      <c r="P24" s="73">
        <f>HLOOKUP(P$8,'Property Calc_Design Flow'!$E$3:$EJ$25,MATCH(M24,'Property Calc_Design Flow'!$C$3:$C$24,0),FALSE)</f>
        <v>0</v>
      </c>
    </row>
    <row r="25" spans="1:16" ht="15" x14ac:dyDescent="0.4">
      <c r="A25" s="148">
        <f t="shared" si="0"/>
        <v>17</v>
      </c>
      <c r="B25" s="99" t="s">
        <v>244</v>
      </c>
      <c r="C25" s="100" t="s">
        <v>239</v>
      </c>
      <c r="D25" s="728">
        <f>'HMB_Design Case'!E23*10^4</f>
        <v>4.0001839844650604</v>
      </c>
      <c r="E25" s="728"/>
      <c r="F25" s="728"/>
      <c r="G25" s="687"/>
      <c r="H25" s="687"/>
      <c r="I25" s="687"/>
      <c r="J25" s="688"/>
      <c r="K25" s="107"/>
      <c r="M25" s="19" t="s">
        <v>11</v>
      </c>
      <c r="N25" s="73" t="s">
        <v>122</v>
      </c>
      <c r="O25" s="73">
        <f>HLOOKUP(O$8,'Property Calc_Design Flow'!$E$3:$EJ$25,MATCH(M25,'Property Calc_Design Flow'!$C$3:$C$24,0),FALSE)</f>
        <v>4.0017564116880447E-4</v>
      </c>
      <c r="P25" s="73">
        <f>HLOOKUP(P$8,'Property Calc_Design Flow'!$E$3:$EJ$25,MATCH(M25,'Property Calc_Design Flow'!$C$3:$C$24,0),FALSE)</f>
        <v>0</v>
      </c>
    </row>
    <row r="26" spans="1:16" ht="15" x14ac:dyDescent="0.4">
      <c r="A26" s="148">
        <f t="shared" si="0"/>
        <v>18</v>
      </c>
      <c r="B26" s="99" t="s">
        <v>245</v>
      </c>
      <c r="C26" s="100" t="s">
        <v>122</v>
      </c>
      <c r="D26" s="728">
        <f>'HMB_Design Case'!E24</f>
        <v>0.12699060263444958</v>
      </c>
      <c r="E26" s="728"/>
      <c r="F26" s="728"/>
      <c r="G26" s="687"/>
      <c r="H26" s="687"/>
      <c r="I26" s="687"/>
      <c r="J26" s="688"/>
      <c r="K26" s="107"/>
      <c r="M26" s="19" t="s">
        <v>12</v>
      </c>
      <c r="N26" s="73" t="s">
        <v>122</v>
      </c>
      <c r="O26" s="73">
        <f>HLOOKUP(O$8,'Property Calc_Design Flow'!$E$3:$EJ$25,MATCH(M26,'Property Calc_Design Flow'!$C$3:$C$24,0),FALSE)</f>
        <v>1.4906542633537967E-2</v>
      </c>
      <c r="P26" s="73">
        <f>HLOOKUP(P$8,'Property Calc_Design Flow'!$E$3:$EJ$25,MATCH(M26,'Property Calc_Design Flow'!$C$3:$C$24,0),FALSE)</f>
        <v>100</v>
      </c>
    </row>
    <row r="27" spans="1:16" ht="15" thickBot="1" x14ac:dyDescent="0.4">
      <c r="A27" s="148">
        <f t="shared" si="0"/>
        <v>19</v>
      </c>
      <c r="B27" s="101" t="s">
        <v>216</v>
      </c>
      <c r="C27" s="130" t="s">
        <v>239</v>
      </c>
      <c r="D27" s="730" t="s">
        <v>217</v>
      </c>
      <c r="E27" s="730"/>
      <c r="F27" s="730"/>
      <c r="G27" s="689"/>
      <c r="H27" s="689"/>
      <c r="I27" s="689"/>
      <c r="J27" s="690"/>
      <c r="K27" s="107"/>
      <c r="M27" s="19" t="s">
        <v>32</v>
      </c>
      <c r="N27" s="73" t="s">
        <v>122</v>
      </c>
      <c r="O27" s="73">
        <f>HLOOKUP(O$8,'Property Calc_Design Flow'!$E$3:$EJ$25,MATCH(M27,'Property Calc_Design Flow'!$C$3:$C$24,0),FALSE)</f>
        <v>0</v>
      </c>
      <c r="P27" s="73">
        <f>HLOOKUP(P$8,'Property Calc_Design Flow'!$E$3:$EJ$25,MATCH(M27,'Property Calc_Design Flow'!$C$3:$C$24,0),FALSE)</f>
        <v>0</v>
      </c>
    </row>
    <row r="28" spans="1:16" ht="13.5" thickBot="1" x14ac:dyDescent="0.35">
      <c r="A28" s="707" t="s">
        <v>283</v>
      </c>
      <c r="B28" s="708"/>
      <c r="C28" s="708"/>
      <c r="D28" s="708"/>
      <c r="E28" s="708"/>
      <c r="F28" s="708"/>
      <c r="G28" s="708"/>
      <c r="H28" s="708"/>
      <c r="I28" s="708"/>
      <c r="J28" s="709"/>
      <c r="K28" s="109"/>
    </row>
    <row r="29" spans="1:16" x14ac:dyDescent="0.3">
      <c r="A29" s="147">
        <f>A27+1</f>
        <v>20</v>
      </c>
      <c r="B29" s="106" t="s">
        <v>248</v>
      </c>
      <c r="C29" s="126" t="s">
        <v>222</v>
      </c>
      <c r="D29" s="126" t="s">
        <v>215</v>
      </c>
      <c r="E29" s="126" t="s">
        <v>218</v>
      </c>
      <c r="F29" s="126" t="s">
        <v>214</v>
      </c>
      <c r="G29" s="710" t="s">
        <v>247</v>
      </c>
      <c r="H29" s="710"/>
      <c r="I29" s="710"/>
      <c r="J29" s="711"/>
      <c r="K29" s="107"/>
    </row>
    <row r="30" spans="1:16" ht="13" customHeight="1" x14ac:dyDescent="0.3">
      <c r="A30" s="148">
        <f>A29+1</f>
        <v>21</v>
      </c>
      <c r="B30" s="99" t="s">
        <v>285</v>
      </c>
      <c r="C30" s="100" t="s">
        <v>237</v>
      </c>
      <c r="D30" s="127">
        <v>270</v>
      </c>
      <c r="E30" s="127">
        <f>P9</f>
        <v>120</v>
      </c>
      <c r="F30" s="100">
        <v>260</v>
      </c>
      <c r="G30" s="755" t="s">
        <v>360</v>
      </c>
      <c r="H30" s="756"/>
      <c r="I30" s="756"/>
      <c r="J30" s="786"/>
      <c r="K30" s="107"/>
    </row>
    <row r="31" spans="1:16" x14ac:dyDescent="0.3">
      <c r="A31" s="148">
        <f>A30+1</f>
        <v>22</v>
      </c>
      <c r="B31" s="99" t="s">
        <v>359</v>
      </c>
      <c r="C31" s="100" t="s">
        <v>238</v>
      </c>
      <c r="D31" s="127" t="s">
        <v>246</v>
      </c>
      <c r="E31" s="127" t="s">
        <v>246</v>
      </c>
      <c r="F31" s="100" t="s">
        <v>246</v>
      </c>
      <c r="G31" s="758"/>
      <c r="H31" s="787"/>
      <c r="I31" s="787"/>
      <c r="J31" s="788"/>
      <c r="K31" s="107"/>
    </row>
    <row r="32" spans="1:16" x14ac:dyDescent="0.3">
      <c r="A32" s="148">
        <f>A31+1</f>
        <v>23</v>
      </c>
      <c r="B32" s="99" t="s">
        <v>290</v>
      </c>
      <c r="C32" s="100" t="s">
        <v>238</v>
      </c>
      <c r="D32" s="138">
        <f>E32</f>
        <v>40</v>
      </c>
      <c r="E32" s="138">
        <f>P10</f>
        <v>40</v>
      </c>
      <c r="F32" s="138">
        <f>E32</f>
        <v>40</v>
      </c>
      <c r="G32" s="758"/>
      <c r="H32" s="787"/>
      <c r="I32" s="787"/>
      <c r="J32" s="788"/>
      <c r="K32" s="107"/>
    </row>
    <row r="33" spans="1:11" x14ac:dyDescent="0.3">
      <c r="A33" s="148">
        <f t="shared" ref="A33:A38" si="1">A32+1</f>
        <v>24</v>
      </c>
      <c r="B33" s="99" t="s">
        <v>291</v>
      </c>
      <c r="C33" s="100"/>
      <c r="D33" s="128" t="s">
        <v>246</v>
      </c>
      <c r="E33" s="128" t="s">
        <v>246</v>
      </c>
      <c r="F33" s="128" t="s">
        <v>246</v>
      </c>
      <c r="G33" s="758"/>
      <c r="H33" s="787"/>
      <c r="I33" s="787"/>
      <c r="J33" s="788"/>
      <c r="K33" s="107"/>
    </row>
    <row r="34" spans="1:11" x14ac:dyDescent="0.3">
      <c r="A34" s="148">
        <f t="shared" si="1"/>
        <v>25</v>
      </c>
      <c r="B34" s="99" t="s">
        <v>292</v>
      </c>
      <c r="C34" s="100"/>
      <c r="D34" s="128" t="s">
        <v>246</v>
      </c>
      <c r="E34" s="128" t="s">
        <v>246</v>
      </c>
      <c r="F34" s="128" t="s">
        <v>246</v>
      </c>
      <c r="G34" s="758"/>
      <c r="H34" s="787"/>
      <c r="I34" s="787"/>
      <c r="J34" s="788"/>
      <c r="K34" s="107"/>
    </row>
    <row r="35" spans="1:11" x14ac:dyDescent="0.3">
      <c r="A35" s="148">
        <f t="shared" si="1"/>
        <v>26</v>
      </c>
      <c r="B35" s="99" t="s">
        <v>293</v>
      </c>
      <c r="C35" s="100" t="s">
        <v>238</v>
      </c>
      <c r="D35" s="128" t="s">
        <v>246</v>
      </c>
      <c r="E35" s="128" t="s">
        <v>246</v>
      </c>
      <c r="F35" s="128" t="s">
        <v>246</v>
      </c>
      <c r="G35" s="758"/>
      <c r="H35" s="787"/>
      <c r="I35" s="787"/>
      <c r="J35" s="788"/>
      <c r="K35" s="107"/>
    </row>
    <row r="36" spans="1:11" x14ac:dyDescent="0.3">
      <c r="A36" s="148">
        <f t="shared" si="1"/>
        <v>27</v>
      </c>
      <c r="B36" s="99" t="s">
        <v>296</v>
      </c>
      <c r="C36" s="100" t="s">
        <v>297</v>
      </c>
      <c r="D36" s="728" t="s">
        <v>246</v>
      </c>
      <c r="E36" s="728"/>
      <c r="F36" s="728"/>
      <c r="G36" s="758"/>
      <c r="H36" s="787"/>
      <c r="I36" s="787"/>
      <c r="J36" s="788"/>
      <c r="K36" s="107"/>
    </row>
    <row r="37" spans="1:11" ht="15" customHeight="1" x14ac:dyDescent="0.3">
      <c r="A37" s="148">
        <f t="shared" si="1"/>
        <v>28</v>
      </c>
      <c r="B37" s="99" t="s">
        <v>298</v>
      </c>
      <c r="C37" s="100" t="s">
        <v>361</v>
      </c>
      <c r="D37" s="128" t="s">
        <v>246</v>
      </c>
      <c r="E37" s="128" t="s">
        <v>246</v>
      </c>
      <c r="F37" s="128" t="s">
        <v>246</v>
      </c>
      <c r="G37" s="758"/>
      <c r="H37" s="787"/>
      <c r="I37" s="787"/>
      <c r="J37" s="788"/>
      <c r="K37" s="107"/>
    </row>
    <row r="38" spans="1:11" ht="15" customHeight="1" x14ac:dyDescent="0.3">
      <c r="A38" s="148">
        <f t="shared" si="1"/>
        <v>29</v>
      </c>
      <c r="B38" s="141" t="s">
        <v>374</v>
      </c>
      <c r="C38" s="142"/>
      <c r="D38" s="795" t="s">
        <v>246</v>
      </c>
      <c r="E38" s="796"/>
      <c r="F38" s="797"/>
      <c r="G38" s="758"/>
      <c r="H38" s="787"/>
      <c r="I38" s="787"/>
      <c r="J38" s="788"/>
      <c r="K38" s="107"/>
    </row>
    <row r="39" spans="1:11" ht="15" customHeight="1" x14ac:dyDescent="0.3">
      <c r="A39" s="148">
        <f t="shared" ref="A39" si="2">A38+1</f>
        <v>30</v>
      </c>
      <c r="B39" s="141" t="s">
        <v>375</v>
      </c>
      <c r="C39" s="142"/>
      <c r="D39" s="795" t="s">
        <v>246</v>
      </c>
      <c r="E39" s="796"/>
      <c r="F39" s="797"/>
      <c r="G39" s="758"/>
      <c r="H39" s="787"/>
      <c r="I39" s="787"/>
      <c r="J39" s="788"/>
      <c r="K39" s="107"/>
    </row>
    <row r="40" spans="1:11" ht="15" customHeight="1" thickBot="1" x14ac:dyDescent="0.35">
      <c r="A40" s="148">
        <f>A39+1</f>
        <v>31</v>
      </c>
      <c r="B40" s="141" t="s">
        <v>366</v>
      </c>
      <c r="C40" s="142"/>
      <c r="D40" s="128" t="s">
        <v>246</v>
      </c>
      <c r="E40" s="128" t="s">
        <v>246</v>
      </c>
      <c r="F40" s="128" t="s">
        <v>246</v>
      </c>
      <c r="G40" s="789"/>
      <c r="H40" s="790"/>
      <c r="I40" s="790"/>
      <c r="J40" s="791"/>
      <c r="K40" s="107"/>
    </row>
    <row r="41" spans="1:11" ht="13.5" thickBot="1" x14ac:dyDescent="0.35">
      <c r="A41" s="707" t="s">
        <v>304</v>
      </c>
      <c r="B41" s="708"/>
      <c r="C41" s="708"/>
      <c r="D41" s="708"/>
      <c r="E41" s="708"/>
      <c r="F41" s="708"/>
      <c r="G41" s="708"/>
      <c r="H41" s="708"/>
      <c r="I41" s="708"/>
      <c r="J41" s="709"/>
      <c r="K41" s="107"/>
    </row>
    <row r="42" spans="1:11" x14ac:dyDescent="0.3">
      <c r="A42" s="147">
        <f>A40+1</f>
        <v>32</v>
      </c>
      <c r="B42" s="106" t="s">
        <v>248</v>
      </c>
      <c r="C42" s="126" t="s">
        <v>222</v>
      </c>
      <c r="D42" s="126" t="s">
        <v>215</v>
      </c>
      <c r="E42" s="126" t="s">
        <v>218</v>
      </c>
      <c r="F42" s="126" t="s">
        <v>214</v>
      </c>
      <c r="G42" s="710" t="s">
        <v>247</v>
      </c>
      <c r="H42" s="710"/>
      <c r="I42" s="710"/>
      <c r="J42" s="711"/>
      <c r="K42" s="107"/>
    </row>
    <row r="43" spans="1:11" x14ac:dyDescent="0.3">
      <c r="A43" s="148">
        <f>A42+1</f>
        <v>33</v>
      </c>
      <c r="B43" s="129" t="s">
        <v>362</v>
      </c>
      <c r="C43" s="100" t="s">
        <v>330</v>
      </c>
      <c r="D43" s="704" t="s">
        <v>262</v>
      </c>
      <c r="E43" s="705"/>
      <c r="F43" s="706"/>
      <c r="G43" s="687"/>
      <c r="H43" s="687"/>
      <c r="I43" s="687"/>
      <c r="J43" s="688"/>
      <c r="K43" s="107"/>
    </row>
    <row r="44" spans="1:11" x14ac:dyDescent="0.3">
      <c r="A44" s="148">
        <f>A43+1</f>
        <v>34</v>
      </c>
      <c r="B44" s="99" t="s">
        <v>306</v>
      </c>
      <c r="C44" s="100"/>
      <c r="D44" s="128" t="s">
        <v>307</v>
      </c>
      <c r="E44" s="128" t="s">
        <v>308</v>
      </c>
      <c r="F44" s="128" t="s">
        <v>309</v>
      </c>
      <c r="G44" s="687"/>
      <c r="H44" s="687"/>
      <c r="I44" s="687"/>
      <c r="J44" s="688"/>
      <c r="K44" s="107"/>
    </row>
    <row r="45" spans="1:11" x14ac:dyDescent="0.3">
      <c r="A45" s="148">
        <f t="shared" ref="A45:A46" si="3">A44+1</f>
        <v>35</v>
      </c>
      <c r="B45" s="99" t="s">
        <v>310</v>
      </c>
      <c r="C45" s="100" t="s">
        <v>330</v>
      </c>
      <c r="D45" s="704" t="s">
        <v>262</v>
      </c>
      <c r="E45" s="705"/>
      <c r="F45" s="706"/>
      <c r="G45" s="687"/>
      <c r="H45" s="687"/>
      <c r="I45" s="687"/>
      <c r="J45" s="688"/>
      <c r="K45" s="107"/>
    </row>
    <row r="46" spans="1:11" ht="13.5" thickBot="1" x14ac:dyDescent="0.35">
      <c r="A46" s="148">
        <f t="shared" si="3"/>
        <v>36</v>
      </c>
      <c r="B46" s="99" t="s">
        <v>311</v>
      </c>
      <c r="C46" s="99" t="s">
        <v>363</v>
      </c>
      <c r="D46" s="128" t="s">
        <v>246</v>
      </c>
      <c r="E46" s="128" t="s">
        <v>308</v>
      </c>
      <c r="F46" s="128" t="s">
        <v>246</v>
      </c>
      <c r="G46" s="687"/>
      <c r="H46" s="687"/>
      <c r="I46" s="687"/>
      <c r="J46" s="688"/>
      <c r="K46" s="107"/>
    </row>
    <row r="47" spans="1:11" ht="13.5" thickBot="1" x14ac:dyDescent="0.35">
      <c r="A47" s="707" t="s">
        <v>312</v>
      </c>
      <c r="B47" s="708"/>
      <c r="C47" s="708"/>
      <c r="D47" s="708"/>
      <c r="E47" s="708"/>
      <c r="F47" s="708"/>
      <c r="G47" s="708"/>
      <c r="H47" s="708"/>
      <c r="I47" s="708"/>
      <c r="J47" s="709"/>
      <c r="K47" s="107"/>
    </row>
    <row r="48" spans="1:11" x14ac:dyDescent="0.3">
      <c r="A48" s="147">
        <f>A46+1</f>
        <v>37</v>
      </c>
      <c r="B48" s="106" t="s">
        <v>248</v>
      </c>
      <c r="C48" s="126" t="s">
        <v>222</v>
      </c>
      <c r="D48" s="126" t="s">
        <v>215</v>
      </c>
      <c r="E48" s="126" t="s">
        <v>218</v>
      </c>
      <c r="F48" s="126" t="s">
        <v>214</v>
      </c>
      <c r="G48" s="710" t="s">
        <v>247</v>
      </c>
      <c r="H48" s="710"/>
      <c r="I48" s="710"/>
      <c r="J48" s="711"/>
      <c r="K48" s="107"/>
    </row>
    <row r="49" spans="1:11" ht="14.5" customHeight="1" x14ac:dyDescent="0.3">
      <c r="A49" s="148">
        <f>A48+1</f>
        <v>38</v>
      </c>
      <c r="B49" s="129" t="s">
        <v>266</v>
      </c>
      <c r="C49" s="100" t="s">
        <v>5</v>
      </c>
      <c r="D49" s="127">
        <v>150</v>
      </c>
      <c r="E49" s="127">
        <v>100</v>
      </c>
      <c r="F49" s="127">
        <v>80</v>
      </c>
      <c r="G49" s="687" t="s">
        <v>365</v>
      </c>
      <c r="H49" s="687"/>
      <c r="I49" s="687"/>
      <c r="J49" s="688"/>
      <c r="K49" s="107"/>
    </row>
    <row r="50" spans="1:11" ht="14.5" customHeight="1" x14ac:dyDescent="0.3">
      <c r="A50" s="148">
        <f t="shared" ref="A50:A53" si="4">A49+1</f>
        <v>39</v>
      </c>
      <c r="B50" s="129" t="s">
        <v>267</v>
      </c>
      <c r="C50" s="100" t="s">
        <v>238</v>
      </c>
      <c r="D50" s="127">
        <v>150</v>
      </c>
      <c r="E50" s="127">
        <v>100</v>
      </c>
      <c r="F50" s="100">
        <v>60</v>
      </c>
      <c r="G50" s="687"/>
      <c r="H50" s="687"/>
      <c r="I50" s="687"/>
      <c r="J50" s="688"/>
      <c r="K50" s="107"/>
    </row>
    <row r="51" spans="1:11" ht="14.5" customHeight="1" x14ac:dyDescent="0.3">
      <c r="A51" s="148">
        <f t="shared" si="4"/>
        <v>40</v>
      </c>
      <c r="B51" s="129" t="s">
        <v>322</v>
      </c>
      <c r="C51" s="100" t="s">
        <v>5</v>
      </c>
      <c r="D51" s="127">
        <v>200</v>
      </c>
      <c r="E51" s="127">
        <v>100</v>
      </c>
      <c r="F51" s="127">
        <v>60</v>
      </c>
      <c r="G51" s="687"/>
      <c r="H51" s="687"/>
      <c r="I51" s="687"/>
      <c r="J51" s="688"/>
      <c r="K51" s="107"/>
    </row>
    <row r="52" spans="1:11" ht="14.5" customHeight="1" x14ac:dyDescent="0.3">
      <c r="A52" s="148">
        <f t="shared" si="4"/>
        <v>41</v>
      </c>
      <c r="B52" s="129" t="s">
        <v>323</v>
      </c>
      <c r="C52" s="100" t="s">
        <v>238</v>
      </c>
      <c r="D52" s="127">
        <v>35</v>
      </c>
      <c r="E52" s="127">
        <v>30</v>
      </c>
      <c r="F52" s="127">
        <v>30</v>
      </c>
      <c r="G52" s="687"/>
      <c r="H52" s="687"/>
      <c r="I52" s="687"/>
      <c r="J52" s="688"/>
      <c r="K52" s="107"/>
    </row>
    <row r="53" spans="1:11" ht="14.5" customHeight="1" thickBot="1" x14ac:dyDescent="0.35">
      <c r="A53" s="150">
        <f t="shared" si="4"/>
        <v>42</v>
      </c>
      <c r="B53" s="131" t="s">
        <v>364</v>
      </c>
      <c r="C53" s="130" t="s">
        <v>238</v>
      </c>
      <c r="D53" s="112">
        <v>45</v>
      </c>
      <c r="E53" s="112">
        <v>40</v>
      </c>
      <c r="F53" s="112">
        <v>40</v>
      </c>
      <c r="G53" s="689"/>
      <c r="H53" s="689"/>
      <c r="I53" s="689"/>
      <c r="J53" s="690"/>
      <c r="K53" s="107"/>
    </row>
    <row r="54" spans="1:11" ht="15" customHeight="1" thickBot="1" x14ac:dyDescent="0.35">
      <c r="A54" s="707" t="s">
        <v>313</v>
      </c>
      <c r="B54" s="708"/>
      <c r="C54" s="708"/>
      <c r="D54" s="708"/>
      <c r="E54" s="708"/>
      <c r="F54" s="708"/>
      <c r="G54" s="708"/>
      <c r="H54" s="708"/>
      <c r="I54" s="708"/>
      <c r="J54" s="709"/>
      <c r="K54" s="107"/>
    </row>
    <row r="55" spans="1:11" x14ac:dyDescent="0.3">
      <c r="A55" s="147">
        <f>A53+1</f>
        <v>43</v>
      </c>
      <c r="B55" s="106" t="s">
        <v>248</v>
      </c>
      <c r="C55" s="126" t="s">
        <v>222</v>
      </c>
      <c r="D55" s="710" t="s">
        <v>251</v>
      </c>
      <c r="E55" s="710"/>
      <c r="F55" s="710"/>
      <c r="G55" s="710" t="s">
        <v>247</v>
      </c>
      <c r="H55" s="710"/>
      <c r="I55" s="710"/>
      <c r="J55" s="711"/>
      <c r="K55" s="107"/>
    </row>
    <row r="56" spans="1:11" x14ac:dyDescent="0.3">
      <c r="A56" s="148">
        <f>A55+1</f>
        <v>44</v>
      </c>
      <c r="B56" s="129" t="s">
        <v>314</v>
      </c>
      <c r="C56" s="100" t="s">
        <v>5</v>
      </c>
      <c r="D56" s="431">
        <v>300</v>
      </c>
      <c r="E56" s="431"/>
      <c r="F56" s="431"/>
      <c r="G56" s="687" t="s">
        <v>367</v>
      </c>
      <c r="H56" s="687"/>
      <c r="I56" s="687"/>
      <c r="J56" s="688"/>
      <c r="K56" s="107"/>
    </row>
    <row r="57" spans="1:11" x14ac:dyDescent="0.3">
      <c r="A57" s="148">
        <f t="shared" ref="A57:A60" si="5">A56+1</f>
        <v>45</v>
      </c>
      <c r="B57" s="129" t="s">
        <v>326</v>
      </c>
      <c r="C57" s="100" t="s">
        <v>238</v>
      </c>
      <c r="D57" s="431" t="s">
        <v>246</v>
      </c>
      <c r="E57" s="431"/>
      <c r="F57" s="431"/>
      <c r="G57" s="687"/>
      <c r="H57" s="687"/>
      <c r="I57" s="687"/>
      <c r="J57" s="688"/>
      <c r="K57" s="107"/>
    </row>
    <row r="58" spans="1:11" x14ac:dyDescent="0.3">
      <c r="A58" s="148">
        <f t="shared" si="5"/>
        <v>46</v>
      </c>
      <c r="B58" s="99" t="s">
        <v>249</v>
      </c>
      <c r="C58" s="100"/>
      <c r="D58" s="431" t="s">
        <v>250</v>
      </c>
      <c r="E58" s="431"/>
      <c r="F58" s="431"/>
      <c r="G58" s="687"/>
      <c r="H58" s="687"/>
      <c r="I58" s="687"/>
      <c r="J58" s="688"/>
      <c r="K58" s="107"/>
    </row>
    <row r="59" spans="1:11" x14ac:dyDescent="0.3">
      <c r="A59" s="148">
        <f t="shared" si="5"/>
        <v>47</v>
      </c>
      <c r="B59" s="99" t="s">
        <v>327</v>
      </c>
      <c r="C59" s="100"/>
      <c r="D59" s="593" t="s">
        <v>246</v>
      </c>
      <c r="E59" s="593"/>
      <c r="F59" s="593"/>
      <c r="G59" s="687"/>
      <c r="H59" s="687"/>
      <c r="I59" s="687"/>
      <c r="J59" s="688"/>
      <c r="K59" s="107"/>
    </row>
    <row r="60" spans="1:11" ht="13.5" thickBot="1" x14ac:dyDescent="0.35">
      <c r="A60" s="148">
        <f t="shared" si="5"/>
        <v>48</v>
      </c>
      <c r="B60" s="101" t="s">
        <v>254</v>
      </c>
      <c r="C60" s="130"/>
      <c r="D60" s="725" t="s">
        <v>213</v>
      </c>
      <c r="E60" s="725"/>
      <c r="F60" s="725"/>
      <c r="G60" s="689"/>
      <c r="H60" s="689"/>
      <c r="I60" s="689"/>
      <c r="J60" s="690"/>
      <c r="K60" s="107"/>
    </row>
    <row r="61" spans="1:11" ht="13.5" thickBot="1" x14ac:dyDescent="0.35">
      <c r="A61" s="707" t="s">
        <v>253</v>
      </c>
      <c r="B61" s="708"/>
      <c r="C61" s="708"/>
      <c r="D61" s="708"/>
      <c r="E61" s="708"/>
      <c r="F61" s="708"/>
      <c r="G61" s="708"/>
      <c r="H61" s="708"/>
      <c r="I61" s="708"/>
      <c r="J61" s="709"/>
      <c r="K61" s="107"/>
    </row>
    <row r="62" spans="1:11" x14ac:dyDescent="0.3">
      <c r="A62" s="147">
        <f>A60+1</f>
        <v>49</v>
      </c>
      <c r="B62" s="106" t="s">
        <v>248</v>
      </c>
      <c r="C62" s="126" t="s">
        <v>222</v>
      </c>
      <c r="D62" s="710" t="s">
        <v>251</v>
      </c>
      <c r="E62" s="710"/>
      <c r="F62" s="710"/>
      <c r="G62" s="710" t="s">
        <v>247</v>
      </c>
      <c r="H62" s="710"/>
      <c r="I62" s="710"/>
      <c r="J62" s="711"/>
      <c r="K62" s="107"/>
    </row>
    <row r="63" spans="1:11" x14ac:dyDescent="0.3">
      <c r="A63" s="148">
        <f>A62+1</f>
        <v>50</v>
      </c>
      <c r="B63" s="129" t="s">
        <v>256</v>
      </c>
      <c r="C63" s="100" t="s">
        <v>63</v>
      </c>
      <c r="D63" s="431">
        <f>'AL Datasheet'!D77</f>
        <v>0</v>
      </c>
      <c r="E63" s="431"/>
      <c r="F63" s="431"/>
      <c r="G63" s="687" t="s">
        <v>343</v>
      </c>
      <c r="H63" s="687"/>
      <c r="I63" s="687"/>
      <c r="J63" s="688"/>
      <c r="K63" s="107"/>
    </row>
    <row r="64" spans="1:11" x14ac:dyDescent="0.3">
      <c r="A64" s="148">
        <f t="shared" ref="A64:A67" si="6">A63+1</f>
        <v>51</v>
      </c>
      <c r="B64" s="129" t="s">
        <v>257</v>
      </c>
      <c r="C64" s="100" t="s">
        <v>238</v>
      </c>
      <c r="D64" s="431" t="str">
        <f>'AL Datasheet'!D78</f>
        <v>Maximum</v>
      </c>
      <c r="E64" s="431"/>
      <c r="F64" s="431"/>
      <c r="G64" s="687"/>
      <c r="H64" s="687"/>
      <c r="I64" s="687"/>
      <c r="J64" s="688"/>
      <c r="K64" s="107"/>
    </row>
    <row r="65" spans="1:11" x14ac:dyDescent="0.3">
      <c r="A65" s="148">
        <f t="shared" si="6"/>
        <v>52</v>
      </c>
      <c r="B65" s="99" t="s">
        <v>258</v>
      </c>
      <c r="C65" s="100" t="s">
        <v>238</v>
      </c>
      <c r="D65" s="431">
        <f>'AL Datasheet'!D79</f>
        <v>120</v>
      </c>
      <c r="E65" s="431"/>
      <c r="F65" s="431"/>
      <c r="G65" s="687"/>
      <c r="H65" s="687"/>
      <c r="I65" s="687"/>
      <c r="J65" s="688"/>
      <c r="K65" s="107"/>
    </row>
    <row r="66" spans="1:11" x14ac:dyDescent="0.3">
      <c r="A66" s="148">
        <f t="shared" si="6"/>
        <v>53</v>
      </c>
      <c r="B66" s="99" t="s">
        <v>259</v>
      </c>
      <c r="C66" s="100"/>
      <c r="D66" s="593" t="s">
        <v>255</v>
      </c>
      <c r="E66" s="593"/>
      <c r="F66" s="593"/>
      <c r="G66" s="687"/>
      <c r="H66" s="687"/>
      <c r="I66" s="687"/>
      <c r="J66" s="688"/>
      <c r="K66" s="107"/>
    </row>
    <row r="67" spans="1:11" ht="13.5" thickBot="1" x14ac:dyDescent="0.35">
      <c r="A67" s="148">
        <f t="shared" si="6"/>
        <v>54</v>
      </c>
      <c r="B67" s="101" t="s">
        <v>260</v>
      </c>
      <c r="C67" s="130" t="s">
        <v>122</v>
      </c>
      <c r="D67" s="721" t="s">
        <v>335</v>
      </c>
      <c r="E67" s="721"/>
      <c r="F67" s="721"/>
      <c r="G67" s="689"/>
      <c r="H67" s="689"/>
      <c r="I67" s="689"/>
      <c r="J67" s="690"/>
      <c r="K67" s="107"/>
    </row>
    <row r="68" spans="1:11" ht="13.5" thickBot="1" x14ac:dyDescent="0.35">
      <c r="A68" s="707" t="s">
        <v>261</v>
      </c>
      <c r="B68" s="708"/>
      <c r="C68" s="708"/>
      <c r="D68" s="708"/>
      <c r="E68" s="708"/>
      <c r="F68" s="708"/>
      <c r="G68" s="708"/>
      <c r="H68" s="708"/>
      <c r="I68" s="708"/>
      <c r="J68" s="709"/>
      <c r="K68" s="107"/>
    </row>
    <row r="69" spans="1:11" ht="14.5" customHeight="1" x14ac:dyDescent="0.3">
      <c r="A69" s="147">
        <f>A67+1</f>
        <v>55</v>
      </c>
      <c r="B69" s="106" t="s">
        <v>248</v>
      </c>
      <c r="C69" s="126" t="s">
        <v>222</v>
      </c>
      <c r="D69" s="126" t="s">
        <v>262</v>
      </c>
      <c r="E69" s="126" t="s">
        <v>263</v>
      </c>
      <c r="F69" s="792" t="s">
        <v>247</v>
      </c>
      <c r="G69" s="793"/>
      <c r="H69" s="793"/>
      <c r="I69" s="793"/>
      <c r="J69" s="794"/>
      <c r="K69" s="107"/>
    </row>
    <row r="70" spans="1:11" ht="13" customHeight="1" x14ac:dyDescent="0.3">
      <c r="A70" s="151">
        <f>A69+1</f>
        <v>56</v>
      </c>
      <c r="B70" s="129" t="s">
        <v>344</v>
      </c>
      <c r="C70" s="144" t="s">
        <v>330</v>
      </c>
      <c r="D70" s="143"/>
      <c r="E70" s="143"/>
      <c r="F70" s="694" t="s">
        <v>371</v>
      </c>
      <c r="G70" s="695"/>
      <c r="H70" s="695"/>
      <c r="I70" s="695"/>
      <c r="J70" s="696"/>
      <c r="K70" s="107"/>
    </row>
    <row r="71" spans="1:11" ht="14.5" customHeight="1" x14ac:dyDescent="0.3">
      <c r="A71" s="151">
        <f t="shared" ref="A71:A80" si="7">A70+1</f>
        <v>57</v>
      </c>
      <c r="B71" s="129" t="s">
        <v>370</v>
      </c>
      <c r="C71" s="144" t="s">
        <v>330</v>
      </c>
      <c r="D71" s="143"/>
      <c r="E71" s="143"/>
      <c r="F71" s="697"/>
      <c r="G71" s="698"/>
      <c r="H71" s="698"/>
      <c r="I71" s="698"/>
      <c r="J71" s="699"/>
      <c r="K71" s="107"/>
    </row>
    <row r="72" spans="1:11" ht="13" customHeight="1" x14ac:dyDescent="0.3">
      <c r="A72" s="151">
        <f t="shared" si="7"/>
        <v>58</v>
      </c>
      <c r="B72" s="129" t="s">
        <v>369</v>
      </c>
      <c r="C72" s="144" t="s">
        <v>330</v>
      </c>
      <c r="D72" s="143"/>
      <c r="E72" s="143"/>
      <c r="F72" s="697"/>
      <c r="G72" s="698"/>
      <c r="H72" s="698"/>
      <c r="I72" s="698"/>
      <c r="J72" s="699"/>
      <c r="K72" s="107"/>
    </row>
    <row r="73" spans="1:11" ht="14.5" customHeight="1" x14ac:dyDescent="0.3">
      <c r="A73" s="151">
        <f t="shared" si="7"/>
        <v>59</v>
      </c>
      <c r="B73" s="129" t="s">
        <v>316</v>
      </c>
      <c r="C73" s="100" t="s">
        <v>238</v>
      </c>
      <c r="D73" s="100" t="s">
        <v>246</v>
      </c>
      <c r="E73" s="100" t="s">
        <v>246</v>
      </c>
      <c r="F73" s="697"/>
      <c r="G73" s="698"/>
      <c r="H73" s="698"/>
      <c r="I73" s="698"/>
      <c r="J73" s="699"/>
      <c r="K73" s="107"/>
    </row>
    <row r="74" spans="1:11" ht="14.5" customHeight="1" x14ac:dyDescent="0.3">
      <c r="A74" s="151">
        <f t="shared" si="7"/>
        <v>60</v>
      </c>
      <c r="B74" s="129" t="s">
        <v>328</v>
      </c>
      <c r="C74" s="100" t="s">
        <v>330</v>
      </c>
      <c r="D74" s="100"/>
      <c r="E74" s="113"/>
      <c r="F74" s="697"/>
      <c r="G74" s="698"/>
      <c r="H74" s="698"/>
      <c r="I74" s="698"/>
      <c r="J74" s="699"/>
      <c r="K74" s="107"/>
    </row>
    <row r="75" spans="1:11" ht="14.5" customHeight="1" x14ac:dyDescent="0.3">
      <c r="A75" s="151">
        <f t="shared" si="7"/>
        <v>61</v>
      </c>
      <c r="B75" s="129" t="s">
        <v>317</v>
      </c>
      <c r="C75" s="100" t="s">
        <v>238</v>
      </c>
      <c r="D75" s="100" t="s">
        <v>246</v>
      </c>
      <c r="E75" s="127">
        <v>90</v>
      </c>
      <c r="F75" s="697"/>
      <c r="G75" s="698"/>
      <c r="H75" s="698"/>
      <c r="I75" s="698"/>
      <c r="J75" s="699"/>
      <c r="K75" s="107"/>
    </row>
    <row r="76" spans="1:11" ht="14.5" customHeight="1" x14ac:dyDescent="0.3">
      <c r="A76" s="151">
        <f t="shared" si="7"/>
        <v>62</v>
      </c>
      <c r="B76" s="129" t="s">
        <v>378</v>
      </c>
      <c r="C76" s="100" t="s">
        <v>330</v>
      </c>
      <c r="D76" s="100"/>
      <c r="E76" s="113"/>
      <c r="F76" s="697"/>
      <c r="G76" s="698"/>
      <c r="H76" s="698"/>
      <c r="I76" s="698"/>
      <c r="J76" s="699"/>
      <c r="K76" s="107"/>
    </row>
    <row r="77" spans="1:11" ht="14.5" customHeight="1" x14ac:dyDescent="0.3">
      <c r="A77" s="151">
        <f t="shared" si="7"/>
        <v>63</v>
      </c>
      <c r="B77" s="129" t="s">
        <v>377</v>
      </c>
      <c r="C77" s="100" t="s">
        <v>330</v>
      </c>
      <c r="D77" s="100"/>
      <c r="E77" s="113"/>
      <c r="F77" s="697"/>
      <c r="G77" s="698"/>
      <c r="H77" s="698"/>
      <c r="I77" s="698"/>
      <c r="J77" s="699"/>
      <c r="K77" s="107"/>
    </row>
    <row r="78" spans="1:11" ht="14.5" customHeight="1" x14ac:dyDescent="0.3">
      <c r="A78" s="151">
        <f t="shared" si="7"/>
        <v>64</v>
      </c>
      <c r="B78" s="99" t="s">
        <v>252</v>
      </c>
      <c r="C78" s="100" t="s">
        <v>330</v>
      </c>
      <c r="D78" s="100"/>
      <c r="E78" s="113"/>
      <c r="F78" s="697"/>
      <c r="G78" s="698"/>
      <c r="H78" s="698"/>
      <c r="I78" s="698"/>
      <c r="J78" s="699"/>
      <c r="K78" s="107"/>
    </row>
    <row r="79" spans="1:11" ht="14.5" customHeight="1" x14ac:dyDescent="0.3">
      <c r="A79" s="151">
        <f t="shared" si="7"/>
        <v>65</v>
      </c>
      <c r="B79" s="99" t="s">
        <v>321</v>
      </c>
      <c r="C79" s="100" t="s">
        <v>330</v>
      </c>
      <c r="D79" s="100"/>
      <c r="E79" s="113"/>
      <c r="F79" s="697"/>
      <c r="G79" s="698"/>
      <c r="H79" s="698"/>
      <c r="I79" s="698"/>
      <c r="J79" s="699"/>
      <c r="K79" s="107"/>
    </row>
    <row r="80" spans="1:11" ht="15" customHeight="1" thickBot="1" x14ac:dyDescent="0.35">
      <c r="A80" s="151">
        <f t="shared" si="7"/>
        <v>66</v>
      </c>
      <c r="B80" s="101" t="s">
        <v>264</v>
      </c>
      <c r="C80" s="158" t="s">
        <v>330</v>
      </c>
      <c r="D80" s="130"/>
      <c r="E80" s="114"/>
      <c r="F80" s="700"/>
      <c r="G80" s="701"/>
      <c r="H80" s="701"/>
      <c r="I80" s="701"/>
      <c r="J80" s="702"/>
      <c r="K80" s="107"/>
    </row>
    <row r="81" spans="1:11" ht="13.5" thickBot="1" x14ac:dyDescent="0.35">
      <c r="A81" s="707" t="s">
        <v>265</v>
      </c>
      <c r="B81" s="708"/>
      <c r="C81" s="708"/>
      <c r="D81" s="708"/>
      <c r="E81" s="708"/>
      <c r="F81" s="708"/>
      <c r="G81" s="708"/>
      <c r="H81" s="708"/>
      <c r="I81" s="708"/>
      <c r="J81" s="709"/>
      <c r="K81" s="107"/>
    </row>
    <row r="82" spans="1:11" x14ac:dyDescent="0.3">
      <c r="A82" s="722" t="s">
        <v>345</v>
      </c>
      <c r="B82" s="723"/>
      <c r="C82" s="723"/>
      <c r="D82" s="723"/>
      <c r="E82" s="723"/>
      <c r="F82" s="723"/>
      <c r="G82" s="723"/>
      <c r="H82" s="723"/>
      <c r="I82" s="723"/>
      <c r="J82" s="724"/>
      <c r="K82" s="107"/>
    </row>
    <row r="83" spans="1:11" x14ac:dyDescent="0.3">
      <c r="A83" s="691" t="s">
        <v>372</v>
      </c>
      <c r="B83" s="692"/>
      <c r="C83" s="692"/>
      <c r="D83" s="692"/>
      <c r="E83" s="692"/>
      <c r="F83" s="692"/>
      <c r="G83" s="692"/>
      <c r="H83" s="692"/>
      <c r="I83" s="692"/>
      <c r="J83" s="693"/>
      <c r="K83" s="107"/>
    </row>
    <row r="84" spans="1:11" x14ac:dyDescent="0.3">
      <c r="A84" s="691" t="s">
        <v>373</v>
      </c>
      <c r="B84" s="692"/>
      <c r="C84" s="692"/>
      <c r="D84" s="692"/>
      <c r="E84" s="692"/>
      <c r="F84" s="692"/>
      <c r="G84" s="692"/>
      <c r="H84" s="692"/>
      <c r="I84" s="692"/>
      <c r="J84" s="693"/>
      <c r="K84" s="107"/>
    </row>
    <row r="85" spans="1:11" x14ac:dyDescent="0.3">
      <c r="A85" s="691" t="s">
        <v>348</v>
      </c>
      <c r="B85" s="692"/>
      <c r="C85" s="692"/>
      <c r="D85" s="692"/>
      <c r="E85" s="692"/>
      <c r="F85" s="692"/>
      <c r="G85" s="692"/>
      <c r="H85" s="692"/>
      <c r="I85" s="692"/>
      <c r="J85" s="693"/>
      <c r="K85" s="107"/>
    </row>
    <row r="86" spans="1:11" x14ac:dyDescent="0.3">
      <c r="A86" s="691" t="s">
        <v>268</v>
      </c>
      <c r="B86" s="692"/>
      <c r="C86" s="692"/>
      <c r="D86" s="692"/>
      <c r="E86" s="692"/>
      <c r="F86" s="692"/>
      <c r="G86" s="692"/>
      <c r="H86" s="692"/>
      <c r="I86" s="692"/>
      <c r="J86" s="693"/>
      <c r="K86" s="107"/>
    </row>
    <row r="87" spans="1:11" x14ac:dyDescent="0.3">
      <c r="A87" s="691" t="s">
        <v>329</v>
      </c>
      <c r="B87" s="692"/>
      <c r="C87" s="692"/>
      <c r="D87" s="692"/>
      <c r="E87" s="692"/>
      <c r="F87" s="692"/>
      <c r="G87" s="692"/>
      <c r="H87" s="692"/>
      <c r="I87" s="692"/>
      <c r="J87" s="693"/>
      <c r="K87" s="107"/>
    </row>
    <row r="88" spans="1:11" x14ac:dyDescent="0.3">
      <c r="A88" s="691" t="s">
        <v>331</v>
      </c>
      <c r="B88" s="692"/>
      <c r="C88" s="692"/>
      <c r="D88" s="692"/>
      <c r="E88" s="692"/>
      <c r="F88" s="692"/>
      <c r="G88" s="692"/>
      <c r="H88" s="692"/>
      <c r="I88" s="692"/>
      <c r="J88" s="693"/>
      <c r="K88" s="107"/>
    </row>
    <row r="89" spans="1:11" x14ac:dyDescent="0.3">
      <c r="A89" s="691"/>
      <c r="B89" s="692"/>
      <c r="C89" s="692"/>
      <c r="D89" s="692"/>
      <c r="E89" s="692"/>
      <c r="F89" s="692"/>
      <c r="G89" s="692"/>
      <c r="H89" s="692"/>
      <c r="I89" s="692"/>
      <c r="J89" s="693"/>
      <c r="K89" s="107"/>
    </row>
    <row r="90" spans="1:11" x14ac:dyDescent="0.3">
      <c r="A90" s="718"/>
      <c r="B90" s="719"/>
      <c r="C90" s="719"/>
      <c r="D90" s="719"/>
      <c r="E90" s="719"/>
      <c r="F90" s="719"/>
      <c r="G90" s="719"/>
      <c r="H90" s="719"/>
      <c r="I90" s="719"/>
      <c r="J90" s="720"/>
      <c r="K90" s="107"/>
    </row>
    <row r="91" spans="1:11" ht="15" customHeight="1" x14ac:dyDescent="0.3">
      <c r="A91" s="718"/>
      <c r="B91" s="719"/>
      <c r="C91" s="719"/>
      <c r="D91" s="719"/>
      <c r="E91" s="719"/>
      <c r="F91" s="719"/>
      <c r="G91" s="719"/>
      <c r="H91" s="719"/>
      <c r="I91" s="719"/>
      <c r="J91" s="720"/>
      <c r="K91" s="107"/>
    </row>
    <row r="92" spans="1:11" ht="15" customHeight="1" thickBot="1" x14ac:dyDescent="0.35">
      <c r="A92" s="712"/>
      <c r="B92" s="713"/>
      <c r="C92" s="713"/>
      <c r="D92" s="713"/>
      <c r="E92" s="713"/>
      <c r="F92" s="713"/>
      <c r="G92" s="713"/>
      <c r="H92" s="713"/>
      <c r="I92" s="713"/>
      <c r="J92" s="714"/>
      <c r="K92" s="115"/>
    </row>
    <row r="93" spans="1:11" ht="15" customHeight="1" thickBot="1" x14ac:dyDescent="0.35">
      <c r="A93" s="715" t="s">
        <v>269</v>
      </c>
      <c r="B93" s="716"/>
      <c r="C93" s="716"/>
      <c r="D93" s="716"/>
      <c r="E93" s="716"/>
      <c r="F93" s="716"/>
      <c r="G93" s="716"/>
      <c r="H93" s="716"/>
      <c r="I93" s="716"/>
      <c r="J93" s="716"/>
      <c r="K93" s="717"/>
    </row>
    <row r="94" spans="1:11" ht="14.5" customHeight="1" x14ac:dyDescent="0.3"/>
  </sheetData>
  <mergeCells count="75">
    <mergeCell ref="C12:J12"/>
    <mergeCell ref="A1:K1"/>
    <mergeCell ref="A2:B5"/>
    <mergeCell ref="D2:G2"/>
    <mergeCell ref="H2:K2"/>
    <mergeCell ref="D3:G3"/>
    <mergeCell ref="H3:K3"/>
    <mergeCell ref="D4:G4"/>
    <mergeCell ref="D5:G5"/>
    <mergeCell ref="A6:K6"/>
    <mergeCell ref="A7:J7"/>
    <mergeCell ref="C8:J8"/>
    <mergeCell ref="C9:J9"/>
    <mergeCell ref="C10:J10"/>
    <mergeCell ref="A14:J14"/>
    <mergeCell ref="G15:J15"/>
    <mergeCell ref="G16:J27"/>
    <mergeCell ref="B20:F20"/>
    <mergeCell ref="D21:F21"/>
    <mergeCell ref="D22:F22"/>
    <mergeCell ref="D23:F23"/>
    <mergeCell ref="D24:F24"/>
    <mergeCell ref="D25:F25"/>
    <mergeCell ref="D26:F26"/>
    <mergeCell ref="A47:J47"/>
    <mergeCell ref="D27:F27"/>
    <mergeCell ref="A28:J28"/>
    <mergeCell ref="G29:J29"/>
    <mergeCell ref="D36:F36"/>
    <mergeCell ref="A41:J41"/>
    <mergeCell ref="G42:J42"/>
    <mergeCell ref="D43:F43"/>
    <mergeCell ref="G43:J46"/>
    <mergeCell ref="D45:F45"/>
    <mergeCell ref="D38:F38"/>
    <mergeCell ref="D39:F39"/>
    <mergeCell ref="D55:F55"/>
    <mergeCell ref="G55:J55"/>
    <mergeCell ref="D56:F56"/>
    <mergeCell ref="G56:J60"/>
    <mergeCell ref="D57:F57"/>
    <mergeCell ref="D58:F58"/>
    <mergeCell ref="D59:F59"/>
    <mergeCell ref="A93:K93"/>
    <mergeCell ref="D11:F11"/>
    <mergeCell ref="H11:J11"/>
    <mergeCell ref="G30:J40"/>
    <mergeCell ref="A84:J84"/>
    <mergeCell ref="A85:J85"/>
    <mergeCell ref="A86:J86"/>
    <mergeCell ref="A87:J87"/>
    <mergeCell ref="A88:J88"/>
    <mergeCell ref="A89:J89"/>
    <mergeCell ref="A68:J68"/>
    <mergeCell ref="F69:J69"/>
    <mergeCell ref="F70:J80"/>
    <mergeCell ref="A81:J81"/>
    <mergeCell ref="A82:J82"/>
    <mergeCell ref="A83:J83"/>
    <mergeCell ref="G48:J48"/>
    <mergeCell ref="A90:J90"/>
    <mergeCell ref="A91:J91"/>
    <mergeCell ref="A92:J92"/>
    <mergeCell ref="D60:F60"/>
    <mergeCell ref="A61:J61"/>
    <mergeCell ref="D62:F62"/>
    <mergeCell ref="G62:J62"/>
    <mergeCell ref="D63:F63"/>
    <mergeCell ref="G63:J67"/>
    <mergeCell ref="D64:F64"/>
    <mergeCell ref="D65:F65"/>
    <mergeCell ref="D66:F66"/>
    <mergeCell ref="D67:F67"/>
    <mergeCell ref="G49:J53"/>
    <mergeCell ref="A54:J54"/>
  </mergeCells>
  <pageMargins left="0.7" right="0.7" top="0.75" bottom="0.75" header="0.3" footer="0.3"/>
  <pageSetup paperSize="8" scale="80"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3</xdr:col>
                    <xdr:colOff>260350</xdr:colOff>
                    <xdr:row>68</xdr:row>
                    <xdr:rowOff>146050</xdr:rowOff>
                  </from>
                  <to>
                    <xdr:col>3</xdr:col>
                    <xdr:colOff>679450</xdr:colOff>
                    <xdr:row>70</xdr:row>
                    <xdr:rowOff>38100</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3</xdr:col>
                    <xdr:colOff>260350</xdr:colOff>
                    <xdr:row>76</xdr:row>
                    <xdr:rowOff>146050</xdr:rowOff>
                  </from>
                  <to>
                    <xdr:col>3</xdr:col>
                    <xdr:colOff>679450</xdr:colOff>
                    <xdr:row>77</xdr:row>
                    <xdr:rowOff>184150</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3</xdr:col>
                    <xdr:colOff>266700</xdr:colOff>
                    <xdr:row>77</xdr:row>
                    <xdr:rowOff>152400</xdr:rowOff>
                  </from>
                  <to>
                    <xdr:col>3</xdr:col>
                    <xdr:colOff>679450</xdr:colOff>
                    <xdr:row>79</xdr:row>
                    <xdr:rowOff>12700</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4</xdr:col>
                    <xdr:colOff>241300</xdr:colOff>
                    <xdr:row>68</xdr:row>
                    <xdr:rowOff>146050</xdr:rowOff>
                  </from>
                  <to>
                    <xdr:col>4</xdr:col>
                    <xdr:colOff>647700</xdr:colOff>
                    <xdr:row>70</xdr:row>
                    <xdr:rowOff>12700</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4</xdr:col>
                    <xdr:colOff>241300</xdr:colOff>
                    <xdr:row>76</xdr:row>
                    <xdr:rowOff>165100</xdr:rowOff>
                  </from>
                  <to>
                    <xdr:col>4</xdr:col>
                    <xdr:colOff>647700</xdr:colOff>
                    <xdr:row>78</xdr:row>
                    <xdr:rowOff>31750</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4</xdr:col>
                    <xdr:colOff>228600</xdr:colOff>
                    <xdr:row>77</xdr:row>
                    <xdr:rowOff>152400</xdr:rowOff>
                  </from>
                  <to>
                    <xdr:col>4</xdr:col>
                    <xdr:colOff>647700</xdr:colOff>
                    <xdr:row>79</xdr:row>
                    <xdr:rowOff>12700</xdr:rowOff>
                  </to>
                </anchor>
              </controlPr>
            </control>
          </mc:Choice>
        </mc:AlternateContent>
        <mc:AlternateContent xmlns:mc="http://schemas.openxmlformats.org/markup-compatibility/2006">
          <mc:Choice Requires="x14">
            <control shapeId="14344" r:id="rId10" name="Check Box 8">
              <controlPr defaultSize="0" autoFill="0" autoLine="0" autoPict="0">
                <anchor moveWithCells="1">
                  <from>
                    <xdr:col>4</xdr:col>
                    <xdr:colOff>241300</xdr:colOff>
                    <xdr:row>78</xdr:row>
                    <xdr:rowOff>165100</xdr:rowOff>
                  </from>
                  <to>
                    <xdr:col>4</xdr:col>
                    <xdr:colOff>647700</xdr:colOff>
                    <xdr:row>80</xdr:row>
                    <xdr:rowOff>12700</xdr:rowOff>
                  </to>
                </anchor>
              </controlPr>
            </control>
          </mc:Choice>
        </mc:AlternateContent>
        <mc:AlternateContent xmlns:mc="http://schemas.openxmlformats.org/markup-compatibility/2006">
          <mc:Choice Requires="x14">
            <control shapeId="14345" r:id="rId11" name="Check Box 9">
              <controlPr defaultSize="0" autoFill="0" autoLine="0" autoPict="0">
                <anchor moveWithCells="1">
                  <from>
                    <xdr:col>3</xdr:col>
                    <xdr:colOff>260350</xdr:colOff>
                    <xdr:row>72</xdr:row>
                    <xdr:rowOff>152400</xdr:rowOff>
                  </from>
                  <to>
                    <xdr:col>3</xdr:col>
                    <xdr:colOff>679450</xdr:colOff>
                    <xdr:row>74</xdr:row>
                    <xdr:rowOff>0</xdr:rowOff>
                  </to>
                </anchor>
              </controlPr>
            </control>
          </mc:Choice>
        </mc:AlternateContent>
        <mc:AlternateContent xmlns:mc="http://schemas.openxmlformats.org/markup-compatibility/2006">
          <mc:Choice Requires="x14">
            <control shapeId="14346" r:id="rId12" name="Check Box 10">
              <controlPr defaultSize="0" autoFill="0" autoLine="0" autoPict="0">
                <anchor moveWithCells="1">
                  <from>
                    <xdr:col>4</xdr:col>
                    <xdr:colOff>241300</xdr:colOff>
                    <xdr:row>72</xdr:row>
                    <xdr:rowOff>165100</xdr:rowOff>
                  </from>
                  <to>
                    <xdr:col>4</xdr:col>
                    <xdr:colOff>660400</xdr:colOff>
                    <xdr:row>74</xdr:row>
                    <xdr:rowOff>12700</xdr:rowOff>
                  </to>
                </anchor>
              </controlPr>
            </control>
          </mc:Choice>
        </mc:AlternateContent>
        <mc:AlternateContent xmlns:mc="http://schemas.openxmlformats.org/markup-compatibility/2006">
          <mc:Choice Requires="x14">
            <control shapeId="14347" r:id="rId13" name="Check Box 11">
              <controlPr defaultSize="0" autoFill="0" autoLine="0" autoPict="0">
                <anchor moveWithCells="1">
                  <from>
                    <xdr:col>3</xdr:col>
                    <xdr:colOff>260350</xdr:colOff>
                    <xdr:row>74</xdr:row>
                    <xdr:rowOff>152400</xdr:rowOff>
                  </from>
                  <to>
                    <xdr:col>3</xdr:col>
                    <xdr:colOff>679450</xdr:colOff>
                    <xdr:row>76</xdr:row>
                    <xdr:rowOff>0</xdr:rowOff>
                  </to>
                </anchor>
              </controlPr>
            </control>
          </mc:Choice>
        </mc:AlternateContent>
        <mc:AlternateContent xmlns:mc="http://schemas.openxmlformats.org/markup-compatibility/2006">
          <mc:Choice Requires="x14">
            <control shapeId="14348" r:id="rId14" name="Check Box 12">
              <controlPr defaultSize="0" autoFill="0" autoLine="0" autoPict="0">
                <anchor moveWithCells="1">
                  <from>
                    <xdr:col>4</xdr:col>
                    <xdr:colOff>241300</xdr:colOff>
                    <xdr:row>74</xdr:row>
                    <xdr:rowOff>146050</xdr:rowOff>
                  </from>
                  <to>
                    <xdr:col>4</xdr:col>
                    <xdr:colOff>660400</xdr:colOff>
                    <xdr:row>75</xdr:row>
                    <xdr:rowOff>184150</xdr:rowOff>
                  </to>
                </anchor>
              </controlPr>
            </control>
          </mc:Choice>
        </mc:AlternateContent>
        <mc:AlternateContent xmlns:mc="http://schemas.openxmlformats.org/markup-compatibility/2006">
          <mc:Choice Requires="x14">
            <control shapeId="14349" r:id="rId15" name="Check Box 13">
              <controlPr defaultSize="0" autoFill="0" autoLine="0" autoPict="0">
                <anchor moveWithCells="1">
                  <from>
                    <xdr:col>3</xdr:col>
                    <xdr:colOff>260350</xdr:colOff>
                    <xdr:row>70</xdr:row>
                    <xdr:rowOff>146050</xdr:rowOff>
                  </from>
                  <to>
                    <xdr:col>3</xdr:col>
                    <xdr:colOff>679450</xdr:colOff>
                    <xdr:row>72</xdr:row>
                    <xdr:rowOff>12700</xdr:rowOff>
                  </to>
                </anchor>
              </controlPr>
            </control>
          </mc:Choice>
        </mc:AlternateContent>
        <mc:AlternateContent xmlns:mc="http://schemas.openxmlformats.org/markup-compatibility/2006">
          <mc:Choice Requires="x14">
            <control shapeId="14350" r:id="rId16" name="Check Box 14">
              <controlPr defaultSize="0" autoFill="0" autoLine="0" autoPict="0">
                <anchor moveWithCells="1">
                  <from>
                    <xdr:col>4</xdr:col>
                    <xdr:colOff>241300</xdr:colOff>
                    <xdr:row>70</xdr:row>
                    <xdr:rowOff>146050</xdr:rowOff>
                  </from>
                  <to>
                    <xdr:col>4</xdr:col>
                    <xdr:colOff>647700</xdr:colOff>
                    <xdr:row>72</xdr:row>
                    <xdr:rowOff>12700</xdr:rowOff>
                  </to>
                </anchor>
              </controlPr>
            </control>
          </mc:Choice>
        </mc:AlternateContent>
        <mc:AlternateContent xmlns:mc="http://schemas.openxmlformats.org/markup-compatibility/2006">
          <mc:Choice Requires="x14">
            <control shapeId="14351" r:id="rId17" name="Check Box 15">
              <controlPr defaultSize="0" autoFill="0" autoLine="0" autoPict="0">
                <anchor moveWithCells="1">
                  <from>
                    <xdr:col>3</xdr:col>
                    <xdr:colOff>260350</xdr:colOff>
                    <xdr:row>69</xdr:row>
                    <xdr:rowOff>146050</xdr:rowOff>
                  </from>
                  <to>
                    <xdr:col>3</xdr:col>
                    <xdr:colOff>679450</xdr:colOff>
                    <xdr:row>71</xdr:row>
                    <xdr:rowOff>12700</xdr:rowOff>
                  </to>
                </anchor>
              </controlPr>
            </control>
          </mc:Choice>
        </mc:AlternateContent>
        <mc:AlternateContent xmlns:mc="http://schemas.openxmlformats.org/markup-compatibility/2006">
          <mc:Choice Requires="x14">
            <control shapeId="14352" r:id="rId18" name="Check Box 16">
              <controlPr defaultSize="0" autoFill="0" autoLine="0" autoPict="0">
                <anchor moveWithCells="1">
                  <from>
                    <xdr:col>4</xdr:col>
                    <xdr:colOff>241300</xdr:colOff>
                    <xdr:row>69</xdr:row>
                    <xdr:rowOff>146050</xdr:rowOff>
                  </from>
                  <to>
                    <xdr:col>4</xdr:col>
                    <xdr:colOff>647700</xdr:colOff>
                    <xdr:row>71</xdr:row>
                    <xdr:rowOff>12700</xdr:rowOff>
                  </to>
                </anchor>
              </controlPr>
            </control>
          </mc:Choice>
        </mc:AlternateContent>
        <mc:AlternateContent xmlns:mc="http://schemas.openxmlformats.org/markup-compatibility/2006">
          <mc:Choice Requires="x14">
            <control shapeId="14353" r:id="rId19" name="Check Box 17">
              <controlPr defaultSize="0" autoFill="0" autoLine="0" autoPict="0">
                <anchor moveWithCells="1">
                  <from>
                    <xdr:col>2</xdr:col>
                    <xdr:colOff>222250</xdr:colOff>
                    <xdr:row>9</xdr:row>
                    <xdr:rowOff>184150</xdr:rowOff>
                  </from>
                  <to>
                    <xdr:col>2</xdr:col>
                    <xdr:colOff>622300</xdr:colOff>
                    <xdr:row>11</xdr:row>
                    <xdr:rowOff>31750</xdr:rowOff>
                  </to>
                </anchor>
              </controlPr>
            </control>
          </mc:Choice>
        </mc:AlternateContent>
        <mc:AlternateContent xmlns:mc="http://schemas.openxmlformats.org/markup-compatibility/2006">
          <mc:Choice Requires="x14">
            <control shapeId="14355" r:id="rId20" name="Check Box 19">
              <controlPr defaultSize="0" autoFill="0" autoLine="0" autoPict="0">
                <anchor moveWithCells="1">
                  <from>
                    <xdr:col>2</xdr:col>
                    <xdr:colOff>222250</xdr:colOff>
                    <xdr:row>9</xdr:row>
                    <xdr:rowOff>184150</xdr:rowOff>
                  </from>
                  <to>
                    <xdr:col>2</xdr:col>
                    <xdr:colOff>622300</xdr:colOff>
                    <xdr:row>11</xdr:row>
                    <xdr:rowOff>31750</xdr:rowOff>
                  </to>
                </anchor>
              </controlPr>
            </control>
          </mc:Choice>
        </mc:AlternateContent>
        <mc:AlternateContent xmlns:mc="http://schemas.openxmlformats.org/markup-compatibility/2006">
          <mc:Choice Requires="x14">
            <control shapeId="14356" r:id="rId21" name="Check Box 20">
              <controlPr defaultSize="0" autoFill="0" autoLine="0" autoPict="0">
                <anchor moveWithCells="1">
                  <from>
                    <xdr:col>6</xdr:col>
                    <xdr:colOff>222250</xdr:colOff>
                    <xdr:row>9</xdr:row>
                    <xdr:rowOff>184150</xdr:rowOff>
                  </from>
                  <to>
                    <xdr:col>6</xdr:col>
                    <xdr:colOff>622300</xdr:colOff>
                    <xdr:row>11</xdr:row>
                    <xdr:rowOff>31750</xdr:rowOff>
                  </to>
                </anchor>
              </controlPr>
            </control>
          </mc:Choice>
        </mc:AlternateContent>
        <mc:AlternateContent xmlns:mc="http://schemas.openxmlformats.org/markup-compatibility/2006">
          <mc:Choice Requires="x14">
            <control shapeId="14357" r:id="rId22" name="Check Box 21">
              <controlPr defaultSize="0" autoFill="0" autoLine="0" autoPict="0">
                <anchor moveWithCells="1">
                  <from>
                    <xdr:col>3</xdr:col>
                    <xdr:colOff>260350</xdr:colOff>
                    <xdr:row>75</xdr:row>
                    <xdr:rowOff>152400</xdr:rowOff>
                  </from>
                  <to>
                    <xdr:col>3</xdr:col>
                    <xdr:colOff>679450</xdr:colOff>
                    <xdr:row>77</xdr:row>
                    <xdr:rowOff>0</xdr:rowOff>
                  </to>
                </anchor>
              </controlPr>
            </control>
          </mc:Choice>
        </mc:AlternateContent>
        <mc:AlternateContent xmlns:mc="http://schemas.openxmlformats.org/markup-compatibility/2006">
          <mc:Choice Requires="x14">
            <control shapeId="14358" r:id="rId23" name="Check Box 22">
              <controlPr defaultSize="0" autoFill="0" autoLine="0" autoPict="0">
                <anchor moveWithCells="1">
                  <from>
                    <xdr:col>4</xdr:col>
                    <xdr:colOff>241300</xdr:colOff>
                    <xdr:row>75</xdr:row>
                    <xdr:rowOff>165100</xdr:rowOff>
                  </from>
                  <to>
                    <xdr:col>4</xdr:col>
                    <xdr:colOff>660400</xdr:colOff>
                    <xdr:row>77</xdr:row>
                    <xdr:rowOff>31750</xdr:rowOff>
                  </to>
                </anchor>
              </controlPr>
            </control>
          </mc:Choice>
        </mc:AlternateContent>
        <mc:AlternateContent xmlns:mc="http://schemas.openxmlformats.org/markup-compatibility/2006">
          <mc:Choice Requires="x14">
            <control shapeId="14359" r:id="rId24" name="Check Box 23">
              <controlPr defaultSize="0" autoFill="0" autoLine="0" autoPict="0">
                <anchor moveWithCells="1">
                  <from>
                    <xdr:col>3</xdr:col>
                    <xdr:colOff>260350</xdr:colOff>
                    <xdr:row>78</xdr:row>
                    <xdr:rowOff>165100</xdr:rowOff>
                  </from>
                  <to>
                    <xdr:col>3</xdr:col>
                    <xdr:colOff>679450</xdr:colOff>
                    <xdr:row>80</xdr:row>
                    <xdr:rowOff>12700</xdr:rowOff>
                  </to>
                </anchor>
              </controlPr>
            </control>
          </mc:Choice>
        </mc:AlternateContent>
        <mc:AlternateContent xmlns:mc="http://schemas.openxmlformats.org/markup-compatibility/2006">
          <mc:Choice Requires="x14">
            <control shapeId="14360" r:id="rId25" name="Check Box 24">
              <controlPr defaultSize="0" autoFill="0" autoLine="0" autoPict="0">
                <anchor moveWithCells="1">
                  <from>
                    <xdr:col>2</xdr:col>
                    <xdr:colOff>12700</xdr:colOff>
                    <xdr:row>11</xdr:row>
                    <xdr:rowOff>165100</xdr:rowOff>
                  </from>
                  <to>
                    <xdr:col>2</xdr:col>
                    <xdr:colOff>431800</xdr:colOff>
                    <xdr:row>13</xdr:row>
                    <xdr:rowOff>12700</xdr:rowOff>
                  </to>
                </anchor>
              </controlPr>
            </control>
          </mc:Choice>
        </mc:AlternateContent>
        <mc:AlternateContent xmlns:mc="http://schemas.openxmlformats.org/markup-compatibility/2006">
          <mc:Choice Requires="x14">
            <control shapeId="14361" r:id="rId26" name="Check Box 25">
              <controlPr defaultSize="0" autoFill="0" autoLine="0" autoPict="0">
                <anchor moveWithCells="1">
                  <from>
                    <xdr:col>6</xdr:col>
                    <xdr:colOff>755650</xdr:colOff>
                    <xdr:row>11</xdr:row>
                    <xdr:rowOff>184150</xdr:rowOff>
                  </from>
                  <to>
                    <xdr:col>7</xdr:col>
                    <xdr:colOff>412750</xdr:colOff>
                    <xdr:row>13</xdr:row>
                    <xdr:rowOff>38100</xdr:rowOff>
                  </to>
                </anchor>
              </controlPr>
            </control>
          </mc:Choice>
        </mc:AlternateContent>
        <mc:AlternateContent xmlns:mc="http://schemas.openxmlformats.org/markup-compatibility/2006">
          <mc:Choice Requires="x14">
            <control shapeId="14362" r:id="rId27" name="Check Box 26">
              <controlPr defaultSize="0" autoFill="0" autoLine="0" autoPict="0">
                <anchor moveWithCells="1">
                  <from>
                    <xdr:col>4</xdr:col>
                    <xdr:colOff>431800</xdr:colOff>
                    <xdr:row>11</xdr:row>
                    <xdr:rowOff>165100</xdr:rowOff>
                  </from>
                  <to>
                    <xdr:col>5</xdr:col>
                    <xdr:colOff>184150</xdr:colOff>
                    <xdr:row>13</xdr:row>
                    <xdr:rowOff>31750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E0A2-CB42-40EF-87D5-0A861F92D3F2}">
  <sheetPr>
    <pageSetUpPr fitToPage="1"/>
  </sheetPr>
  <dimension ref="A1:Q96"/>
  <sheetViews>
    <sheetView zoomScale="70" zoomScaleNormal="70" workbookViewId="0">
      <selection activeCell="O35" sqref="O35"/>
    </sheetView>
  </sheetViews>
  <sheetFormatPr defaultColWidth="8.54296875" defaultRowHeight="13" x14ac:dyDescent="0.3"/>
  <cols>
    <col min="1" max="1" width="3.453125" style="152" customWidth="1"/>
    <col min="2" max="2" width="33.453125" style="104" bestFit="1" customWidth="1"/>
    <col min="3" max="3" width="10.1796875" style="104" customWidth="1"/>
    <col min="4" max="4" width="9.81640625" style="104" bestFit="1" customWidth="1"/>
    <col min="5" max="5" width="9.54296875" style="104" bestFit="1" customWidth="1"/>
    <col min="6" max="6" width="9.1796875" style="104" customWidth="1"/>
    <col min="7" max="7" width="10.54296875" style="104" customWidth="1"/>
    <col min="8" max="8" width="8.1796875" style="104" customWidth="1"/>
    <col min="9" max="9" width="9" style="104" customWidth="1"/>
    <col min="10" max="10" width="7.453125" style="104" customWidth="1"/>
    <col min="11" max="11" width="5" style="245" customWidth="1"/>
    <col min="12" max="12" width="8.54296875" style="104"/>
    <col min="13" max="13" width="19.453125" style="104" bestFit="1" customWidth="1"/>
    <col min="14" max="14" width="8.54296875" style="104"/>
    <col min="15" max="16" width="31" style="104" bestFit="1" customWidth="1"/>
    <col min="17" max="17" width="47" style="104" bestFit="1" customWidth="1"/>
    <col min="18" max="16384" width="8.54296875" style="104"/>
  </cols>
  <sheetData>
    <row r="1" spans="1:17" ht="13.5" thickBot="1" x14ac:dyDescent="0.35">
      <c r="A1" s="707" t="s">
        <v>224</v>
      </c>
      <c r="B1" s="708"/>
      <c r="C1" s="708"/>
      <c r="D1" s="708"/>
      <c r="E1" s="708"/>
      <c r="F1" s="708"/>
      <c r="G1" s="708"/>
      <c r="H1" s="708"/>
      <c r="I1" s="708"/>
      <c r="J1" s="708"/>
      <c r="K1" s="709"/>
    </row>
    <row r="2" spans="1:17" ht="14.5" customHeight="1" x14ac:dyDescent="0.3">
      <c r="A2" s="731"/>
      <c r="B2" s="732"/>
      <c r="C2" s="225" t="s">
        <v>219</v>
      </c>
      <c r="D2" s="737" t="s">
        <v>524</v>
      </c>
      <c r="E2" s="737"/>
      <c r="F2" s="737"/>
      <c r="G2" s="737"/>
      <c r="H2" s="738" t="s">
        <v>560</v>
      </c>
      <c r="I2" s="738"/>
      <c r="J2" s="738"/>
      <c r="K2" s="739"/>
    </row>
    <row r="3" spans="1:17" ht="14.5" customHeight="1" x14ac:dyDescent="0.3">
      <c r="A3" s="733"/>
      <c r="B3" s="734"/>
      <c r="C3" s="218" t="s">
        <v>210</v>
      </c>
      <c r="D3" s="602" t="s">
        <v>332</v>
      </c>
      <c r="E3" s="602"/>
      <c r="F3" s="602"/>
      <c r="G3" s="602"/>
      <c r="H3" s="593" t="s">
        <v>379</v>
      </c>
      <c r="I3" s="593"/>
      <c r="J3" s="593"/>
      <c r="K3" s="740"/>
    </row>
    <row r="4" spans="1:17" ht="14.5" customHeight="1" x14ac:dyDescent="0.3">
      <c r="A4" s="733"/>
      <c r="B4" s="734"/>
      <c r="C4" s="218" t="s">
        <v>212</v>
      </c>
      <c r="D4" s="602" t="s">
        <v>525</v>
      </c>
      <c r="E4" s="602"/>
      <c r="F4" s="602"/>
      <c r="G4" s="602"/>
      <c r="H4" s="105" t="s">
        <v>231</v>
      </c>
      <c r="I4" s="105" t="s">
        <v>229</v>
      </c>
      <c r="J4" s="105" t="s">
        <v>230</v>
      </c>
      <c r="K4" s="111" t="s">
        <v>235</v>
      </c>
    </row>
    <row r="5" spans="1:17" ht="15" customHeight="1" thickBot="1" x14ac:dyDescent="0.35">
      <c r="A5" s="735"/>
      <c r="B5" s="736"/>
      <c r="C5" s="226" t="s">
        <v>526</v>
      </c>
      <c r="D5" s="741" t="s">
        <v>228</v>
      </c>
      <c r="E5" s="741"/>
      <c r="F5" s="741"/>
      <c r="G5" s="741"/>
      <c r="H5" s="102" t="s">
        <v>232</v>
      </c>
      <c r="I5" s="102" t="s">
        <v>234</v>
      </c>
      <c r="J5" s="102" t="s">
        <v>233</v>
      </c>
      <c r="K5" s="103" t="s">
        <v>45</v>
      </c>
    </row>
    <row r="6" spans="1:17" ht="8.15" customHeight="1" thickBot="1" x14ac:dyDescent="0.35">
      <c r="A6" s="742"/>
      <c r="B6" s="743"/>
      <c r="C6" s="743"/>
      <c r="D6" s="743"/>
      <c r="E6" s="743"/>
      <c r="F6" s="743"/>
      <c r="G6" s="743"/>
      <c r="H6" s="743"/>
      <c r="I6" s="743"/>
      <c r="J6" s="743"/>
      <c r="K6" s="744"/>
    </row>
    <row r="7" spans="1:17" ht="13.5" thickBot="1" x14ac:dyDescent="0.35">
      <c r="A7" s="707" t="s">
        <v>236</v>
      </c>
      <c r="B7" s="708"/>
      <c r="C7" s="708"/>
      <c r="D7" s="708"/>
      <c r="E7" s="708"/>
      <c r="F7" s="708"/>
      <c r="G7" s="708"/>
      <c r="H7" s="708"/>
      <c r="I7" s="708"/>
      <c r="J7" s="709"/>
      <c r="K7" s="228" t="s">
        <v>235</v>
      </c>
      <c r="M7" s="104" t="s">
        <v>6</v>
      </c>
      <c r="O7" s="137">
        <v>15</v>
      </c>
      <c r="P7" s="137">
        <v>16</v>
      </c>
      <c r="Q7" s="137">
        <v>19</v>
      </c>
    </row>
    <row r="8" spans="1:17" x14ac:dyDescent="0.3">
      <c r="A8" s="151">
        <v>1</v>
      </c>
      <c r="B8" s="229" t="s">
        <v>277</v>
      </c>
      <c r="C8" s="775" t="s">
        <v>351</v>
      </c>
      <c r="D8" s="775"/>
      <c r="E8" s="775"/>
      <c r="F8" s="775"/>
      <c r="G8" s="775"/>
      <c r="H8" s="775"/>
      <c r="I8" s="775"/>
      <c r="J8" s="776"/>
      <c r="K8" s="230"/>
      <c r="M8" s="104" t="s">
        <v>14</v>
      </c>
      <c r="O8" s="104" t="str">
        <f>HLOOKUP(O7,'Property Calc_Design Flow'!$E$2:$ED$3,2,FALSE)</f>
        <v>PRODUCT GAS TO PRODUCT GAS COMPRESSOR AND BOILERS</v>
      </c>
      <c r="P8" s="104" t="str">
        <f>HLOOKUP(P7,'Property Calc_Design Flow'!$E$2:$ED$3,2,FALSE)</f>
        <v>COMPRESSED PRODUCT GAS TO AIR COOLED AFTERCOOLER</v>
      </c>
      <c r="Q8" s="104" t="str">
        <f>HLOOKUP(Q7,'Property Calc_Design Flow'!$E$2:$ED$3,2,FALSE)</f>
        <v>COMPRESSED PRODUCT GAS TO B/L (PG&amp;E SKID)</v>
      </c>
    </row>
    <row r="9" spans="1:17" ht="14.5" x14ac:dyDescent="0.35">
      <c r="A9" s="148">
        <f>A8+1</f>
        <v>2</v>
      </c>
      <c r="B9" s="218" t="s">
        <v>275</v>
      </c>
      <c r="C9" s="602" t="s">
        <v>352</v>
      </c>
      <c r="D9" s="602"/>
      <c r="E9" s="602"/>
      <c r="F9" s="602"/>
      <c r="G9" s="602"/>
      <c r="H9" s="602"/>
      <c r="I9" s="602"/>
      <c r="J9" s="749"/>
      <c r="K9" s="108"/>
      <c r="M9" s="19" t="s">
        <v>1</v>
      </c>
      <c r="N9" s="215" t="s">
        <v>5</v>
      </c>
      <c r="O9" s="215">
        <f>HLOOKUP(O$8,'Property Calc_Design Flow'!$E$3:$EJ$25,MATCH(M9,'Property Calc_Design Flow'!$C$3:$C$24,0),FALSE)</f>
        <v>150</v>
      </c>
      <c r="P9" s="337">
        <f>HLOOKUP(P$8,'Property Calc_Design Flow'!$E$3:$EJ$25,MATCH(M9,'Property Calc_Design Flow'!$C$3:$C$24,0),FALSE)</f>
        <v>270</v>
      </c>
      <c r="Q9" s="215">
        <f>HLOOKUP(Q$8,'Property Calc_Design Flow'!$E$3:$EJ$25,MATCH(M9,'Property Calc_Design Flow'!$C$3:$C$24,0),FALSE)</f>
        <v>265</v>
      </c>
    </row>
    <row r="10" spans="1:17" ht="14.5" x14ac:dyDescent="0.35">
      <c r="A10" s="149">
        <f>A9+1</f>
        <v>3</v>
      </c>
      <c r="B10" s="227" t="s">
        <v>279</v>
      </c>
      <c r="C10" s="602" t="s">
        <v>353</v>
      </c>
      <c r="D10" s="602"/>
      <c r="E10" s="602"/>
      <c r="F10" s="602"/>
      <c r="G10" s="602"/>
      <c r="H10" s="602"/>
      <c r="I10" s="602"/>
      <c r="J10" s="749"/>
      <c r="K10" s="108"/>
      <c r="M10" s="19" t="s">
        <v>0</v>
      </c>
      <c r="N10" s="215" t="s">
        <v>4</v>
      </c>
      <c r="O10" s="215">
        <f>HLOOKUP(O$8,'Property Calc_Design Flow'!$E$3:$EJ$25,MATCH(M10,'Property Calc_Design Flow'!$C$3:$C$24,0),FALSE)</f>
        <v>51.7</v>
      </c>
      <c r="P10" s="337">
        <f>HLOOKUP(P$8,'Property Calc_Design Flow'!$E$3:$EJ$25,MATCH(M10,'Property Calc_Design Flow'!$C$3:$C$24,0),FALSE)</f>
        <v>208</v>
      </c>
      <c r="Q10" s="215">
        <f>HLOOKUP(Q$8,'Property Calc_Design Flow'!$E$3:$EJ$25,MATCH(M10,'Property Calc_Design Flow'!$C$3:$C$24,0),FALSE)</f>
        <v>95</v>
      </c>
    </row>
    <row r="11" spans="1:17" ht="14.5" x14ac:dyDescent="0.35">
      <c r="A11" s="149">
        <f>A9+1</f>
        <v>3</v>
      </c>
      <c r="B11" s="227" t="s">
        <v>528</v>
      </c>
      <c r="C11" s="769" t="s">
        <v>529</v>
      </c>
      <c r="D11" s="770"/>
      <c r="E11" s="770"/>
      <c r="F11" s="771"/>
      <c r="G11" s="772" t="s">
        <v>530</v>
      </c>
      <c r="H11" s="773"/>
      <c r="I11" s="773"/>
      <c r="J11" s="774"/>
      <c r="K11" s="247" t="s">
        <v>45</v>
      </c>
      <c r="M11" s="19" t="s">
        <v>26</v>
      </c>
      <c r="N11" s="215" t="s">
        <v>27</v>
      </c>
      <c r="O11" s="215">
        <f>HLOOKUP(O$8,'Property Calc_Design Flow'!$E$3:$EJ$25,MATCH(M11,'Property Calc_Design Flow'!$C$3:$C$24,0),FALSE)</f>
        <v>1393.8650566569991</v>
      </c>
      <c r="P11" s="337">
        <f>HLOOKUP(P$8,'Property Calc_Design Flow'!$E$3:$EJ$25,MATCH(M11,'Property Calc_Design Flow'!$C$3:$C$24,0),FALSE)</f>
        <v>1393.8650566569991</v>
      </c>
      <c r="Q11" s="215">
        <f>HLOOKUP(Q$8,'Property Calc_Design Flow'!$E$3:$EJ$25,MATCH(M11,'Property Calc_Design Flow'!$C$3:$C$24,0),FALSE)</f>
        <v>1393.8650566569991</v>
      </c>
    </row>
    <row r="12" spans="1:17" ht="14.5" x14ac:dyDescent="0.35">
      <c r="A12" s="149">
        <f>A10+1</f>
        <v>4</v>
      </c>
      <c r="B12" s="227" t="s">
        <v>355</v>
      </c>
      <c r="C12" s="146"/>
      <c r="D12" s="692" t="s">
        <v>578</v>
      </c>
      <c r="E12" s="692"/>
      <c r="F12" s="703"/>
      <c r="G12" s="145"/>
      <c r="H12" s="692" t="s">
        <v>579</v>
      </c>
      <c r="I12" s="692"/>
      <c r="J12" s="693"/>
      <c r="K12" s="247" t="s">
        <v>45</v>
      </c>
      <c r="M12" s="19" t="s">
        <v>28</v>
      </c>
      <c r="N12" s="215" t="s">
        <v>29</v>
      </c>
      <c r="O12" s="215">
        <f>HLOOKUP(O$8,'Property Calc_Design Flow'!$E$3:$EJ$25,MATCH(M12,'Property Calc_Design Flow'!$C$3:$C$24,0),FALSE)</f>
        <v>122.42117390037104</v>
      </c>
      <c r="P12" s="337">
        <f>HLOOKUP(P$8,'Property Calc_Design Flow'!$E$3:$EJ$25,MATCH(M12,'Property Calc_Design Flow'!$C$3:$C$24,0),FALSE)</f>
        <v>92.453576709282814</v>
      </c>
      <c r="Q12" s="215">
        <f>HLOOKUP(Q$8,'Property Calc_Design Flow'!$E$3:$EJ$25,MATCH(M12,'Property Calc_Design Flow'!$C$3:$C$24,0),FALSE)</f>
        <v>78.187124011551688</v>
      </c>
    </row>
    <row r="13" spans="1:17" ht="14.5" x14ac:dyDescent="0.35">
      <c r="A13" s="149">
        <f>A12+1</f>
        <v>5</v>
      </c>
      <c r="B13" s="227" t="s">
        <v>225</v>
      </c>
      <c r="C13" s="798" t="s">
        <v>580</v>
      </c>
      <c r="D13" s="798"/>
      <c r="E13" s="798"/>
      <c r="F13" s="798"/>
      <c r="G13" s="798"/>
      <c r="H13" s="798"/>
      <c r="I13" s="798"/>
      <c r="J13" s="799"/>
      <c r="K13" s="108"/>
      <c r="M13" s="19"/>
      <c r="N13" s="215"/>
      <c r="O13" s="215"/>
      <c r="P13" s="337"/>
      <c r="Q13" s="215"/>
    </row>
    <row r="14" spans="1:17" ht="15" thickBot="1" x14ac:dyDescent="0.4">
      <c r="A14" s="150">
        <f>A13+1</f>
        <v>6</v>
      </c>
      <c r="B14" s="167" t="s">
        <v>392</v>
      </c>
      <c r="C14" s="166" t="s">
        <v>393</v>
      </c>
      <c r="D14" s="167"/>
      <c r="E14" s="168"/>
      <c r="F14" s="167" t="s">
        <v>394</v>
      </c>
      <c r="G14" s="167"/>
      <c r="H14" s="169" t="s">
        <v>395</v>
      </c>
      <c r="I14" s="167"/>
      <c r="J14" s="170"/>
      <c r="K14" s="108"/>
      <c r="M14" s="19" t="s">
        <v>2</v>
      </c>
      <c r="N14" s="215" t="s">
        <v>3</v>
      </c>
      <c r="O14" s="215">
        <f>HLOOKUP(O$8,'Property Calc_Design Flow'!$E$3:$EJ$25,MATCH(M14,'Property Calc_Design Flow'!$C$3:$C$24,0),FALSE)</f>
        <v>3587.0764912074692</v>
      </c>
      <c r="P14" s="337">
        <f>HLOOKUP(P$8,'Property Calc_Design Flow'!$E$3:$EJ$25,MATCH(M14,'Property Calc_Design Flow'!$C$3:$C$24,0),FALSE)</f>
        <v>3587.0764912074692</v>
      </c>
      <c r="Q14" s="215">
        <f>HLOOKUP(Q$8,'Property Calc_Design Flow'!$E$3:$EJ$25,MATCH(M14,'Property Calc_Design Flow'!$C$3:$C$24,0),FALSE)</f>
        <v>3587.0764912074692</v>
      </c>
    </row>
    <row r="15" spans="1:17" ht="15" thickBot="1" x14ac:dyDescent="0.4">
      <c r="A15" s="707" t="s">
        <v>581</v>
      </c>
      <c r="B15" s="708"/>
      <c r="C15" s="708"/>
      <c r="D15" s="708"/>
      <c r="E15" s="708"/>
      <c r="F15" s="708"/>
      <c r="G15" s="708"/>
      <c r="H15" s="708"/>
      <c r="I15" s="708"/>
      <c r="J15" s="709"/>
      <c r="K15" s="228"/>
      <c r="M15" s="19" t="s">
        <v>30</v>
      </c>
      <c r="N15" s="215" t="s">
        <v>31</v>
      </c>
      <c r="O15" s="215">
        <f>HLOOKUP(O$8,'Property Calc_Design Flow'!$E$3:$EJ$25,MATCH(M15,'Property Calc_Design Flow'!$C$3:$C$24,0),FALSE)</f>
        <v>220.37972910859295</v>
      </c>
      <c r="P15" s="337">
        <f>HLOOKUP(P$8,'Property Calc_Design Flow'!$E$3:$EJ$25,MATCH(M15,'Property Calc_Design Flow'!$C$3:$C$24,0),FALSE)</f>
        <v>220.37972910859295</v>
      </c>
      <c r="Q15" s="215">
        <f>HLOOKUP(Q$8,'Property Calc_Design Flow'!$E$3:$EJ$25,MATCH(M15,'Property Calc_Design Flow'!$C$3:$C$24,0),FALSE)</f>
        <v>220.37972910859295</v>
      </c>
    </row>
    <row r="16" spans="1:17" ht="14.5" x14ac:dyDescent="0.35">
      <c r="A16" s="147">
        <f>A14+1</f>
        <v>7</v>
      </c>
      <c r="B16" s="106" t="s">
        <v>248</v>
      </c>
      <c r="C16" s="220" t="s">
        <v>222</v>
      </c>
      <c r="D16" s="220" t="s">
        <v>215</v>
      </c>
      <c r="E16" s="220" t="s">
        <v>218</v>
      </c>
      <c r="F16" s="220" t="s">
        <v>214</v>
      </c>
      <c r="G16" s="710" t="s">
        <v>221</v>
      </c>
      <c r="H16" s="710"/>
      <c r="I16" s="710"/>
      <c r="J16" s="711"/>
      <c r="K16" s="221"/>
      <c r="M16" s="19" t="s">
        <v>18</v>
      </c>
      <c r="N16" s="215"/>
      <c r="O16" s="215">
        <f>HLOOKUP(O$8,'Property Calc_Design Flow'!$E$3:$EJ$25,MATCH(M16,'Property Calc_Design Flow'!$C$3:$C$24,0),FALSE)</f>
        <v>16.276798713369519</v>
      </c>
      <c r="P16" s="337">
        <f>HLOOKUP(P$8,'Property Calc_Design Flow'!$E$3:$EJ$25,MATCH(M16,'Property Calc_Design Flow'!$C$3:$C$24,0),FALSE)</f>
        <v>16.276798713369519</v>
      </c>
      <c r="Q16" s="215">
        <f>HLOOKUP(Q$8,'Property Calc_Design Flow'!$E$3:$EJ$25,MATCH(M16,'Property Calc_Design Flow'!$C$3:$C$24,0),FALSE)</f>
        <v>16.276798713369519</v>
      </c>
    </row>
    <row r="17" spans="1:17" ht="14.5" x14ac:dyDescent="0.35">
      <c r="A17" s="148">
        <f>A16+1</f>
        <v>8</v>
      </c>
      <c r="B17" s="218" t="s">
        <v>282</v>
      </c>
      <c r="C17" s="100" t="s">
        <v>27</v>
      </c>
      <c r="D17" s="222">
        <f>O11</f>
        <v>1393.8650566569991</v>
      </c>
      <c r="E17" s="222">
        <f>D17</f>
        <v>1393.8650566569991</v>
      </c>
      <c r="F17" s="100">
        <v>140</v>
      </c>
      <c r="G17" s="687" t="s">
        <v>358</v>
      </c>
      <c r="H17" s="687"/>
      <c r="I17" s="687"/>
      <c r="J17" s="688"/>
      <c r="K17" s="221" t="s">
        <v>45</v>
      </c>
      <c r="M17" s="19" t="s">
        <v>22</v>
      </c>
      <c r="N17" s="215" t="s">
        <v>23</v>
      </c>
      <c r="O17" s="215">
        <f>HLOOKUP(O$8,'Property Calc_Design Flow'!$E$3:$EJ$25,MATCH(M17,'Property Calc_Design Flow'!$C$3:$C$24,0),FALSE)</f>
        <v>0.99980339092408033</v>
      </c>
      <c r="P17" s="337">
        <f>HLOOKUP(P$8,'Property Calc_Design Flow'!$E$3:$EJ$25,MATCH(M17,'Property Calc_Design Flow'!$C$3:$C$24,0),FALSE)</f>
        <v>0.99980339092408044</v>
      </c>
      <c r="Q17" s="215">
        <f>HLOOKUP(Q$8,'Property Calc_Design Flow'!$E$3:$EJ$25,MATCH(M17,'Property Calc_Design Flow'!$C$3:$C$24,0),FALSE)</f>
        <v>0.99980339092408022</v>
      </c>
    </row>
    <row r="18" spans="1:17" ht="14.5" x14ac:dyDescent="0.35">
      <c r="A18" s="148">
        <f>A17+1</f>
        <v>9</v>
      </c>
      <c r="B18" s="99" t="s">
        <v>288</v>
      </c>
      <c r="C18" s="100" t="s">
        <v>237</v>
      </c>
      <c r="D18" s="138">
        <v>150</v>
      </c>
      <c r="E18" s="138">
        <f>O9</f>
        <v>150</v>
      </c>
      <c r="F18" s="223">
        <v>100</v>
      </c>
      <c r="G18" s="687"/>
      <c r="H18" s="687"/>
      <c r="I18" s="687"/>
      <c r="J18" s="688"/>
      <c r="K18" s="221" t="s">
        <v>45</v>
      </c>
      <c r="M18" s="19" t="s">
        <v>20</v>
      </c>
      <c r="N18" s="215" t="s">
        <v>21</v>
      </c>
      <c r="O18" s="215">
        <f>HLOOKUP(O$8,'Property Calc_Design Flow'!$E$3:$EJ$25,MATCH(M18,'Property Calc_Design Flow'!$C$3:$C$24,0),FALSE)</f>
        <v>0.4883897919502263</v>
      </c>
      <c r="P18" s="337">
        <f>HLOOKUP(P$8,'Property Calc_Design Flow'!$E$3:$EJ$25,MATCH(M18,'Property Calc_Design Flow'!$C$3:$C$24,0),FALSE)</f>
        <v>0.64669484707454838</v>
      </c>
      <c r="Q18" s="215">
        <f>HLOOKUP(Q$8,'Property Calc_Design Flow'!$E$3:$EJ$25,MATCH(M18,'Property Calc_Design Flow'!$C$3:$C$24,0),FALSE)</f>
        <v>0.76469434587044249</v>
      </c>
    </row>
    <row r="19" spans="1:17" ht="14.5" x14ac:dyDescent="0.35">
      <c r="A19" s="148">
        <f t="shared" ref="A19:A28" si="0">A18+1</f>
        <v>10</v>
      </c>
      <c r="B19" s="99" t="s">
        <v>0</v>
      </c>
      <c r="C19" s="100" t="s">
        <v>238</v>
      </c>
      <c r="D19" s="138">
        <v>84</v>
      </c>
      <c r="E19" s="138">
        <f>D19</f>
        <v>84</v>
      </c>
      <c r="F19" s="223">
        <v>70</v>
      </c>
      <c r="G19" s="687"/>
      <c r="H19" s="687"/>
      <c r="I19" s="687"/>
      <c r="J19" s="688"/>
      <c r="K19" s="221"/>
      <c r="M19" s="139"/>
      <c r="N19" s="216"/>
      <c r="O19" s="215"/>
      <c r="P19" s="337"/>
      <c r="Q19" s="215"/>
    </row>
    <row r="20" spans="1:17" ht="14.5" x14ac:dyDescent="0.35">
      <c r="A20" s="148">
        <f t="shared" si="0"/>
        <v>11</v>
      </c>
      <c r="B20" s="99" t="s">
        <v>286</v>
      </c>
      <c r="C20" s="100"/>
      <c r="D20" s="138">
        <f>E20*1.1</f>
        <v>17.904478584706474</v>
      </c>
      <c r="E20" s="138">
        <f>O16</f>
        <v>16.276798713369519</v>
      </c>
      <c r="F20" s="138">
        <f>E20*0.9</f>
        <v>14.649118842032568</v>
      </c>
      <c r="G20" s="687"/>
      <c r="H20" s="687"/>
      <c r="I20" s="687"/>
      <c r="J20" s="688"/>
      <c r="K20" s="221" t="s">
        <v>45</v>
      </c>
      <c r="M20" s="98" t="s">
        <v>159</v>
      </c>
      <c r="N20" s="217" t="s">
        <v>3</v>
      </c>
      <c r="O20" s="215" t="str">
        <f>HLOOKUP(O$8,'Property Calc_Design Flow'!$E$3:$EJ$25,MATCH(M20,'Property Calc_Design Flow'!$C$3:$C$24,0),FALSE)</f>
        <v/>
      </c>
      <c r="P20" s="337" t="str">
        <f>HLOOKUP(P$8,'Property Calc_Design Flow'!$E$3:$EJ$25,MATCH(M20,'Property Calc_Design Flow'!$C$3:$C$24,0),FALSE)</f>
        <v/>
      </c>
      <c r="Q20" s="215" t="str">
        <f>HLOOKUP(Q$8,'Property Calc_Design Flow'!$E$3:$EJ$25,MATCH(M20,'Property Calc_Design Flow'!$C$3:$C$24,0),FALSE)</f>
        <v/>
      </c>
    </row>
    <row r="21" spans="1:17" ht="14.5" x14ac:dyDescent="0.35">
      <c r="A21" s="148">
        <f t="shared" si="0"/>
        <v>12</v>
      </c>
      <c r="B21" s="729" t="s">
        <v>195</v>
      </c>
      <c r="C21" s="729"/>
      <c r="D21" s="729"/>
      <c r="E21" s="729"/>
      <c r="F21" s="729"/>
      <c r="G21" s="687"/>
      <c r="H21" s="687"/>
      <c r="I21" s="687"/>
      <c r="J21" s="688"/>
      <c r="K21" s="221"/>
      <c r="M21" s="19" t="s">
        <v>7</v>
      </c>
      <c r="N21" s="215" t="s">
        <v>122</v>
      </c>
      <c r="O21" s="215">
        <f>HLOOKUP(O$8,'Property Calc_Design Flow'!$E$3:$EJ$25,MATCH(M21,'Property Calc_Design Flow'!$C$3:$C$24,0),FALSE)</f>
        <v>98.243929242641002</v>
      </c>
      <c r="P21" s="337">
        <f>HLOOKUP(P$8,'Property Calc_Design Flow'!$E$3:$EJ$25,MATCH(M21,'Property Calc_Design Flow'!$C$3:$C$24,0),FALSE)</f>
        <v>98.243929242641002</v>
      </c>
      <c r="Q21" s="215">
        <f>HLOOKUP(Q$8,'Property Calc_Design Flow'!$E$3:$EJ$25,MATCH(M21,'Property Calc_Design Flow'!$C$3:$C$24,0),FALSE)</f>
        <v>98.243929242641002</v>
      </c>
    </row>
    <row r="22" spans="1:17" ht="15" x14ac:dyDescent="0.4">
      <c r="A22" s="148">
        <f t="shared" si="0"/>
        <v>13</v>
      </c>
      <c r="B22" s="99" t="s">
        <v>240</v>
      </c>
      <c r="C22" s="100" t="s">
        <v>122</v>
      </c>
      <c r="D22" s="728">
        <f>O21</f>
        <v>98.243929242641002</v>
      </c>
      <c r="E22" s="728"/>
      <c r="F22" s="728"/>
      <c r="G22" s="687"/>
      <c r="H22" s="687"/>
      <c r="I22" s="687"/>
      <c r="J22" s="688"/>
      <c r="K22" s="221" t="s">
        <v>45</v>
      </c>
      <c r="M22" s="19" t="s">
        <v>8</v>
      </c>
      <c r="N22" s="215" t="s">
        <v>122</v>
      </c>
      <c r="O22" s="215">
        <f>HLOOKUP(O$8,'Property Calc_Design Flow'!$E$3:$EJ$25,MATCH(M22,'Property Calc_Design Flow'!$C$3:$C$24,0),FALSE)</f>
        <v>0.15006586543830169</v>
      </c>
      <c r="P22" s="337">
        <f>HLOOKUP(P$8,'Property Calc_Design Flow'!$E$3:$EJ$25,MATCH(M22,'Property Calc_Design Flow'!$C$3:$C$24,0),FALSE)</f>
        <v>0.15006586543830169</v>
      </c>
      <c r="Q22" s="215">
        <f>HLOOKUP(Q$8,'Property Calc_Design Flow'!$E$3:$EJ$25,MATCH(M22,'Property Calc_Design Flow'!$C$3:$C$24,0),FALSE)</f>
        <v>0.15006586543830169</v>
      </c>
    </row>
    <row r="23" spans="1:17" ht="15" x14ac:dyDescent="0.4">
      <c r="A23" s="148">
        <f t="shared" si="0"/>
        <v>14</v>
      </c>
      <c r="B23" s="99" t="s">
        <v>241</v>
      </c>
      <c r="C23" s="100" t="s">
        <v>122</v>
      </c>
      <c r="D23" s="728">
        <f>O22</f>
        <v>0.15006586543830169</v>
      </c>
      <c r="E23" s="728"/>
      <c r="F23" s="728"/>
      <c r="G23" s="687"/>
      <c r="H23" s="687"/>
      <c r="I23" s="687"/>
      <c r="J23" s="688"/>
      <c r="K23" s="221" t="s">
        <v>45</v>
      </c>
      <c r="M23" s="19" t="s">
        <v>9</v>
      </c>
      <c r="N23" s="215" t="s">
        <v>122</v>
      </c>
      <c r="O23" s="215">
        <f>HLOOKUP(O$8,'Property Calc_Design Flow'!$E$3:$EJ$25,MATCH(M23,'Property Calc_Design Flow'!$C$3:$C$24,0),FALSE)</f>
        <v>1.4906542633537971</v>
      </c>
      <c r="P23" s="337">
        <f>HLOOKUP(P$8,'Property Calc_Design Flow'!$E$3:$EJ$25,MATCH(M23,'Property Calc_Design Flow'!$C$3:$C$24,0),FALSE)</f>
        <v>1.4906542633537971</v>
      </c>
      <c r="Q23" s="215">
        <f>HLOOKUP(Q$8,'Property Calc_Design Flow'!$E$3:$EJ$25,MATCH(M23,'Property Calc_Design Flow'!$C$3:$C$24,0),FALSE)</f>
        <v>1.4906542633537971</v>
      </c>
    </row>
    <row r="24" spans="1:17" ht="15" x14ac:dyDescent="0.4">
      <c r="A24" s="148">
        <f t="shared" si="0"/>
        <v>15</v>
      </c>
      <c r="B24" s="99" t="s">
        <v>243</v>
      </c>
      <c r="C24" s="100" t="s">
        <v>122</v>
      </c>
      <c r="D24" s="728">
        <f>O23</f>
        <v>1.4906542633537971</v>
      </c>
      <c r="E24" s="728"/>
      <c r="F24" s="728"/>
      <c r="G24" s="687"/>
      <c r="H24" s="687"/>
      <c r="I24" s="687"/>
      <c r="J24" s="688"/>
      <c r="K24" s="221" t="s">
        <v>45</v>
      </c>
      <c r="M24" s="19" t="s">
        <v>10</v>
      </c>
      <c r="N24" s="215" t="s">
        <v>122</v>
      </c>
      <c r="O24" s="215">
        <f>HLOOKUP(O$8,'Property Calc_Design Flow'!$E$3:$EJ$25,MATCH(M24,'Property Calc_Design Flow'!$C$3:$C$24,0),FALSE)</f>
        <v>0.10004391029220111</v>
      </c>
      <c r="P24" s="337">
        <f>HLOOKUP(P$8,'Property Calc_Design Flow'!$E$3:$EJ$25,MATCH(M24,'Property Calc_Design Flow'!$C$3:$C$24,0),FALSE)</f>
        <v>0.10004391029220111</v>
      </c>
      <c r="Q24" s="215">
        <f>HLOOKUP(Q$8,'Property Calc_Design Flow'!$E$3:$EJ$25,MATCH(M24,'Property Calc_Design Flow'!$C$3:$C$24,0),FALSE)</f>
        <v>0.10004391029220111</v>
      </c>
    </row>
    <row r="25" spans="1:17" ht="15" x14ac:dyDescent="0.4">
      <c r="A25" s="148">
        <f t="shared" si="0"/>
        <v>16</v>
      </c>
      <c r="B25" s="99" t="s">
        <v>242</v>
      </c>
      <c r="C25" s="100" t="s">
        <v>122</v>
      </c>
      <c r="D25" s="728">
        <f>O24</f>
        <v>0.10004391029220111</v>
      </c>
      <c r="E25" s="728"/>
      <c r="F25" s="728"/>
      <c r="G25" s="687"/>
      <c r="H25" s="687"/>
      <c r="I25" s="687"/>
      <c r="J25" s="688"/>
      <c r="K25" s="221" t="s">
        <v>45</v>
      </c>
      <c r="M25" s="19" t="s">
        <v>11</v>
      </c>
      <c r="N25" s="215" t="s">
        <v>122</v>
      </c>
      <c r="O25" s="215">
        <f>HLOOKUP(O$8,'Property Calc_Design Flow'!$E$3:$EJ$25,MATCH(M25,'Property Calc_Design Flow'!$C$3:$C$24,0),FALSE)</f>
        <v>4.0017564116880447E-4</v>
      </c>
      <c r="P25" s="337">
        <f>HLOOKUP(P$8,'Property Calc_Design Flow'!$E$3:$EJ$25,MATCH(M25,'Property Calc_Design Flow'!$C$3:$C$24,0),FALSE)</f>
        <v>4.0017564116880447E-4</v>
      </c>
      <c r="Q25" s="215">
        <f>HLOOKUP(Q$8,'Property Calc_Design Flow'!$E$3:$EJ$25,MATCH(M25,'Property Calc_Design Flow'!$C$3:$C$24,0),FALSE)</f>
        <v>4.0017564116880447E-4</v>
      </c>
    </row>
    <row r="26" spans="1:17" ht="15" x14ac:dyDescent="0.4">
      <c r="A26" s="148">
        <f t="shared" si="0"/>
        <v>17</v>
      </c>
      <c r="B26" s="99" t="s">
        <v>244</v>
      </c>
      <c r="C26" s="100" t="s">
        <v>239</v>
      </c>
      <c r="D26" s="728">
        <v>4</v>
      </c>
      <c r="E26" s="728"/>
      <c r="F26" s="728"/>
      <c r="G26" s="687"/>
      <c r="H26" s="687"/>
      <c r="I26" s="687"/>
      <c r="J26" s="688"/>
      <c r="K26" s="221"/>
      <c r="M26" s="19" t="s">
        <v>12</v>
      </c>
      <c r="N26" s="215" t="s">
        <v>122</v>
      </c>
      <c r="O26" s="215">
        <f>HLOOKUP(O$8,'Property Calc_Design Flow'!$E$3:$EJ$25,MATCH(M26,'Property Calc_Design Flow'!$C$3:$C$24,0),FALSE)</f>
        <v>1.4906542633537967E-2</v>
      </c>
      <c r="P26" s="337">
        <f>HLOOKUP(P$8,'Property Calc_Design Flow'!$E$3:$EJ$25,MATCH(M26,'Property Calc_Design Flow'!$C$3:$C$24,0),FALSE)</f>
        <v>1.4906542633537967E-2</v>
      </c>
      <c r="Q26" s="215">
        <f>HLOOKUP(Q$8,'Property Calc_Design Flow'!$E$3:$EJ$25,MATCH(M26,'Property Calc_Design Flow'!$C$3:$C$24,0),FALSE)</f>
        <v>1.4906542633537967E-2</v>
      </c>
    </row>
    <row r="27" spans="1:17" ht="15" x14ac:dyDescent="0.4">
      <c r="A27" s="148">
        <f t="shared" si="0"/>
        <v>18</v>
      </c>
      <c r="B27" s="99" t="s">
        <v>245</v>
      </c>
      <c r="C27" s="100" t="s">
        <v>122</v>
      </c>
      <c r="D27" s="728">
        <f>O26</f>
        <v>1.4906542633537967E-2</v>
      </c>
      <c r="E27" s="728"/>
      <c r="F27" s="728"/>
      <c r="G27" s="687"/>
      <c r="H27" s="687"/>
      <c r="I27" s="687"/>
      <c r="J27" s="688"/>
      <c r="K27" s="221" t="s">
        <v>45</v>
      </c>
      <c r="M27" s="19" t="s">
        <v>32</v>
      </c>
      <c r="N27" s="215" t="s">
        <v>122</v>
      </c>
      <c r="O27" s="215">
        <f>HLOOKUP(O$8,'Property Calc_Design Flow'!$E$3:$EJ$25,MATCH(M27,'Property Calc_Design Flow'!$C$3:$C$24,0),FALSE)</f>
        <v>0</v>
      </c>
      <c r="P27" s="337">
        <f>HLOOKUP(P$8,'Property Calc_Design Flow'!$E$3:$EJ$25,MATCH(M27,'Property Calc_Design Flow'!$C$3:$C$24,0),FALSE)</f>
        <v>0</v>
      </c>
      <c r="Q27" s="215">
        <f>HLOOKUP(Q$8,'Property Calc_Design Flow'!$E$3:$EJ$25,MATCH(M27,'Property Calc_Design Flow'!$C$3:$C$24,0),FALSE)</f>
        <v>0</v>
      </c>
    </row>
    <row r="28" spans="1:17" ht="13.5" thickBot="1" x14ac:dyDescent="0.35">
      <c r="A28" s="148">
        <f t="shared" si="0"/>
        <v>19</v>
      </c>
      <c r="B28" s="101" t="s">
        <v>216</v>
      </c>
      <c r="C28" s="224" t="s">
        <v>239</v>
      </c>
      <c r="D28" s="730" t="s">
        <v>217</v>
      </c>
      <c r="E28" s="730"/>
      <c r="F28" s="730"/>
      <c r="G28" s="689"/>
      <c r="H28" s="689"/>
      <c r="I28" s="689"/>
      <c r="J28" s="690"/>
      <c r="K28" s="221"/>
    </row>
    <row r="29" spans="1:17" ht="13.5" thickBot="1" x14ac:dyDescent="0.35">
      <c r="A29" s="707" t="s">
        <v>582</v>
      </c>
      <c r="B29" s="708"/>
      <c r="C29" s="708"/>
      <c r="D29" s="708"/>
      <c r="E29" s="708"/>
      <c r="F29" s="708"/>
      <c r="G29" s="708"/>
      <c r="H29" s="708"/>
      <c r="I29" s="708"/>
      <c r="J29" s="709"/>
      <c r="K29" s="228" t="s">
        <v>45</v>
      </c>
    </row>
    <row r="30" spans="1:17" ht="13" customHeight="1" x14ac:dyDescent="0.3">
      <c r="A30" s="147">
        <f>A28+1</f>
        <v>20</v>
      </c>
      <c r="B30" s="106" t="s">
        <v>248</v>
      </c>
      <c r="C30" s="220" t="s">
        <v>222</v>
      </c>
      <c r="D30" s="220" t="s">
        <v>215</v>
      </c>
      <c r="E30" s="220" t="s">
        <v>218</v>
      </c>
      <c r="F30" s="220" t="s">
        <v>214</v>
      </c>
      <c r="G30" s="710" t="s">
        <v>221</v>
      </c>
      <c r="H30" s="710"/>
      <c r="I30" s="710"/>
      <c r="J30" s="711"/>
      <c r="K30" s="221"/>
    </row>
    <row r="31" spans="1:17" x14ac:dyDescent="0.3">
      <c r="A31" s="148">
        <f>A30+1</f>
        <v>21</v>
      </c>
      <c r="B31" s="99" t="s">
        <v>285</v>
      </c>
      <c r="C31" s="100" t="s">
        <v>237</v>
      </c>
      <c r="D31" s="222">
        <v>270</v>
      </c>
      <c r="E31" s="222">
        <f>P9</f>
        <v>270</v>
      </c>
      <c r="F31" s="100">
        <v>260</v>
      </c>
      <c r="G31" s="755" t="s">
        <v>583</v>
      </c>
      <c r="H31" s="756"/>
      <c r="I31" s="756"/>
      <c r="J31" s="786"/>
      <c r="K31" s="221"/>
      <c r="M31" s="104">
        <f>250*0.56</f>
        <v>140</v>
      </c>
    </row>
    <row r="32" spans="1:17" x14ac:dyDescent="0.3">
      <c r="A32" s="148">
        <f>A31+1</f>
        <v>22</v>
      </c>
      <c r="B32" s="99" t="s">
        <v>584</v>
      </c>
      <c r="C32" s="100" t="s">
        <v>238</v>
      </c>
      <c r="D32" s="222" t="s">
        <v>246</v>
      </c>
      <c r="E32" s="222" t="s">
        <v>246</v>
      </c>
      <c r="F32" s="100" t="s">
        <v>246</v>
      </c>
      <c r="G32" s="758"/>
      <c r="H32" s="759"/>
      <c r="I32" s="759"/>
      <c r="J32" s="788"/>
      <c r="K32" s="221"/>
    </row>
    <row r="33" spans="1:11" x14ac:dyDescent="0.3">
      <c r="A33" s="148">
        <f>A32+1</f>
        <v>23</v>
      </c>
      <c r="B33" s="99" t="s">
        <v>585</v>
      </c>
      <c r="C33" s="100" t="s">
        <v>238</v>
      </c>
      <c r="D33" s="138">
        <v>100</v>
      </c>
      <c r="E33" s="138">
        <f>Q10</f>
        <v>95</v>
      </c>
      <c r="F33" s="138">
        <v>60</v>
      </c>
      <c r="G33" s="758"/>
      <c r="H33" s="759"/>
      <c r="I33" s="759"/>
      <c r="J33" s="788"/>
      <c r="K33" s="221" t="s">
        <v>45</v>
      </c>
    </row>
    <row r="34" spans="1:11" x14ac:dyDescent="0.3">
      <c r="A34" s="148">
        <f t="shared" ref="A34:A40" si="1">A33+1</f>
        <v>24</v>
      </c>
      <c r="B34" s="99" t="s">
        <v>291</v>
      </c>
      <c r="C34" s="100"/>
      <c r="D34" s="223" t="s">
        <v>246</v>
      </c>
      <c r="E34" s="223" t="s">
        <v>246</v>
      </c>
      <c r="F34" s="223" t="s">
        <v>246</v>
      </c>
      <c r="G34" s="758"/>
      <c r="H34" s="759"/>
      <c r="I34" s="759"/>
      <c r="J34" s="788"/>
      <c r="K34" s="221"/>
    </row>
    <row r="35" spans="1:11" x14ac:dyDescent="0.3">
      <c r="A35" s="148">
        <f t="shared" si="1"/>
        <v>25</v>
      </c>
      <c r="B35" s="99" t="s">
        <v>292</v>
      </c>
      <c r="C35" s="100"/>
      <c r="D35" s="223" t="s">
        <v>246</v>
      </c>
      <c r="E35" s="223" t="s">
        <v>246</v>
      </c>
      <c r="F35" s="223" t="s">
        <v>246</v>
      </c>
      <c r="G35" s="758"/>
      <c r="H35" s="759"/>
      <c r="I35" s="759"/>
      <c r="J35" s="788"/>
      <c r="K35" s="221"/>
    </row>
    <row r="36" spans="1:11" x14ac:dyDescent="0.3">
      <c r="A36" s="148">
        <f t="shared" si="1"/>
        <v>26</v>
      </c>
      <c r="B36" s="99" t="s">
        <v>293</v>
      </c>
      <c r="C36" s="100" t="s">
        <v>238</v>
      </c>
      <c r="D36" s="223" t="s">
        <v>246</v>
      </c>
      <c r="E36" s="223" t="s">
        <v>246</v>
      </c>
      <c r="F36" s="223" t="s">
        <v>246</v>
      </c>
      <c r="G36" s="758"/>
      <c r="H36" s="759"/>
      <c r="I36" s="759"/>
      <c r="J36" s="788"/>
      <c r="K36" s="221"/>
    </row>
    <row r="37" spans="1:11" ht="15" customHeight="1" x14ac:dyDescent="0.3">
      <c r="A37" s="148">
        <f t="shared" si="1"/>
        <v>27</v>
      </c>
      <c r="B37" s="99" t="s">
        <v>296</v>
      </c>
      <c r="C37" s="100" t="s">
        <v>297</v>
      </c>
      <c r="D37" s="728" t="s">
        <v>246</v>
      </c>
      <c r="E37" s="728"/>
      <c r="F37" s="728"/>
      <c r="G37" s="758"/>
      <c r="H37" s="759"/>
      <c r="I37" s="759"/>
      <c r="J37" s="788"/>
      <c r="K37" s="221"/>
    </row>
    <row r="38" spans="1:11" ht="15" customHeight="1" x14ac:dyDescent="0.3">
      <c r="A38" s="148">
        <f t="shared" si="1"/>
        <v>28</v>
      </c>
      <c r="B38" s="99" t="s">
        <v>298</v>
      </c>
      <c r="C38" s="100" t="s">
        <v>361</v>
      </c>
      <c r="D38" s="223" t="s">
        <v>246</v>
      </c>
      <c r="E38" s="223" t="s">
        <v>246</v>
      </c>
      <c r="F38" s="223" t="s">
        <v>246</v>
      </c>
      <c r="G38" s="758"/>
      <c r="H38" s="759"/>
      <c r="I38" s="759"/>
      <c r="J38" s="788"/>
      <c r="K38" s="221"/>
    </row>
    <row r="39" spans="1:11" ht="15" customHeight="1" x14ac:dyDescent="0.3">
      <c r="A39" s="148">
        <f t="shared" si="1"/>
        <v>29</v>
      </c>
      <c r="B39" s="141" t="s">
        <v>374</v>
      </c>
      <c r="C39" s="142"/>
      <c r="D39" s="795" t="s">
        <v>246</v>
      </c>
      <c r="E39" s="796"/>
      <c r="F39" s="797"/>
      <c r="G39" s="758"/>
      <c r="H39" s="759"/>
      <c r="I39" s="759"/>
      <c r="J39" s="788"/>
      <c r="K39" s="221"/>
    </row>
    <row r="40" spans="1:11" ht="15" customHeight="1" x14ac:dyDescent="0.3">
      <c r="A40" s="148">
        <f t="shared" si="1"/>
        <v>30</v>
      </c>
      <c r="B40" s="141" t="s">
        <v>375</v>
      </c>
      <c r="C40" s="142"/>
      <c r="D40" s="795" t="s">
        <v>246</v>
      </c>
      <c r="E40" s="796"/>
      <c r="F40" s="797"/>
      <c r="G40" s="758"/>
      <c r="H40" s="759"/>
      <c r="I40" s="759"/>
      <c r="J40" s="788"/>
      <c r="K40" s="221"/>
    </row>
    <row r="41" spans="1:11" ht="13.5" thickBot="1" x14ac:dyDescent="0.35">
      <c r="A41" s="148">
        <f>A40+1</f>
        <v>31</v>
      </c>
      <c r="B41" s="141" t="s">
        <v>586</v>
      </c>
      <c r="C41" s="142"/>
      <c r="D41" s="223" t="s">
        <v>246</v>
      </c>
      <c r="E41" s="223" t="s">
        <v>246</v>
      </c>
      <c r="F41" s="223" t="s">
        <v>246</v>
      </c>
      <c r="G41" s="789"/>
      <c r="H41" s="790"/>
      <c r="I41" s="790"/>
      <c r="J41" s="791"/>
      <c r="K41" s="221" t="s">
        <v>45</v>
      </c>
    </row>
    <row r="42" spans="1:11" ht="13.5" thickBot="1" x14ac:dyDescent="0.35">
      <c r="A42" s="707" t="s">
        <v>304</v>
      </c>
      <c r="B42" s="708"/>
      <c r="C42" s="708"/>
      <c r="D42" s="708"/>
      <c r="E42" s="708"/>
      <c r="F42" s="708"/>
      <c r="G42" s="708"/>
      <c r="H42" s="708"/>
      <c r="I42" s="708"/>
      <c r="J42" s="709"/>
      <c r="K42" s="228"/>
    </row>
    <row r="43" spans="1:11" x14ac:dyDescent="0.3">
      <c r="A43" s="147">
        <f>A41+1</f>
        <v>32</v>
      </c>
      <c r="B43" s="106" t="s">
        <v>248</v>
      </c>
      <c r="C43" s="220" t="s">
        <v>222</v>
      </c>
      <c r="D43" s="220" t="s">
        <v>215</v>
      </c>
      <c r="E43" s="220" t="s">
        <v>218</v>
      </c>
      <c r="F43" s="220" t="s">
        <v>214</v>
      </c>
      <c r="G43" s="710" t="s">
        <v>221</v>
      </c>
      <c r="H43" s="710"/>
      <c r="I43" s="710"/>
      <c r="J43" s="711"/>
      <c r="K43" s="221"/>
    </row>
    <row r="44" spans="1:11" x14ac:dyDescent="0.3">
      <c r="A44" s="148">
        <f>A43+1</f>
        <v>33</v>
      </c>
      <c r="B44" s="218" t="s">
        <v>362</v>
      </c>
      <c r="C44" s="100" t="s">
        <v>330</v>
      </c>
      <c r="D44" s="704" t="s">
        <v>262</v>
      </c>
      <c r="E44" s="705"/>
      <c r="F44" s="706"/>
      <c r="G44" s="687"/>
      <c r="H44" s="687"/>
      <c r="I44" s="687"/>
      <c r="J44" s="688"/>
      <c r="K44" s="221"/>
    </row>
    <row r="45" spans="1:11" x14ac:dyDescent="0.3">
      <c r="A45" s="148">
        <f>A44+1</f>
        <v>34</v>
      </c>
      <c r="B45" s="99" t="s">
        <v>306</v>
      </c>
      <c r="C45" s="100"/>
      <c r="D45" s="223" t="s">
        <v>307</v>
      </c>
      <c r="E45" s="223" t="s">
        <v>308</v>
      </c>
      <c r="F45" s="223" t="s">
        <v>309</v>
      </c>
      <c r="G45" s="687"/>
      <c r="H45" s="687"/>
      <c r="I45" s="687"/>
      <c r="J45" s="688"/>
      <c r="K45" s="221"/>
    </row>
    <row r="46" spans="1:11" x14ac:dyDescent="0.3">
      <c r="A46" s="148">
        <f t="shared" ref="A46:A47" si="2">A45+1</f>
        <v>35</v>
      </c>
      <c r="B46" s="99" t="s">
        <v>310</v>
      </c>
      <c r="C46" s="100" t="s">
        <v>330</v>
      </c>
      <c r="D46" s="704" t="s">
        <v>262</v>
      </c>
      <c r="E46" s="705"/>
      <c r="F46" s="706"/>
      <c r="G46" s="687"/>
      <c r="H46" s="687"/>
      <c r="I46" s="687"/>
      <c r="J46" s="688"/>
      <c r="K46" s="221"/>
    </row>
    <row r="47" spans="1:11" ht="13.5" thickBot="1" x14ac:dyDescent="0.35">
      <c r="A47" s="148">
        <f t="shared" si="2"/>
        <v>36</v>
      </c>
      <c r="B47" s="99" t="s">
        <v>311</v>
      </c>
      <c r="C47" s="99" t="s">
        <v>363</v>
      </c>
      <c r="D47" s="223" t="s">
        <v>246</v>
      </c>
      <c r="E47" s="223" t="s">
        <v>308</v>
      </c>
      <c r="F47" s="223" t="s">
        <v>246</v>
      </c>
      <c r="G47" s="687"/>
      <c r="H47" s="687"/>
      <c r="I47" s="687"/>
      <c r="J47" s="688"/>
      <c r="K47" s="221"/>
    </row>
    <row r="48" spans="1:11" ht="13.5" thickBot="1" x14ac:dyDescent="0.35">
      <c r="A48" s="707" t="s">
        <v>312</v>
      </c>
      <c r="B48" s="708"/>
      <c r="C48" s="708"/>
      <c r="D48" s="708"/>
      <c r="E48" s="708"/>
      <c r="F48" s="708"/>
      <c r="G48" s="708"/>
      <c r="H48" s="708"/>
      <c r="I48" s="708"/>
      <c r="J48" s="709"/>
      <c r="K48" s="228"/>
    </row>
    <row r="49" spans="1:11" ht="14.5" customHeight="1" x14ac:dyDescent="0.3">
      <c r="A49" s="147">
        <f>A47+1</f>
        <v>37</v>
      </c>
      <c r="B49" s="106" t="s">
        <v>248</v>
      </c>
      <c r="C49" s="220" t="s">
        <v>222</v>
      </c>
      <c r="D49" s="220" t="s">
        <v>215</v>
      </c>
      <c r="E49" s="220" t="s">
        <v>218</v>
      </c>
      <c r="F49" s="220" t="s">
        <v>214</v>
      </c>
      <c r="G49" s="710" t="s">
        <v>221</v>
      </c>
      <c r="H49" s="710"/>
      <c r="I49" s="710"/>
      <c r="J49" s="711"/>
      <c r="K49" s="221"/>
    </row>
    <row r="50" spans="1:11" ht="14.5" customHeight="1" x14ac:dyDescent="0.3">
      <c r="A50" s="148">
        <f>A49+1</f>
        <v>38</v>
      </c>
      <c r="B50" s="218" t="s">
        <v>266</v>
      </c>
      <c r="C50" s="100" t="s">
        <v>5</v>
      </c>
      <c r="D50" s="222">
        <f>'Input Sheet'!F27</f>
        <v>120</v>
      </c>
      <c r="E50" s="222">
        <f>'Input Sheet'!G27</f>
        <v>100</v>
      </c>
      <c r="F50" s="222">
        <f>'Input Sheet'!H27</f>
        <v>80</v>
      </c>
      <c r="G50" s="687" t="s">
        <v>365</v>
      </c>
      <c r="H50" s="687"/>
      <c r="I50" s="687"/>
      <c r="J50" s="688"/>
      <c r="K50" s="221"/>
    </row>
    <row r="51" spans="1:11" ht="14.5" customHeight="1" x14ac:dyDescent="0.3">
      <c r="A51" s="148">
        <f t="shared" ref="A51:A54" si="3">A50+1</f>
        <v>39</v>
      </c>
      <c r="B51" s="218" t="s">
        <v>267</v>
      </c>
      <c r="C51" s="100" t="s">
        <v>238</v>
      </c>
      <c r="D51" s="222">
        <f>'Input Sheet'!F28</f>
        <v>150</v>
      </c>
      <c r="E51" s="222">
        <f>'Input Sheet'!G28</f>
        <v>100</v>
      </c>
      <c r="F51" s="222">
        <f>'Input Sheet'!H28</f>
        <v>60</v>
      </c>
      <c r="G51" s="687"/>
      <c r="H51" s="687"/>
      <c r="I51" s="687"/>
      <c r="J51" s="688"/>
      <c r="K51" s="221"/>
    </row>
    <row r="52" spans="1:11" ht="14.5" customHeight="1" x14ac:dyDescent="0.3">
      <c r="A52" s="148">
        <f t="shared" si="3"/>
        <v>40</v>
      </c>
      <c r="B52" s="218" t="s">
        <v>322</v>
      </c>
      <c r="C52" s="100" t="s">
        <v>5</v>
      </c>
      <c r="D52" s="222">
        <f>'Input Sheet'!F29</f>
        <v>40</v>
      </c>
      <c r="E52" s="222">
        <f>'Input Sheet'!G29</f>
        <v>25</v>
      </c>
      <c r="F52" s="222">
        <f>'Input Sheet'!H29</f>
        <v>20</v>
      </c>
      <c r="G52" s="687"/>
      <c r="H52" s="687"/>
      <c r="I52" s="687"/>
      <c r="J52" s="688"/>
      <c r="K52" s="221"/>
    </row>
    <row r="53" spans="1:11" ht="14.5" customHeight="1" x14ac:dyDescent="0.3">
      <c r="A53" s="148">
        <f t="shared" si="3"/>
        <v>41</v>
      </c>
      <c r="B53" s="218" t="s">
        <v>323</v>
      </c>
      <c r="C53" s="100" t="s">
        <v>238</v>
      </c>
      <c r="D53" s="222">
        <f>'Input Sheet'!F30</f>
        <v>35</v>
      </c>
      <c r="E53" s="222">
        <f>'Input Sheet'!G30</f>
        <v>30</v>
      </c>
      <c r="F53" s="222">
        <f>'Input Sheet'!H30</f>
        <v>30</v>
      </c>
      <c r="G53" s="687"/>
      <c r="H53" s="687"/>
      <c r="I53" s="687"/>
      <c r="J53" s="688"/>
      <c r="K53" s="221"/>
    </row>
    <row r="54" spans="1:11" ht="15" customHeight="1" thickBot="1" x14ac:dyDescent="0.35">
      <c r="A54" s="150">
        <f t="shared" si="3"/>
        <v>42</v>
      </c>
      <c r="B54" s="226" t="s">
        <v>364</v>
      </c>
      <c r="C54" s="224" t="s">
        <v>238</v>
      </c>
      <c r="D54" s="222">
        <f>'Input Sheet'!F31</f>
        <v>45</v>
      </c>
      <c r="E54" s="222">
        <f>'Input Sheet'!G31</f>
        <v>40</v>
      </c>
      <c r="F54" s="222">
        <f>'Input Sheet'!H31</f>
        <v>40</v>
      </c>
      <c r="G54" s="689"/>
      <c r="H54" s="689"/>
      <c r="I54" s="689"/>
      <c r="J54" s="690"/>
      <c r="K54" s="221"/>
    </row>
    <row r="55" spans="1:11" ht="13.5" thickBot="1" x14ac:dyDescent="0.35">
      <c r="A55" s="707" t="s">
        <v>313</v>
      </c>
      <c r="B55" s="708"/>
      <c r="C55" s="708"/>
      <c r="D55" s="708"/>
      <c r="E55" s="708"/>
      <c r="F55" s="708"/>
      <c r="G55" s="708"/>
      <c r="H55" s="708"/>
      <c r="I55" s="708"/>
      <c r="J55" s="709"/>
      <c r="K55" s="228"/>
    </row>
    <row r="56" spans="1:11" x14ac:dyDescent="0.3">
      <c r="A56" s="147">
        <f>A54+1</f>
        <v>43</v>
      </c>
      <c r="B56" s="106" t="s">
        <v>248</v>
      </c>
      <c r="C56" s="220" t="s">
        <v>222</v>
      </c>
      <c r="D56" s="710" t="s">
        <v>251</v>
      </c>
      <c r="E56" s="710"/>
      <c r="F56" s="710"/>
      <c r="G56" s="710" t="s">
        <v>221</v>
      </c>
      <c r="H56" s="710"/>
      <c r="I56" s="710"/>
      <c r="J56" s="711"/>
      <c r="K56" s="221"/>
    </row>
    <row r="57" spans="1:11" x14ac:dyDescent="0.3">
      <c r="A57" s="148">
        <f>A56+1</f>
        <v>44</v>
      </c>
      <c r="B57" s="218" t="s">
        <v>314</v>
      </c>
      <c r="C57" s="100" t="s">
        <v>5</v>
      </c>
      <c r="D57" s="431">
        <v>300</v>
      </c>
      <c r="E57" s="431"/>
      <c r="F57" s="431"/>
      <c r="G57" s="687" t="s">
        <v>367</v>
      </c>
      <c r="H57" s="687"/>
      <c r="I57" s="687"/>
      <c r="J57" s="688"/>
      <c r="K57" s="221"/>
    </row>
    <row r="58" spans="1:11" x14ac:dyDescent="0.3">
      <c r="A58" s="148">
        <f t="shared" ref="A58:A61" si="4">A57+1</f>
        <v>45</v>
      </c>
      <c r="B58" s="218" t="s">
        <v>326</v>
      </c>
      <c r="C58" s="100" t="s">
        <v>238</v>
      </c>
      <c r="D58" s="431" t="s">
        <v>246</v>
      </c>
      <c r="E58" s="431"/>
      <c r="F58" s="431"/>
      <c r="G58" s="687"/>
      <c r="H58" s="687"/>
      <c r="I58" s="687"/>
      <c r="J58" s="688"/>
      <c r="K58" s="221"/>
    </row>
    <row r="59" spans="1:11" x14ac:dyDescent="0.3">
      <c r="A59" s="148">
        <f t="shared" si="4"/>
        <v>46</v>
      </c>
      <c r="B59" s="99" t="s">
        <v>249</v>
      </c>
      <c r="C59" s="100"/>
      <c r="D59" s="431" t="s">
        <v>250</v>
      </c>
      <c r="E59" s="431"/>
      <c r="F59" s="431"/>
      <c r="G59" s="687"/>
      <c r="H59" s="687"/>
      <c r="I59" s="687"/>
      <c r="J59" s="688"/>
      <c r="K59" s="221"/>
    </row>
    <row r="60" spans="1:11" x14ac:dyDescent="0.3">
      <c r="A60" s="148">
        <f t="shared" si="4"/>
        <v>47</v>
      </c>
      <c r="B60" s="99" t="s">
        <v>327</v>
      </c>
      <c r="C60" s="100"/>
      <c r="D60" s="593" t="s">
        <v>587</v>
      </c>
      <c r="E60" s="593"/>
      <c r="F60" s="593"/>
      <c r="G60" s="687"/>
      <c r="H60" s="687"/>
      <c r="I60" s="687"/>
      <c r="J60" s="688"/>
      <c r="K60" s="221"/>
    </row>
    <row r="61" spans="1:11" ht="13.5" thickBot="1" x14ac:dyDescent="0.35">
      <c r="A61" s="148">
        <f t="shared" si="4"/>
        <v>48</v>
      </c>
      <c r="B61" s="101" t="s">
        <v>254</v>
      </c>
      <c r="C61" s="224"/>
      <c r="D61" s="725" t="s">
        <v>213</v>
      </c>
      <c r="E61" s="725"/>
      <c r="F61" s="725"/>
      <c r="G61" s="689"/>
      <c r="H61" s="689"/>
      <c r="I61" s="689"/>
      <c r="J61" s="690"/>
      <c r="K61" s="221"/>
    </row>
    <row r="62" spans="1:11" ht="13.5" thickBot="1" x14ac:dyDescent="0.35">
      <c r="A62" s="707" t="s">
        <v>253</v>
      </c>
      <c r="B62" s="708"/>
      <c r="C62" s="708"/>
      <c r="D62" s="708"/>
      <c r="E62" s="708"/>
      <c r="F62" s="708"/>
      <c r="G62" s="708"/>
      <c r="H62" s="708"/>
      <c r="I62" s="708"/>
      <c r="J62" s="709"/>
      <c r="K62" s="228"/>
    </row>
    <row r="63" spans="1:11" ht="12.75" customHeight="1" x14ac:dyDescent="0.3">
      <c r="A63" s="147">
        <f>A61+1</f>
        <v>49</v>
      </c>
      <c r="B63" s="106" t="s">
        <v>248</v>
      </c>
      <c r="C63" s="220" t="s">
        <v>222</v>
      </c>
      <c r="D63" s="710" t="s">
        <v>251</v>
      </c>
      <c r="E63" s="710"/>
      <c r="F63" s="710"/>
      <c r="G63" s="710" t="s">
        <v>221</v>
      </c>
      <c r="H63" s="710"/>
      <c r="I63" s="710"/>
      <c r="J63" s="711"/>
      <c r="K63" s="221"/>
    </row>
    <row r="64" spans="1:11" x14ac:dyDescent="0.3">
      <c r="A64" s="148">
        <f>A63+1</f>
        <v>50</v>
      </c>
      <c r="B64" s="218" t="s">
        <v>256</v>
      </c>
      <c r="C64" s="100" t="s">
        <v>63</v>
      </c>
      <c r="D64" s="431">
        <f>'Input Sheet'!F22</f>
        <v>95</v>
      </c>
      <c r="E64" s="431"/>
      <c r="F64" s="431"/>
      <c r="G64" s="687" t="s">
        <v>543</v>
      </c>
      <c r="H64" s="687"/>
      <c r="I64" s="687"/>
      <c r="J64" s="688"/>
      <c r="K64" s="221"/>
    </row>
    <row r="65" spans="1:11" x14ac:dyDescent="0.3">
      <c r="A65" s="148">
        <f t="shared" ref="A65:A68" si="5">A64+1</f>
        <v>51</v>
      </c>
      <c r="B65" s="218" t="s">
        <v>257</v>
      </c>
      <c r="C65" s="100" t="s">
        <v>238</v>
      </c>
      <c r="D65" s="431">
        <f>'Input Sheet'!F23</f>
        <v>24</v>
      </c>
      <c r="E65" s="431"/>
      <c r="F65" s="431"/>
      <c r="G65" s="687"/>
      <c r="H65" s="687"/>
      <c r="I65" s="687"/>
      <c r="J65" s="688"/>
      <c r="K65" s="221"/>
    </row>
    <row r="66" spans="1:11" x14ac:dyDescent="0.3">
      <c r="A66" s="148">
        <f t="shared" si="5"/>
        <v>52</v>
      </c>
      <c r="B66" s="99" t="s">
        <v>258</v>
      </c>
      <c r="C66" s="100" t="s">
        <v>238</v>
      </c>
      <c r="D66" s="431">
        <f>'Input Sheet'!F24</f>
        <v>101</v>
      </c>
      <c r="E66" s="431"/>
      <c r="F66" s="431"/>
      <c r="G66" s="687"/>
      <c r="H66" s="687"/>
      <c r="I66" s="687"/>
      <c r="J66" s="688"/>
      <c r="K66" s="221"/>
    </row>
    <row r="67" spans="1:11" x14ac:dyDescent="0.3">
      <c r="A67" s="148">
        <f t="shared" si="5"/>
        <v>53</v>
      </c>
      <c r="B67" s="99" t="s">
        <v>259</v>
      </c>
      <c r="C67" s="100"/>
      <c r="D67" s="593" t="s">
        <v>255</v>
      </c>
      <c r="E67" s="593"/>
      <c r="F67" s="593"/>
      <c r="G67" s="687"/>
      <c r="H67" s="687"/>
      <c r="I67" s="687"/>
      <c r="J67" s="688"/>
      <c r="K67" s="221"/>
    </row>
    <row r="68" spans="1:11" ht="13.5" thickBot="1" x14ac:dyDescent="0.35">
      <c r="A68" s="148">
        <f t="shared" si="5"/>
        <v>54</v>
      </c>
      <c r="B68" s="101" t="s">
        <v>260</v>
      </c>
      <c r="C68" s="224" t="s">
        <v>122</v>
      </c>
      <c r="D68" s="721" t="s">
        <v>335</v>
      </c>
      <c r="E68" s="721"/>
      <c r="F68" s="721"/>
      <c r="G68" s="726"/>
      <c r="H68" s="726"/>
      <c r="I68" s="726"/>
      <c r="J68" s="727"/>
      <c r="K68" s="221"/>
    </row>
    <row r="69" spans="1:11" ht="14.5" customHeight="1" thickBot="1" x14ac:dyDescent="0.35">
      <c r="A69" s="707" t="s">
        <v>261</v>
      </c>
      <c r="B69" s="708"/>
      <c r="C69" s="708"/>
      <c r="D69" s="708"/>
      <c r="E69" s="708"/>
      <c r="F69" s="708"/>
      <c r="G69" s="708"/>
      <c r="H69" s="708"/>
      <c r="I69" s="708"/>
      <c r="J69" s="709"/>
      <c r="K69" s="228"/>
    </row>
    <row r="70" spans="1:11" ht="12.75" customHeight="1" x14ac:dyDescent="0.3">
      <c r="A70" s="147">
        <f>A68+1</f>
        <v>55</v>
      </c>
      <c r="B70" s="106" t="s">
        <v>248</v>
      </c>
      <c r="C70" s="220" t="s">
        <v>222</v>
      </c>
      <c r="D70" s="220" t="s">
        <v>262</v>
      </c>
      <c r="E70" s="220" t="s">
        <v>263</v>
      </c>
      <c r="F70" s="792" t="s">
        <v>221</v>
      </c>
      <c r="G70" s="793"/>
      <c r="H70" s="793"/>
      <c r="I70" s="793"/>
      <c r="J70" s="794"/>
      <c r="K70" s="221"/>
    </row>
    <row r="71" spans="1:11" ht="13" customHeight="1" x14ac:dyDescent="0.3">
      <c r="A71" s="151">
        <f>A70+1</f>
        <v>56</v>
      </c>
      <c r="B71" s="229" t="s">
        <v>546</v>
      </c>
      <c r="C71" s="144" t="s">
        <v>330</v>
      </c>
      <c r="D71" s="143"/>
      <c r="E71" s="143"/>
      <c r="F71" s="755" t="s">
        <v>547</v>
      </c>
      <c r="G71" s="756"/>
      <c r="H71" s="756"/>
      <c r="I71" s="756"/>
      <c r="J71" s="786"/>
      <c r="K71" s="221" t="s">
        <v>45</v>
      </c>
    </row>
    <row r="72" spans="1:11" ht="14.5" customHeight="1" x14ac:dyDescent="0.3">
      <c r="A72" s="151">
        <f>A70+1</f>
        <v>56</v>
      </c>
      <c r="B72" s="218" t="s">
        <v>590</v>
      </c>
      <c r="C72" s="144" t="s">
        <v>330</v>
      </c>
      <c r="D72" s="143"/>
      <c r="E72" s="143"/>
      <c r="F72" s="758"/>
      <c r="G72" s="787"/>
      <c r="H72" s="787"/>
      <c r="I72" s="787"/>
      <c r="J72" s="788"/>
      <c r="K72" s="221" t="s">
        <v>45</v>
      </c>
    </row>
    <row r="73" spans="1:11" ht="13" customHeight="1" x14ac:dyDescent="0.3">
      <c r="A73" s="151">
        <f t="shared" ref="A73:A82" si="6">A72+1</f>
        <v>57</v>
      </c>
      <c r="B73" s="218" t="s">
        <v>320</v>
      </c>
      <c r="C73" s="144" t="s">
        <v>330</v>
      </c>
      <c r="D73" s="143"/>
      <c r="E73" s="143"/>
      <c r="F73" s="758"/>
      <c r="G73" s="787"/>
      <c r="H73" s="787"/>
      <c r="I73" s="787"/>
      <c r="J73" s="788"/>
      <c r="K73" s="221"/>
    </row>
    <row r="74" spans="1:11" ht="14.5" customHeight="1" x14ac:dyDescent="0.3">
      <c r="A74" s="151">
        <f t="shared" si="6"/>
        <v>58</v>
      </c>
      <c r="B74" s="218" t="s">
        <v>548</v>
      </c>
      <c r="C74" s="144" t="s">
        <v>330</v>
      </c>
      <c r="D74" s="143"/>
      <c r="E74" s="143"/>
      <c r="F74" s="758"/>
      <c r="G74" s="787"/>
      <c r="H74" s="787"/>
      <c r="I74" s="787"/>
      <c r="J74" s="788"/>
      <c r="K74" s="221"/>
    </row>
    <row r="75" spans="1:11" ht="14.5" customHeight="1" x14ac:dyDescent="0.3">
      <c r="A75" s="151">
        <f t="shared" si="6"/>
        <v>59</v>
      </c>
      <c r="B75" s="218" t="s">
        <v>316</v>
      </c>
      <c r="C75" s="100" t="s">
        <v>588</v>
      </c>
      <c r="D75" s="100" t="s">
        <v>246</v>
      </c>
      <c r="E75" s="100" t="s">
        <v>246</v>
      </c>
      <c r="F75" s="758"/>
      <c r="G75" s="787"/>
      <c r="H75" s="787"/>
      <c r="I75" s="787"/>
      <c r="J75" s="788"/>
      <c r="K75" s="221"/>
    </row>
    <row r="76" spans="1:11" ht="14.5" customHeight="1" x14ac:dyDescent="0.3">
      <c r="A76" s="151">
        <f t="shared" si="6"/>
        <v>60</v>
      </c>
      <c r="B76" s="218" t="s">
        <v>328</v>
      </c>
      <c r="C76" s="100" t="s">
        <v>330</v>
      </c>
      <c r="D76" s="100"/>
      <c r="E76" s="113"/>
      <c r="F76" s="758"/>
      <c r="G76" s="787"/>
      <c r="H76" s="787"/>
      <c r="I76" s="787"/>
      <c r="J76" s="788"/>
      <c r="K76" s="221"/>
    </row>
    <row r="77" spans="1:11" ht="14.5" customHeight="1" x14ac:dyDescent="0.3">
      <c r="A77" s="151">
        <f t="shared" si="6"/>
        <v>61</v>
      </c>
      <c r="B77" s="218" t="s">
        <v>317</v>
      </c>
      <c r="C77" s="100" t="s">
        <v>238</v>
      </c>
      <c r="D77" s="100" t="s">
        <v>246</v>
      </c>
      <c r="E77" s="222">
        <v>90</v>
      </c>
      <c r="F77" s="758"/>
      <c r="G77" s="787"/>
      <c r="H77" s="787"/>
      <c r="I77" s="787"/>
      <c r="J77" s="788"/>
      <c r="K77" s="221"/>
    </row>
    <row r="78" spans="1:11" ht="14.5" customHeight="1" x14ac:dyDescent="0.3">
      <c r="A78" s="151">
        <f t="shared" si="6"/>
        <v>62</v>
      </c>
      <c r="B78" s="218" t="s">
        <v>591</v>
      </c>
      <c r="C78" s="100" t="s">
        <v>330</v>
      </c>
      <c r="D78" s="100"/>
      <c r="E78" s="113"/>
      <c r="F78" s="758"/>
      <c r="G78" s="787"/>
      <c r="H78" s="787"/>
      <c r="I78" s="787"/>
      <c r="J78" s="788"/>
      <c r="K78" s="221"/>
    </row>
    <row r="79" spans="1:11" ht="14.5" customHeight="1" x14ac:dyDescent="0.3">
      <c r="A79" s="151">
        <f t="shared" si="6"/>
        <v>63</v>
      </c>
      <c r="B79" s="218" t="s">
        <v>592</v>
      </c>
      <c r="C79" s="100" t="s">
        <v>330</v>
      </c>
      <c r="D79" s="100"/>
      <c r="E79" s="113"/>
      <c r="F79" s="758"/>
      <c r="G79" s="787"/>
      <c r="H79" s="787"/>
      <c r="I79" s="787"/>
      <c r="J79" s="788"/>
      <c r="K79" s="221"/>
    </row>
    <row r="80" spans="1:11" ht="14.5" customHeight="1" x14ac:dyDescent="0.3">
      <c r="A80" s="151">
        <f t="shared" si="6"/>
        <v>64</v>
      </c>
      <c r="B80" s="99" t="s">
        <v>252</v>
      </c>
      <c r="C80" s="100" t="s">
        <v>330</v>
      </c>
      <c r="D80" s="100"/>
      <c r="E80" s="113"/>
      <c r="F80" s="758"/>
      <c r="G80" s="787"/>
      <c r="H80" s="787"/>
      <c r="I80" s="787"/>
      <c r="J80" s="788"/>
      <c r="K80" s="221"/>
    </row>
    <row r="81" spans="1:11" ht="15" customHeight="1" x14ac:dyDescent="0.3">
      <c r="A81" s="151">
        <f t="shared" si="6"/>
        <v>65</v>
      </c>
      <c r="B81" s="99" t="s">
        <v>553</v>
      </c>
      <c r="C81" s="100" t="s">
        <v>330</v>
      </c>
      <c r="D81" s="100"/>
      <c r="E81" s="113"/>
      <c r="F81" s="758"/>
      <c r="G81" s="787"/>
      <c r="H81" s="787"/>
      <c r="I81" s="787"/>
      <c r="J81" s="788"/>
      <c r="K81" s="221"/>
    </row>
    <row r="82" spans="1:11" ht="15" customHeight="1" thickBot="1" x14ac:dyDescent="0.35">
      <c r="A82" s="151">
        <f t="shared" si="6"/>
        <v>66</v>
      </c>
      <c r="B82" s="101" t="s">
        <v>574</v>
      </c>
      <c r="C82" s="224" t="s">
        <v>330</v>
      </c>
      <c r="D82" s="224"/>
      <c r="E82" s="114"/>
      <c r="F82" s="789"/>
      <c r="G82" s="790"/>
      <c r="H82" s="790"/>
      <c r="I82" s="790"/>
      <c r="J82" s="791"/>
      <c r="K82" s="221"/>
    </row>
    <row r="83" spans="1:11" ht="14.5" customHeight="1" thickBot="1" x14ac:dyDescent="0.35">
      <c r="A83" s="707" t="s">
        <v>265</v>
      </c>
      <c r="B83" s="708"/>
      <c r="C83" s="708"/>
      <c r="D83" s="708"/>
      <c r="E83" s="708"/>
      <c r="F83" s="708"/>
      <c r="G83" s="708"/>
      <c r="H83" s="708"/>
      <c r="I83" s="708"/>
      <c r="J83" s="709"/>
      <c r="K83" s="228"/>
    </row>
    <row r="84" spans="1:11" x14ac:dyDescent="0.3">
      <c r="A84" s="722" t="s">
        <v>575</v>
      </c>
      <c r="B84" s="723"/>
      <c r="C84" s="723"/>
      <c r="D84" s="723"/>
      <c r="E84" s="723"/>
      <c r="F84" s="723"/>
      <c r="G84" s="723"/>
      <c r="H84" s="723"/>
      <c r="I84" s="723"/>
      <c r="J84" s="724"/>
      <c r="K84" s="221"/>
    </row>
    <row r="85" spans="1:11" x14ac:dyDescent="0.3">
      <c r="A85" s="691" t="s">
        <v>372</v>
      </c>
      <c r="B85" s="692"/>
      <c r="C85" s="692"/>
      <c r="D85" s="692"/>
      <c r="E85" s="692"/>
      <c r="F85" s="692"/>
      <c r="G85" s="692"/>
      <c r="H85" s="692"/>
      <c r="I85" s="692"/>
      <c r="J85" s="693"/>
      <c r="K85" s="221"/>
    </row>
    <row r="86" spans="1:11" x14ac:dyDescent="0.3">
      <c r="A86" s="691" t="s">
        <v>373</v>
      </c>
      <c r="B86" s="692"/>
      <c r="C86" s="692"/>
      <c r="D86" s="692"/>
      <c r="E86" s="692"/>
      <c r="F86" s="692"/>
      <c r="G86" s="692"/>
      <c r="H86" s="692"/>
      <c r="I86" s="692"/>
      <c r="J86" s="693"/>
      <c r="K86" s="221"/>
    </row>
    <row r="87" spans="1:11" x14ac:dyDescent="0.3">
      <c r="A87" s="691" t="s">
        <v>556</v>
      </c>
      <c r="B87" s="692"/>
      <c r="C87" s="692"/>
      <c r="D87" s="692"/>
      <c r="E87" s="692"/>
      <c r="F87" s="692"/>
      <c r="G87" s="692"/>
      <c r="H87" s="692"/>
      <c r="I87" s="692"/>
      <c r="J87" s="693"/>
      <c r="K87" s="221" t="s">
        <v>45</v>
      </c>
    </row>
    <row r="88" spans="1:11" x14ac:dyDescent="0.3">
      <c r="A88" s="691" t="s">
        <v>410</v>
      </c>
      <c r="B88" s="692"/>
      <c r="C88" s="692"/>
      <c r="D88" s="692"/>
      <c r="E88" s="692"/>
      <c r="F88" s="692"/>
      <c r="G88" s="692"/>
      <c r="H88" s="692"/>
      <c r="I88" s="692"/>
      <c r="J88" s="693"/>
      <c r="K88" s="221"/>
    </row>
    <row r="89" spans="1:11" x14ac:dyDescent="0.3">
      <c r="A89" s="691" t="s">
        <v>268</v>
      </c>
      <c r="B89" s="692"/>
      <c r="C89" s="692"/>
      <c r="D89" s="692"/>
      <c r="E89" s="692"/>
      <c r="F89" s="692"/>
      <c r="G89" s="692"/>
      <c r="H89" s="692"/>
      <c r="I89" s="692"/>
      <c r="J89" s="693"/>
      <c r="K89" s="221"/>
    </row>
    <row r="90" spans="1:11" x14ac:dyDescent="0.3">
      <c r="A90" s="691" t="s">
        <v>558</v>
      </c>
      <c r="B90" s="692"/>
      <c r="C90" s="692"/>
      <c r="D90" s="692"/>
      <c r="E90" s="692"/>
      <c r="F90" s="692"/>
      <c r="G90" s="692"/>
      <c r="H90" s="692"/>
      <c r="I90" s="692"/>
      <c r="J90" s="693"/>
      <c r="K90" s="221" t="s">
        <v>45</v>
      </c>
    </row>
    <row r="91" spans="1:11" x14ac:dyDescent="0.3">
      <c r="A91" s="691" t="s">
        <v>559</v>
      </c>
      <c r="B91" s="692"/>
      <c r="C91" s="692"/>
      <c r="D91" s="692"/>
      <c r="E91" s="692"/>
      <c r="F91" s="692"/>
      <c r="G91" s="692"/>
      <c r="H91" s="692"/>
      <c r="I91" s="692"/>
      <c r="J91" s="693"/>
      <c r="K91" s="221"/>
    </row>
    <row r="92" spans="1:11" x14ac:dyDescent="0.3">
      <c r="A92" s="691"/>
      <c r="B92" s="692"/>
      <c r="C92" s="692"/>
      <c r="D92" s="692"/>
      <c r="E92" s="692"/>
      <c r="F92" s="692"/>
      <c r="G92" s="692"/>
      <c r="H92" s="692"/>
      <c r="I92" s="692"/>
      <c r="J92" s="693"/>
      <c r="K92" s="221"/>
    </row>
    <row r="93" spans="1:11" ht="15" customHeight="1" x14ac:dyDescent="0.3">
      <c r="A93" s="718"/>
      <c r="B93" s="719"/>
      <c r="C93" s="719"/>
      <c r="D93" s="719"/>
      <c r="E93" s="719"/>
      <c r="F93" s="719"/>
      <c r="G93" s="719"/>
      <c r="H93" s="719"/>
      <c r="I93" s="719"/>
      <c r="J93" s="720"/>
      <c r="K93" s="221"/>
    </row>
    <row r="94" spans="1:11" ht="15" customHeight="1" x14ac:dyDescent="0.3">
      <c r="A94" s="718"/>
      <c r="B94" s="719"/>
      <c r="C94" s="719"/>
      <c r="D94" s="719"/>
      <c r="E94" s="719"/>
      <c r="F94" s="719"/>
      <c r="G94" s="719"/>
      <c r="H94" s="719"/>
      <c r="I94" s="719"/>
      <c r="J94" s="720"/>
      <c r="K94" s="221"/>
    </row>
    <row r="95" spans="1:11" ht="15" customHeight="1" thickBot="1" x14ac:dyDescent="0.35">
      <c r="A95" s="712"/>
      <c r="B95" s="713"/>
      <c r="C95" s="713"/>
      <c r="D95" s="713"/>
      <c r="E95" s="713"/>
      <c r="F95" s="713"/>
      <c r="G95" s="713"/>
      <c r="H95" s="713"/>
      <c r="I95" s="713"/>
      <c r="J95" s="714"/>
      <c r="K95" s="219"/>
    </row>
    <row r="96" spans="1:11" ht="14.5" customHeight="1" thickBot="1" x14ac:dyDescent="0.35">
      <c r="A96" s="715" t="s">
        <v>269</v>
      </c>
      <c r="B96" s="716"/>
      <c r="C96" s="716"/>
      <c r="D96" s="716"/>
      <c r="E96" s="716"/>
      <c r="F96" s="716"/>
      <c r="G96" s="716"/>
      <c r="H96" s="716"/>
      <c r="I96" s="716"/>
      <c r="J96" s="716"/>
      <c r="K96" s="717"/>
    </row>
  </sheetData>
  <mergeCells count="78">
    <mergeCell ref="C11:F11"/>
    <mergeCell ref="G11:J11"/>
    <mergeCell ref="A1:K1"/>
    <mergeCell ref="A2:B5"/>
    <mergeCell ref="D2:G2"/>
    <mergeCell ref="H2:K2"/>
    <mergeCell ref="D3:G3"/>
    <mergeCell ref="H3:K3"/>
    <mergeCell ref="D4:G4"/>
    <mergeCell ref="D5:G5"/>
    <mergeCell ref="A6:K6"/>
    <mergeCell ref="A7:J7"/>
    <mergeCell ref="C8:J8"/>
    <mergeCell ref="C9:J9"/>
    <mergeCell ref="C10:J10"/>
    <mergeCell ref="G30:J30"/>
    <mergeCell ref="D12:F12"/>
    <mergeCell ref="H12:J12"/>
    <mergeCell ref="C13:J13"/>
    <mergeCell ref="A15:J15"/>
    <mergeCell ref="G16:J16"/>
    <mergeCell ref="G17:J28"/>
    <mergeCell ref="B21:F21"/>
    <mergeCell ref="D22:F22"/>
    <mergeCell ref="D23:F23"/>
    <mergeCell ref="D24:F24"/>
    <mergeCell ref="D25:F25"/>
    <mergeCell ref="D26:F26"/>
    <mergeCell ref="D27:F27"/>
    <mergeCell ref="D28:F28"/>
    <mergeCell ref="A29:J29"/>
    <mergeCell ref="G50:J54"/>
    <mergeCell ref="G31:J41"/>
    <mergeCell ref="D37:F37"/>
    <mergeCell ref="D39:F39"/>
    <mergeCell ref="D40:F40"/>
    <mergeCell ref="A42:J42"/>
    <mergeCell ref="G43:J43"/>
    <mergeCell ref="D44:F44"/>
    <mergeCell ref="G44:J47"/>
    <mergeCell ref="D46:F46"/>
    <mergeCell ref="A48:J48"/>
    <mergeCell ref="G49:J49"/>
    <mergeCell ref="A55:J55"/>
    <mergeCell ref="D56:F56"/>
    <mergeCell ref="G56:J56"/>
    <mergeCell ref="D57:F57"/>
    <mergeCell ref="G57:J61"/>
    <mergeCell ref="D58:F58"/>
    <mergeCell ref="D59:F59"/>
    <mergeCell ref="D60:F60"/>
    <mergeCell ref="D61:F61"/>
    <mergeCell ref="A62:J62"/>
    <mergeCell ref="D63:F63"/>
    <mergeCell ref="G63:J63"/>
    <mergeCell ref="D64:F64"/>
    <mergeCell ref="G64:J68"/>
    <mergeCell ref="D65:F65"/>
    <mergeCell ref="D66:F66"/>
    <mergeCell ref="D67:F67"/>
    <mergeCell ref="D68:F68"/>
    <mergeCell ref="A69:J69"/>
    <mergeCell ref="F70:J70"/>
    <mergeCell ref="A83:J83"/>
    <mergeCell ref="A84:J84"/>
    <mergeCell ref="F71:J82"/>
    <mergeCell ref="A96:K96"/>
    <mergeCell ref="A85:J85"/>
    <mergeCell ref="A86:J86"/>
    <mergeCell ref="A87:J87"/>
    <mergeCell ref="A88:J88"/>
    <mergeCell ref="A89:J89"/>
    <mergeCell ref="A90:J90"/>
    <mergeCell ref="A91:J91"/>
    <mergeCell ref="A92:J92"/>
    <mergeCell ref="A93:J93"/>
    <mergeCell ref="A94:J94"/>
    <mergeCell ref="A95:J95"/>
  </mergeCells>
  <pageMargins left="0.70866141699999996" right="0.20866032400000001" top="0.56999999999999995" bottom="0.24803040200000001" header="6.4960629921259797E-2" footer="0.31496062992126"/>
  <pageSetup scale="84" fitToHeight="0" orientation="portrait" horizontalDpi="1200" verticalDpi="1200" r:id="rId1"/>
  <headerFooter>
    <oddFooter>Page &amp;P of &amp;N</oddFooter>
  </headerFooter>
  <rowBreaks count="1" manualBreakCount="1">
    <brk id="61"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Check Box 1">
              <controlPr defaultSize="0" autoFill="0" autoLine="0" autoPict="0">
                <anchor moveWithCells="1">
                  <from>
                    <xdr:col>3</xdr:col>
                    <xdr:colOff>260350</xdr:colOff>
                    <xdr:row>69</xdr:row>
                    <xdr:rowOff>146050</xdr:rowOff>
                  </from>
                  <to>
                    <xdr:col>4</xdr:col>
                    <xdr:colOff>0</xdr:colOff>
                    <xdr:row>71</xdr:row>
                    <xdr:rowOff>50800</xdr:rowOff>
                  </to>
                </anchor>
              </controlPr>
            </control>
          </mc:Choice>
        </mc:AlternateContent>
        <mc:AlternateContent xmlns:mc="http://schemas.openxmlformats.org/markup-compatibility/2006">
          <mc:Choice Requires="x14">
            <control shapeId="25602" r:id="rId5" name="Check Box 2">
              <controlPr defaultSize="0" autoFill="0" autoLine="0" autoPict="0">
                <anchor moveWithCells="1">
                  <from>
                    <xdr:col>3</xdr:col>
                    <xdr:colOff>260350</xdr:colOff>
                    <xdr:row>78</xdr:row>
                    <xdr:rowOff>146050</xdr:rowOff>
                  </from>
                  <to>
                    <xdr:col>4</xdr:col>
                    <xdr:colOff>0</xdr:colOff>
                    <xdr:row>80</xdr:row>
                    <xdr:rowOff>0</xdr:rowOff>
                  </to>
                </anchor>
              </controlPr>
            </control>
          </mc:Choice>
        </mc:AlternateContent>
        <mc:AlternateContent xmlns:mc="http://schemas.openxmlformats.org/markup-compatibility/2006">
          <mc:Choice Requires="x14">
            <control shapeId="25603" r:id="rId6" name="Check Box 3">
              <controlPr defaultSize="0" autoFill="0" autoLine="0" autoPict="0">
                <anchor moveWithCells="1">
                  <from>
                    <xdr:col>3</xdr:col>
                    <xdr:colOff>260350</xdr:colOff>
                    <xdr:row>79</xdr:row>
                    <xdr:rowOff>152400</xdr:rowOff>
                  </from>
                  <to>
                    <xdr:col>4</xdr:col>
                    <xdr:colOff>0</xdr:colOff>
                    <xdr:row>81</xdr:row>
                    <xdr:rowOff>0</xdr:rowOff>
                  </to>
                </anchor>
              </controlPr>
            </control>
          </mc:Choice>
        </mc:AlternateContent>
        <mc:AlternateContent xmlns:mc="http://schemas.openxmlformats.org/markup-compatibility/2006">
          <mc:Choice Requires="x14">
            <control shapeId="25604" r:id="rId7" name="Check Box 4">
              <controlPr defaultSize="0" autoFill="0" autoLine="0" autoPict="0">
                <anchor moveWithCells="1">
                  <from>
                    <xdr:col>4</xdr:col>
                    <xdr:colOff>241300</xdr:colOff>
                    <xdr:row>69</xdr:row>
                    <xdr:rowOff>146050</xdr:rowOff>
                  </from>
                  <to>
                    <xdr:col>5</xdr:col>
                    <xdr:colOff>0</xdr:colOff>
                    <xdr:row>71</xdr:row>
                    <xdr:rowOff>31750</xdr:rowOff>
                  </to>
                </anchor>
              </controlPr>
            </control>
          </mc:Choice>
        </mc:AlternateContent>
        <mc:AlternateContent xmlns:mc="http://schemas.openxmlformats.org/markup-compatibility/2006">
          <mc:Choice Requires="x14">
            <control shapeId="25605" r:id="rId8" name="Check Box 5">
              <controlPr defaultSize="0" autoFill="0" autoLine="0" autoPict="0">
                <anchor moveWithCells="1">
                  <from>
                    <xdr:col>4</xdr:col>
                    <xdr:colOff>241300</xdr:colOff>
                    <xdr:row>78</xdr:row>
                    <xdr:rowOff>165100</xdr:rowOff>
                  </from>
                  <to>
                    <xdr:col>5</xdr:col>
                    <xdr:colOff>0</xdr:colOff>
                    <xdr:row>80</xdr:row>
                    <xdr:rowOff>31750</xdr:rowOff>
                  </to>
                </anchor>
              </controlPr>
            </control>
          </mc:Choice>
        </mc:AlternateContent>
        <mc:AlternateContent xmlns:mc="http://schemas.openxmlformats.org/markup-compatibility/2006">
          <mc:Choice Requires="x14">
            <control shapeId="25606" r:id="rId9" name="Check Box 6">
              <controlPr defaultSize="0" autoFill="0" autoLine="0" autoPict="0">
                <anchor moveWithCells="1">
                  <from>
                    <xdr:col>4</xdr:col>
                    <xdr:colOff>228600</xdr:colOff>
                    <xdr:row>79</xdr:row>
                    <xdr:rowOff>152400</xdr:rowOff>
                  </from>
                  <to>
                    <xdr:col>5</xdr:col>
                    <xdr:colOff>0</xdr:colOff>
                    <xdr:row>81</xdr:row>
                    <xdr:rowOff>0</xdr:rowOff>
                  </to>
                </anchor>
              </controlPr>
            </control>
          </mc:Choice>
        </mc:AlternateContent>
        <mc:AlternateContent xmlns:mc="http://schemas.openxmlformats.org/markup-compatibility/2006">
          <mc:Choice Requires="x14">
            <control shapeId="25607" r:id="rId10" name="Check Box 7">
              <controlPr defaultSize="0" autoFill="0" autoLine="0" autoPict="0">
                <anchor moveWithCells="1">
                  <from>
                    <xdr:col>4</xdr:col>
                    <xdr:colOff>241300</xdr:colOff>
                    <xdr:row>80</xdr:row>
                    <xdr:rowOff>165100</xdr:rowOff>
                  </from>
                  <to>
                    <xdr:col>5</xdr:col>
                    <xdr:colOff>0</xdr:colOff>
                    <xdr:row>82</xdr:row>
                    <xdr:rowOff>12700</xdr:rowOff>
                  </to>
                </anchor>
              </controlPr>
            </control>
          </mc:Choice>
        </mc:AlternateContent>
        <mc:AlternateContent xmlns:mc="http://schemas.openxmlformats.org/markup-compatibility/2006">
          <mc:Choice Requires="x14">
            <control shapeId="25608" r:id="rId11" name="Check Box 8">
              <controlPr defaultSize="0" autoFill="0" autoLine="0" autoPict="0">
                <anchor moveWithCells="1">
                  <from>
                    <xdr:col>3</xdr:col>
                    <xdr:colOff>260350</xdr:colOff>
                    <xdr:row>74</xdr:row>
                    <xdr:rowOff>152400</xdr:rowOff>
                  </from>
                  <to>
                    <xdr:col>4</xdr:col>
                    <xdr:colOff>0</xdr:colOff>
                    <xdr:row>76</xdr:row>
                    <xdr:rowOff>0</xdr:rowOff>
                  </to>
                </anchor>
              </controlPr>
            </control>
          </mc:Choice>
        </mc:AlternateContent>
        <mc:AlternateContent xmlns:mc="http://schemas.openxmlformats.org/markup-compatibility/2006">
          <mc:Choice Requires="x14">
            <control shapeId="25609" r:id="rId12" name="Check Box 9">
              <controlPr defaultSize="0" autoFill="0" autoLine="0" autoPict="0">
                <anchor moveWithCells="1">
                  <from>
                    <xdr:col>4</xdr:col>
                    <xdr:colOff>241300</xdr:colOff>
                    <xdr:row>74</xdr:row>
                    <xdr:rowOff>165100</xdr:rowOff>
                  </from>
                  <to>
                    <xdr:col>5</xdr:col>
                    <xdr:colOff>0</xdr:colOff>
                    <xdr:row>76</xdr:row>
                    <xdr:rowOff>12700</xdr:rowOff>
                  </to>
                </anchor>
              </controlPr>
            </control>
          </mc:Choice>
        </mc:AlternateContent>
        <mc:AlternateContent xmlns:mc="http://schemas.openxmlformats.org/markup-compatibility/2006">
          <mc:Choice Requires="x14">
            <control shapeId="25610" r:id="rId13" name="Check Box 10">
              <controlPr defaultSize="0" autoFill="0" autoLine="0" autoPict="0">
                <anchor moveWithCells="1">
                  <from>
                    <xdr:col>3</xdr:col>
                    <xdr:colOff>260350</xdr:colOff>
                    <xdr:row>76</xdr:row>
                    <xdr:rowOff>152400</xdr:rowOff>
                  </from>
                  <to>
                    <xdr:col>4</xdr:col>
                    <xdr:colOff>0</xdr:colOff>
                    <xdr:row>78</xdr:row>
                    <xdr:rowOff>0</xdr:rowOff>
                  </to>
                </anchor>
              </controlPr>
            </control>
          </mc:Choice>
        </mc:AlternateContent>
        <mc:AlternateContent xmlns:mc="http://schemas.openxmlformats.org/markup-compatibility/2006">
          <mc:Choice Requires="x14">
            <control shapeId="25611" r:id="rId14" name="Check Box 11">
              <controlPr defaultSize="0" autoFill="0" autoLine="0" autoPict="0">
                <anchor moveWithCells="1">
                  <from>
                    <xdr:col>4</xdr:col>
                    <xdr:colOff>241300</xdr:colOff>
                    <xdr:row>76</xdr:row>
                    <xdr:rowOff>146050</xdr:rowOff>
                  </from>
                  <to>
                    <xdr:col>5</xdr:col>
                    <xdr:colOff>0</xdr:colOff>
                    <xdr:row>78</xdr:row>
                    <xdr:rowOff>0</xdr:rowOff>
                  </to>
                </anchor>
              </controlPr>
            </control>
          </mc:Choice>
        </mc:AlternateContent>
        <mc:AlternateContent xmlns:mc="http://schemas.openxmlformats.org/markup-compatibility/2006">
          <mc:Choice Requires="x14">
            <control shapeId="25612" r:id="rId15" name="Check Box 12">
              <controlPr defaultSize="0" autoFill="0" autoLine="0" autoPict="0">
                <anchor moveWithCells="1">
                  <from>
                    <xdr:col>3</xdr:col>
                    <xdr:colOff>260350</xdr:colOff>
                    <xdr:row>72</xdr:row>
                    <xdr:rowOff>146050</xdr:rowOff>
                  </from>
                  <to>
                    <xdr:col>4</xdr:col>
                    <xdr:colOff>0</xdr:colOff>
                    <xdr:row>74</xdr:row>
                    <xdr:rowOff>12700</xdr:rowOff>
                  </to>
                </anchor>
              </controlPr>
            </control>
          </mc:Choice>
        </mc:AlternateContent>
        <mc:AlternateContent xmlns:mc="http://schemas.openxmlformats.org/markup-compatibility/2006">
          <mc:Choice Requires="x14">
            <control shapeId="25613" r:id="rId16" name="Check Box 13">
              <controlPr defaultSize="0" autoFill="0" autoLine="0" autoPict="0">
                <anchor moveWithCells="1">
                  <from>
                    <xdr:col>4</xdr:col>
                    <xdr:colOff>241300</xdr:colOff>
                    <xdr:row>72</xdr:row>
                    <xdr:rowOff>146050</xdr:rowOff>
                  </from>
                  <to>
                    <xdr:col>5</xdr:col>
                    <xdr:colOff>0</xdr:colOff>
                    <xdr:row>74</xdr:row>
                    <xdr:rowOff>12700</xdr:rowOff>
                  </to>
                </anchor>
              </controlPr>
            </control>
          </mc:Choice>
        </mc:AlternateContent>
        <mc:AlternateContent xmlns:mc="http://schemas.openxmlformats.org/markup-compatibility/2006">
          <mc:Choice Requires="x14">
            <control shapeId="25614" r:id="rId17" name="Check Box 14">
              <controlPr defaultSize="0" autoFill="0" autoLine="0" autoPict="0">
                <anchor moveWithCells="1">
                  <from>
                    <xdr:col>3</xdr:col>
                    <xdr:colOff>260350</xdr:colOff>
                    <xdr:row>71</xdr:row>
                    <xdr:rowOff>146050</xdr:rowOff>
                  </from>
                  <to>
                    <xdr:col>4</xdr:col>
                    <xdr:colOff>0</xdr:colOff>
                    <xdr:row>73</xdr:row>
                    <xdr:rowOff>12700</xdr:rowOff>
                  </to>
                </anchor>
              </controlPr>
            </control>
          </mc:Choice>
        </mc:AlternateContent>
        <mc:AlternateContent xmlns:mc="http://schemas.openxmlformats.org/markup-compatibility/2006">
          <mc:Choice Requires="x14">
            <control shapeId="25615" r:id="rId18" name="Check Box 15">
              <controlPr defaultSize="0" autoFill="0" autoLine="0" autoPict="0">
                <anchor moveWithCells="1">
                  <from>
                    <xdr:col>4</xdr:col>
                    <xdr:colOff>241300</xdr:colOff>
                    <xdr:row>71</xdr:row>
                    <xdr:rowOff>146050</xdr:rowOff>
                  </from>
                  <to>
                    <xdr:col>5</xdr:col>
                    <xdr:colOff>0</xdr:colOff>
                    <xdr:row>73</xdr:row>
                    <xdr:rowOff>12700</xdr:rowOff>
                  </to>
                </anchor>
              </controlPr>
            </control>
          </mc:Choice>
        </mc:AlternateContent>
        <mc:AlternateContent xmlns:mc="http://schemas.openxmlformats.org/markup-compatibility/2006">
          <mc:Choice Requires="x14">
            <control shapeId="25616" r:id="rId19" name="Check Box 16">
              <controlPr defaultSize="0" autoFill="0" autoLine="0" autoPict="0">
                <anchor moveWithCells="1">
                  <from>
                    <xdr:col>2</xdr:col>
                    <xdr:colOff>203200</xdr:colOff>
                    <xdr:row>10</xdr:row>
                    <xdr:rowOff>165100</xdr:rowOff>
                  </from>
                  <to>
                    <xdr:col>2</xdr:col>
                    <xdr:colOff>609600</xdr:colOff>
                    <xdr:row>12</xdr:row>
                    <xdr:rowOff>31750</xdr:rowOff>
                  </to>
                </anchor>
              </controlPr>
            </control>
          </mc:Choice>
        </mc:AlternateContent>
        <mc:AlternateContent xmlns:mc="http://schemas.openxmlformats.org/markup-compatibility/2006">
          <mc:Choice Requires="x14">
            <control shapeId="25617" r:id="rId20" name="Check Box 17">
              <controlPr defaultSize="0" autoFill="0" autoLine="0" autoPict="0">
                <anchor moveWithCells="1">
                  <from>
                    <xdr:col>6</xdr:col>
                    <xdr:colOff>228600</xdr:colOff>
                    <xdr:row>10</xdr:row>
                    <xdr:rowOff>152400</xdr:rowOff>
                  </from>
                  <to>
                    <xdr:col>6</xdr:col>
                    <xdr:colOff>647700</xdr:colOff>
                    <xdr:row>12</xdr:row>
                    <xdr:rowOff>12700</xdr:rowOff>
                  </to>
                </anchor>
              </controlPr>
            </control>
          </mc:Choice>
        </mc:AlternateContent>
        <mc:AlternateContent xmlns:mc="http://schemas.openxmlformats.org/markup-compatibility/2006">
          <mc:Choice Requires="x14">
            <control shapeId="25618" r:id="rId21" name="Check Box 18">
              <controlPr defaultSize="0" autoFill="0" autoLine="0" autoPict="0">
                <anchor moveWithCells="1">
                  <from>
                    <xdr:col>3</xdr:col>
                    <xdr:colOff>260350</xdr:colOff>
                    <xdr:row>77</xdr:row>
                    <xdr:rowOff>152400</xdr:rowOff>
                  </from>
                  <to>
                    <xdr:col>4</xdr:col>
                    <xdr:colOff>0</xdr:colOff>
                    <xdr:row>79</xdr:row>
                    <xdr:rowOff>0</xdr:rowOff>
                  </to>
                </anchor>
              </controlPr>
            </control>
          </mc:Choice>
        </mc:AlternateContent>
        <mc:AlternateContent xmlns:mc="http://schemas.openxmlformats.org/markup-compatibility/2006">
          <mc:Choice Requires="x14">
            <control shapeId="25619" r:id="rId22" name="Check Box 19">
              <controlPr defaultSize="0" autoFill="0" autoLine="0" autoPict="0">
                <anchor moveWithCells="1">
                  <from>
                    <xdr:col>4</xdr:col>
                    <xdr:colOff>241300</xdr:colOff>
                    <xdr:row>77</xdr:row>
                    <xdr:rowOff>165100</xdr:rowOff>
                  </from>
                  <to>
                    <xdr:col>5</xdr:col>
                    <xdr:colOff>0</xdr:colOff>
                    <xdr:row>79</xdr:row>
                    <xdr:rowOff>31750</xdr:rowOff>
                  </to>
                </anchor>
              </controlPr>
            </control>
          </mc:Choice>
        </mc:AlternateContent>
        <mc:AlternateContent xmlns:mc="http://schemas.openxmlformats.org/markup-compatibility/2006">
          <mc:Choice Requires="x14">
            <control shapeId="25620" r:id="rId23" name="Check Box 20">
              <controlPr defaultSize="0" autoFill="0" autoLine="0" autoPict="0">
                <anchor moveWithCells="1">
                  <from>
                    <xdr:col>3</xdr:col>
                    <xdr:colOff>260350</xdr:colOff>
                    <xdr:row>80</xdr:row>
                    <xdr:rowOff>165100</xdr:rowOff>
                  </from>
                  <to>
                    <xdr:col>4</xdr:col>
                    <xdr:colOff>0</xdr:colOff>
                    <xdr:row>82</xdr:row>
                    <xdr:rowOff>12700</xdr:rowOff>
                  </to>
                </anchor>
              </controlPr>
            </control>
          </mc:Choice>
        </mc:AlternateContent>
        <mc:AlternateContent xmlns:mc="http://schemas.openxmlformats.org/markup-compatibility/2006">
          <mc:Choice Requires="x14">
            <control shapeId="25621" r:id="rId24" name="Check Box 21">
              <controlPr defaultSize="0" autoFill="0" autoLine="0" autoPict="0">
                <anchor moveWithCells="1">
                  <from>
                    <xdr:col>2</xdr:col>
                    <xdr:colOff>12700</xdr:colOff>
                    <xdr:row>12</xdr:row>
                    <xdr:rowOff>165100</xdr:rowOff>
                  </from>
                  <to>
                    <xdr:col>2</xdr:col>
                    <xdr:colOff>431800</xdr:colOff>
                    <xdr:row>14</xdr:row>
                    <xdr:rowOff>31750</xdr:rowOff>
                  </to>
                </anchor>
              </controlPr>
            </control>
          </mc:Choice>
        </mc:AlternateContent>
        <mc:AlternateContent xmlns:mc="http://schemas.openxmlformats.org/markup-compatibility/2006">
          <mc:Choice Requires="x14">
            <control shapeId="25622" r:id="rId25" name="Check Box 22">
              <controlPr defaultSize="0" autoFill="0" autoLine="0" autoPict="0">
                <anchor moveWithCells="1">
                  <from>
                    <xdr:col>6</xdr:col>
                    <xdr:colOff>755650</xdr:colOff>
                    <xdr:row>12</xdr:row>
                    <xdr:rowOff>184150</xdr:rowOff>
                  </from>
                  <to>
                    <xdr:col>7</xdr:col>
                    <xdr:colOff>412750</xdr:colOff>
                    <xdr:row>14</xdr:row>
                    <xdr:rowOff>31750</xdr:rowOff>
                  </to>
                </anchor>
              </controlPr>
            </control>
          </mc:Choice>
        </mc:AlternateContent>
        <mc:AlternateContent xmlns:mc="http://schemas.openxmlformats.org/markup-compatibility/2006">
          <mc:Choice Requires="x14">
            <control shapeId="25623" r:id="rId26" name="Check Box 23">
              <controlPr defaultSize="0" autoFill="0" autoLine="0" autoPict="0">
                <anchor moveWithCells="1">
                  <from>
                    <xdr:col>4</xdr:col>
                    <xdr:colOff>431800</xdr:colOff>
                    <xdr:row>12</xdr:row>
                    <xdr:rowOff>165100</xdr:rowOff>
                  </from>
                  <to>
                    <xdr:col>5</xdr:col>
                    <xdr:colOff>184150</xdr:colOff>
                    <xdr:row>14</xdr:row>
                    <xdr:rowOff>31750</xdr:rowOff>
                  </to>
                </anchor>
              </controlPr>
            </control>
          </mc:Choice>
        </mc:AlternateContent>
        <mc:AlternateContent xmlns:mc="http://schemas.openxmlformats.org/markup-compatibility/2006">
          <mc:Choice Requires="x14">
            <control shapeId="25624" r:id="rId27" name="Check Box 24">
              <controlPr defaultSize="0" autoFill="0" autoLine="0" autoPict="0">
                <anchor moveWithCells="1">
                  <from>
                    <xdr:col>3</xdr:col>
                    <xdr:colOff>260350</xdr:colOff>
                    <xdr:row>70</xdr:row>
                    <xdr:rowOff>146050</xdr:rowOff>
                  </from>
                  <to>
                    <xdr:col>4</xdr:col>
                    <xdr:colOff>0</xdr:colOff>
                    <xdr:row>72</xdr:row>
                    <xdr:rowOff>12700</xdr:rowOff>
                  </to>
                </anchor>
              </controlPr>
            </control>
          </mc:Choice>
        </mc:AlternateContent>
        <mc:AlternateContent xmlns:mc="http://schemas.openxmlformats.org/markup-compatibility/2006">
          <mc:Choice Requires="x14">
            <control shapeId="25625" r:id="rId28" name="Check Box 25">
              <controlPr defaultSize="0" autoFill="0" autoLine="0" autoPict="0">
                <anchor moveWithCells="1">
                  <from>
                    <xdr:col>4</xdr:col>
                    <xdr:colOff>241300</xdr:colOff>
                    <xdr:row>70</xdr:row>
                    <xdr:rowOff>146050</xdr:rowOff>
                  </from>
                  <to>
                    <xdr:col>5</xdr:col>
                    <xdr:colOff>0</xdr:colOff>
                    <xdr:row>72</xdr:row>
                    <xdr:rowOff>12700</xdr:rowOff>
                  </to>
                </anchor>
              </controlPr>
            </control>
          </mc:Choice>
        </mc:AlternateContent>
        <mc:AlternateContent xmlns:mc="http://schemas.openxmlformats.org/markup-compatibility/2006">
          <mc:Choice Requires="x14">
            <control shapeId="25626" r:id="rId29" name="Check Box 26">
              <controlPr defaultSize="0" autoFill="0" autoLine="0" autoPict="0">
                <anchor moveWithCells="1">
                  <from>
                    <xdr:col>4</xdr:col>
                    <xdr:colOff>241300</xdr:colOff>
                    <xdr:row>70</xdr:row>
                    <xdr:rowOff>146050</xdr:rowOff>
                  </from>
                  <to>
                    <xdr:col>5</xdr:col>
                    <xdr:colOff>0</xdr:colOff>
                    <xdr:row>72</xdr:row>
                    <xdr:rowOff>12700</xdr:rowOff>
                  </to>
                </anchor>
              </controlPr>
            </control>
          </mc:Choice>
        </mc:AlternateContent>
        <mc:AlternateContent xmlns:mc="http://schemas.openxmlformats.org/markup-compatibility/2006">
          <mc:Choice Requires="x14">
            <control shapeId="25627" r:id="rId30" name="Check Box 27">
              <controlPr defaultSize="0" autoFill="0" autoLine="0" autoPict="0">
                <anchor moveWithCells="1">
                  <from>
                    <xdr:col>4</xdr:col>
                    <xdr:colOff>241300</xdr:colOff>
                    <xdr:row>72</xdr:row>
                    <xdr:rowOff>146050</xdr:rowOff>
                  </from>
                  <to>
                    <xdr:col>5</xdr:col>
                    <xdr:colOff>0</xdr:colOff>
                    <xdr:row>74</xdr:row>
                    <xdr:rowOff>12700</xdr:rowOff>
                  </to>
                </anchor>
              </controlPr>
            </control>
          </mc:Choice>
        </mc:AlternateContent>
        <mc:AlternateContent xmlns:mc="http://schemas.openxmlformats.org/markup-compatibility/2006">
          <mc:Choice Requires="x14">
            <control shapeId="25628" r:id="rId31" name="Check Box 28">
              <controlPr defaultSize="0" autoFill="0" autoLine="0" autoPict="0">
                <anchor moveWithCells="1">
                  <from>
                    <xdr:col>4</xdr:col>
                    <xdr:colOff>241300</xdr:colOff>
                    <xdr:row>71</xdr:row>
                    <xdr:rowOff>146050</xdr:rowOff>
                  </from>
                  <to>
                    <xdr:col>5</xdr:col>
                    <xdr:colOff>0</xdr:colOff>
                    <xdr:row>73</xdr:row>
                    <xdr:rowOff>12700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120EB-40FA-4336-ABDE-7C24E883DE53}">
  <sheetPr>
    <pageSetUpPr fitToPage="1"/>
  </sheetPr>
  <dimension ref="A1:Q95"/>
  <sheetViews>
    <sheetView topLeftCell="A13" zoomScale="85" zoomScaleNormal="85" workbookViewId="0">
      <selection activeCell="D66" sqref="D66:F66"/>
    </sheetView>
  </sheetViews>
  <sheetFormatPr defaultColWidth="8.81640625" defaultRowHeight="13" x14ac:dyDescent="0.3"/>
  <cols>
    <col min="1" max="1" width="3.453125" style="152" customWidth="1"/>
    <col min="2" max="2" width="29.81640625" style="104" customWidth="1"/>
    <col min="3" max="3" width="10.1796875" style="104" customWidth="1"/>
    <col min="4" max="4" width="9.81640625" style="104" bestFit="1" customWidth="1"/>
    <col min="5" max="5" width="9.453125" style="104" bestFit="1" customWidth="1"/>
    <col min="6" max="6" width="9.1796875" style="104" customWidth="1"/>
    <col min="7" max="7" width="10.81640625" style="104" customWidth="1"/>
    <col min="8" max="8" width="8.54296875" style="104" bestFit="1" customWidth="1"/>
    <col min="9" max="9" width="6.81640625" style="104" bestFit="1" customWidth="1"/>
    <col min="10" max="10" width="7.1796875" style="104" customWidth="1"/>
    <col min="11" max="11" width="5" style="104" customWidth="1"/>
    <col min="12" max="12" width="8.81640625" style="104"/>
    <col min="13" max="13" width="19.453125" style="104" bestFit="1" customWidth="1"/>
    <col min="14" max="14" width="8.81640625" style="104"/>
    <col min="15" max="15" width="31" style="104" bestFit="1" customWidth="1"/>
    <col min="16" max="17" width="47" style="104" bestFit="1" customWidth="1"/>
    <col min="18" max="16384" width="8.81640625" style="104"/>
  </cols>
  <sheetData>
    <row r="1" spans="1:17" ht="13.5" thickBot="1" x14ac:dyDescent="0.35">
      <c r="A1" s="707" t="s">
        <v>224</v>
      </c>
      <c r="B1" s="708"/>
      <c r="C1" s="708"/>
      <c r="D1" s="708"/>
      <c r="E1" s="708"/>
      <c r="F1" s="708"/>
      <c r="G1" s="708"/>
      <c r="H1" s="708"/>
      <c r="I1" s="708"/>
      <c r="J1" s="708"/>
      <c r="K1" s="709"/>
    </row>
    <row r="2" spans="1:17" ht="14.5" customHeight="1" x14ac:dyDescent="0.3">
      <c r="A2" s="731"/>
      <c r="B2" s="732"/>
      <c r="C2" s="160" t="s">
        <v>219</v>
      </c>
      <c r="D2" s="737" t="s">
        <v>220</v>
      </c>
      <c r="E2" s="737"/>
      <c r="F2" s="737"/>
      <c r="G2" s="737"/>
      <c r="H2" s="738" t="s">
        <v>274</v>
      </c>
      <c r="I2" s="738"/>
      <c r="J2" s="738"/>
      <c r="K2" s="739"/>
    </row>
    <row r="3" spans="1:17" ht="14.5" customHeight="1" x14ac:dyDescent="0.3">
      <c r="A3" s="733"/>
      <c r="B3" s="734"/>
      <c r="C3" s="157" t="s">
        <v>210</v>
      </c>
      <c r="D3" s="602" t="s">
        <v>332</v>
      </c>
      <c r="E3" s="602"/>
      <c r="F3" s="602"/>
      <c r="G3" s="602"/>
      <c r="H3" s="593" t="s">
        <v>223</v>
      </c>
      <c r="I3" s="593"/>
      <c r="J3" s="593"/>
      <c r="K3" s="740"/>
    </row>
    <row r="4" spans="1:17" ht="14.5" customHeight="1" x14ac:dyDescent="0.3">
      <c r="A4" s="733"/>
      <c r="B4" s="734"/>
      <c r="C4" s="157" t="s">
        <v>212</v>
      </c>
      <c r="D4" s="602" t="s">
        <v>226</v>
      </c>
      <c r="E4" s="602"/>
      <c r="F4" s="602"/>
      <c r="G4" s="602"/>
      <c r="H4" s="105" t="s">
        <v>231</v>
      </c>
      <c r="I4" s="105" t="s">
        <v>229</v>
      </c>
      <c r="J4" s="105" t="s">
        <v>230</v>
      </c>
      <c r="K4" s="111" t="s">
        <v>235</v>
      </c>
    </row>
    <row r="5" spans="1:17" ht="15" customHeight="1" thickBot="1" x14ac:dyDescent="0.35">
      <c r="A5" s="735"/>
      <c r="B5" s="736"/>
      <c r="C5" s="159" t="s">
        <v>227</v>
      </c>
      <c r="D5" s="741" t="s">
        <v>228</v>
      </c>
      <c r="E5" s="741"/>
      <c r="F5" s="741"/>
      <c r="G5" s="741"/>
      <c r="H5" s="102" t="s">
        <v>232</v>
      </c>
      <c r="I5" s="102" t="s">
        <v>234</v>
      </c>
      <c r="J5" s="102" t="s">
        <v>233</v>
      </c>
      <c r="K5" s="103" t="s">
        <v>46</v>
      </c>
    </row>
    <row r="6" spans="1:17" ht="8.15" customHeight="1" thickBot="1" x14ac:dyDescent="0.35">
      <c r="A6" s="742"/>
      <c r="B6" s="743"/>
      <c r="C6" s="743"/>
      <c r="D6" s="743"/>
      <c r="E6" s="743"/>
      <c r="F6" s="743"/>
      <c r="G6" s="743"/>
      <c r="H6" s="743"/>
      <c r="I6" s="743"/>
      <c r="J6" s="743"/>
      <c r="K6" s="744"/>
    </row>
    <row r="7" spans="1:17" ht="13.5" thickBot="1" x14ac:dyDescent="0.35">
      <c r="A7" s="745" t="s">
        <v>236</v>
      </c>
      <c r="B7" s="746"/>
      <c r="C7" s="746"/>
      <c r="D7" s="746"/>
      <c r="E7" s="746"/>
      <c r="F7" s="746"/>
      <c r="G7" s="746"/>
      <c r="H7" s="746"/>
      <c r="I7" s="746"/>
      <c r="J7" s="747"/>
      <c r="K7" s="110" t="s">
        <v>211</v>
      </c>
      <c r="M7" s="104" t="s">
        <v>6</v>
      </c>
      <c r="O7" s="137">
        <v>12</v>
      </c>
      <c r="P7" s="137" t="s">
        <v>416</v>
      </c>
      <c r="Q7" s="137" t="s">
        <v>416</v>
      </c>
    </row>
    <row r="8" spans="1:17" x14ac:dyDescent="0.3">
      <c r="A8" s="147">
        <v>1</v>
      </c>
      <c r="B8" s="160" t="s">
        <v>277</v>
      </c>
      <c r="C8" s="737" t="s">
        <v>412</v>
      </c>
      <c r="D8" s="737"/>
      <c r="E8" s="737"/>
      <c r="F8" s="737"/>
      <c r="G8" s="737"/>
      <c r="H8" s="737"/>
      <c r="I8" s="737"/>
      <c r="J8" s="748"/>
      <c r="K8" s="108"/>
      <c r="M8" s="104" t="s">
        <v>14</v>
      </c>
      <c r="O8" s="104" t="str">
        <f>HLOOKUP(O7,'Property Calc_Design Flow'!$E$2:$ED$3,2,FALSE)</f>
        <v>RECYCLE GAS TO RECYCLE GAS COMPRESSOR</v>
      </c>
      <c r="P8" s="104" t="e">
        <f>HLOOKUP(P7,'Property Calc_Design Flow'!$E$2:$ED$3,2,FALSE)</f>
        <v>#N/A</v>
      </c>
      <c r="Q8" s="104" t="e">
        <f>HLOOKUP(Q7,'Property Calc_Design Flow'!$E$2:$ED$3,2,FALSE)</f>
        <v>#N/A</v>
      </c>
    </row>
    <row r="9" spans="1:17" ht="14.5" x14ac:dyDescent="0.35">
      <c r="A9" s="148">
        <f>A8+1</f>
        <v>2</v>
      </c>
      <c r="B9" s="157" t="s">
        <v>275</v>
      </c>
      <c r="C9" s="602" t="s">
        <v>413</v>
      </c>
      <c r="D9" s="602"/>
      <c r="E9" s="602"/>
      <c r="F9" s="602"/>
      <c r="G9" s="602"/>
      <c r="H9" s="602"/>
      <c r="I9" s="602"/>
      <c r="J9" s="749"/>
      <c r="K9" s="108"/>
      <c r="M9" s="19" t="s">
        <v>1</v>
      </c>
      <c r="N9" s="73" t="s">
        <v>5</v>
      </c>
      <c r="O9" s="73">
        <f>HLOOKUP(O$8,'Property Calc_Design Flow'!$E$3:$EJ$25,MATCH(M9,'Property Calc_Design Flow'!$C$3:$C$24,0),FALSE)</f>
        <v>2</v>
      </c>
      <c r="P9" s="73" t="e">
        <f>HLOOKUP(P$8,'Property Calc_Design Flow'!$E$3:$EJ$25,MATCH(M9,'Property Calc_Design Flow'!$C$3:$C$24,0),FALSE)</f>
        <v>#N/A</v>
      </c>
      <c r="Q9" s="73" t="e">
        <f>HLOOKUP(Q$8,'Property Calc_Design Flow'!$E$3:$EJ$25,MATCH(M9,'Property Calc_Design Flow'!$C$3:$C$24,0),FALSE)</f>
        <v>#N/A</v>
      </c>
    </row>
    <row r="10" spans="1:17" ht="14.5" x14ac:dyDescent="0.35">
      <c r="A10" s="149">
        <f>A9+1</f>
        <v>3</v>
      </c>
      <c r="B10" s="136" t="s">
        <v>279</v>
      </c>
      <c r="C10" s="602" t="s">
        <v>414</v>
      </c>
      <c r="D10" s="602"/>
      <c r="E10" s="602"/>
      <c r="F10" s="602"/>
      <c r="G10" s="602"/>
      <c r="H10" s="602"/>
      <c r="I10" s="602"/>
      <c r="J10" s="749"/>
      <c r="K10" s="108"/>
      <c r="M10" s="19" t="s">
        <v>0</v>
      </c>
      <c r="N10" s="73" t="s">
        <v>4</v>
      </c>
      <c r="O10" s="73">
        <f>HLOOKUP(O$8,'Property Calc_Design Flow'!$E$3:$EJ$25,MATCH(M10,'Property Calc_Design Flow'!$C$3:$C$24,0),FALSE)</f>
        <v>62.4</v>
      </c>
      <c r="P10" s="73" t="e">
        <f>HLOOKUP(P$8,'Property Calc_Design Flow'!$E$3:$EJ$25,MATCH(M10,'Property Calc_Design Flow'!$C$3:$C$24,0),FALSE)</f>
        <v>#N/A</v>
      </c>
      <c r="Q10" s="73" t="e">
        <f>HLOOKUP(Q$8,'Property Calc_Design Flow'!$E$3:$EJ$25,MATCH(M10,'Property Calc_Design Flow'!$C$3:$C$24,0),FALSE)</f>
        <v>#N/A</v>
      </c>
    </row>
    <row r="11" spans="1:17" ht="14.5" x14ac:dyDescent="0.35">
      <c r="A11" s="149">
        <f>A10+1</f>
        <v>4</v>
      </c>
      <c r="B11" s="136" t="s">
        <v>355</v>
      </c>
      <c r="C11" s="146"/>
      <c r="D11" s="692" t="s">
        <v>356</v>
      </c>
      <c r="E11" s="692"/>
      <c r="F11" s="703"/>
      <c r="G11" s="145"/>
      <c r="H11" s="692" t="s">
        <v>357</v>
      </c>
      <c r="I11" s="692"/>
      <c r="J11" s="693"/>
      <c r="K11" s="108"/>
      <c r="M11" s="19" t="s">
        <v>26</v>
      </c>
      <c r="N11" s="73" t="s">
        <v>27</v>
      </c>
      <c r="O11" s="73">
        <f>HLOOKUP(O$8,'Property Calc_Design Flow'!$E$3:$EJ$25,MATCH(M11,'Property Calc_Design Flow'!$C$3:$C$24,0),FALSE)</f>
        <v>1775.3656652646953</v>
      </c>
      <c r="P11" s="73" t="e">
        <f>HLOOKUP(P$8,'Property Calc_Design Flow'!$E$3:$EJ$25,MATCH(M11,'Property Calc_Design Flow'!$C$3:$C$24,0),FALSE)</f>
        <v>#N/A</v>
      </c>
      <c r="Q11" s="73" t="e">
        <f>HLOOKUP(Q$8,'Property Calc_Design Flow'!$E$3:$EJ$25,MATCH(M11,'Property Calc_Design Flow'!$C$3:$C$24,0),FALSE)</f>
        <v>#N/A</v>
      </c>
    </row>
    <row r="12" spans="1:17" ht="14.5" x14ac:dyDescent="0.35">
      <c r="A12" s="148">
        <f>A11+1</f>
        <v>5</v>
      </c>
      <c r="B12" s="157" t="s">
        <v>225</v>
      </c>
      <c r="C12" s="602" t="s">
        <v>415</v>
      </c>
      <c r="D12" s="602"/>
      <c r="E12" s="602"/>
      <c r="F12" s="602"/>
      <c r="G12" s="602"/>
      <c r="H12" s="602"/>
      <c r="I12" s="602"/>
      <c r="J12" s="749"/>
      <c r="K12" s="108"/>
      <c r="M12" s="19" t="s">
        <v>28</v>
      </c>
      <c r="N12" s="73" t="s">
        <v>29</v>
      </c>
      <c r="O12" s="73">
        <f>HLOOKUP(O$8,'Property Calc_Design Flow'!$E$3:$EJ$25,MATCH(M12,'Property Calc_Design Flow'!$C$3:$C$24,0),FALSE)</f>
        <v>1569.959701284416</v>
      </c>
      <c r="P12" s="73" t="e">
        <f>HLOOKUP(P$8,'Property Calc_Design Flow'!$E$3:$EJ$25,MATCH(M12,'Property Calc_Design Flow'!$C$3:$C$24,0),FALSE)</f>
        <v>#N/A</v>
      </c>
      <c r="Q12" s="73" t="e">
        <f>HLOOKUP(Q$8,'Property Calc_Design Flow'!$E$3:$EJ$25,MATCH(M12,'Property Calc_Design Flow'!$C$3:$C$24,0),FALSE)</f>
        <v>#N/A</v>
      </c>
    </row>
    <row r="13" spans="1:17" ht="15" thickBot="1" x14ac:dyDescent="0.4">
      <c r="A13" s="163">
        <f>A12+1</f>
        <v>6</v>
      </c>
      <c r="B13" s="161" t="s">
        <v>392</v>
      </c>
      <c r="C13" s="173" t="s">
        <v>393</v>
      </c>
      <c r="D13" s="161"/>
      <c r="E13" s="164"/>
      <c r="F13" s="161" t="s">
        <v>394</v>
      </c>
      <c r="G13" s="161"/>
      <c r="H13" s="165" t="s">
        <v>395</v>
      </c>
      <c r="I13" s="161"/>
      <c r="J13" s="162"/>
      <c r="K13" s="108"/>
      <c r="M13" s="19"/>
      <c r="N13" s="73"/>
      <c r="O13" s="73"/>
      <c r="P13" s="73"/>
      <c r="Q13" s="73"/>
    </row>
    <row r="14" spans="1:17" ht="15" thickBot="1" x14ac:dyDescent="0.4">
      <c r="A14" s="707" t="s">
        <v>284</v>
      </c>
      <c r="B14" s="708"/>
      <c r="C14" s="708"/>
      <c r="D14" s="708"/>
      <c r="E14" s="708"/>
      <c r="F14" s="708"/>
      <c r="G14" s="708"/>
      <c r="H14" s="708"/>
      <c r="I14" s="708"/>
      <c r="J14" s="709"/>
      <c r="K14" s="109"/>
      <c r="M14" s="19" t="s">
        <v>2</v>
      </c>
      <c r="N14" s="73" t="s">
        <v>3</v>
      </c>
      <c r="O14" s="73">
        <f>HLOOKUP(O$8,'Property Calc_Design Flow'!$E$3:$EJ$25,MATCH(M14,'Property Calc_Design Flow'!$C$3:$C$24,0),FALSE)</f>
        <v>8176.3774392939749</v>
      </c>
      <c r="P14" s="73" t="e">
        <f>HLOOKUP(P$8,'Property Calc_Design Flow'!$E$3:$EJ$25,MATCH(M14,'Property Calc_Design Flow'!$C$3:$C$24,0),FALSE)</f>
        <v>#N/A</v>
      </c>
      <c r="Q14" s="73" t="e">
        <f>HLOOKUP(Q$8,'Property Calc_Design Flow'!$E$3:$EJ$25,MATCH(M14,'Property Calc_Design Flow'!$C$3:$C$24,0),FALSE)</f>
        <v>#N/A</v>
      </c>
    </row>
    <row r="15" spans="1:17" ht="14.5" x14ac:dyDescent="0.35">
      <c r="A15" s="147">
        <f>A13+1</f>
        <v>7</v>
      </c>
      <c r="B15" s="106" t="s">
        <v>248</v>
      </c>
      <c r="C15" s="154" t="s">
        <v>222</v>
      </c>
      <c r="D15" s="154" t="s">
        <v>215</v>
      </c>
      <c r="E15" s="154" t="s">
        <v>218</v>
      </c>
      <c r="F15" s="154" t="s">
        <v>214</v>
      </c>
      <c r="G15" s="710" t="s">
        <v>221</v>
      </c>
      <c r="H15" s="710"/>
      <c r="I15" s="710"/>
      <c r="J15" s="711"/>
      <c r="K15" s="107"/>
      <c r="M15" s="19" t="s">
        <v>30</v>
      </c>
      <c r="N15" s="73" t="s">
        <v>31</v>
      </c>
      <c r="O15" s="73">
        <f>HLOOKUP(O$8,'Property Calc_Design Flow'!$E$3:$EJ$25,MATCH(M15,'Property Calc_Design Flow'!$C$3:$C$24,0),FALSE)</f>
        <v>280.69762026899713</v>
      </c>
      <c r="P15" s="73" t="e">
        <f>HLOOKUP(P$8,'Property Calc_Design Flow'!$E$3:$EJ$25,MATCH(M15,'Property Calc_Design Flow'!$C$3:$C$24,0),FALSE)</f>
        <v>#N/A</v>
      </c>
      <c r="Q15" s="73" t="e">
        <f>HLOOKUP(Q$8,'Property Calc_Design Flow'!$E$3:$EJ$25,MATCH(M15,'Property Calc_Design Flow'!$C$3:$C$24,0),FALSE)</f>
        <v>#N/A</v>
      </c>
    </row>
    <row r="16" spans="1:17" ht="14.5" x14ac:dyDescent="0.35">
      <c r="A16" s="148">
        <f>A15+1</f>
        <v>8</v>
      </c>
      <c r="B16" s="157" t="s">
        <v>282</v>
      </c>
      <c r="C16" s="100" t="s">
        <v>27</v>
      </c>
      <c r="D16" s="155">
        <f>O11</f>
        <v>1775.3656652646953</v>
      </c>
      <c r="E16" s="155">
        <f>D16</f>
        <v>1775.3656652646953</v>
      </c>
      <c r="F16" s="100">
        <v>200</v>
      </c>
      <c r="G16" s="687" t="s">
        <v>341</v>
      </c>
      <c r="H16" s="687"/>
      <c r="I16" s="687"/>
      <c r="J16" s="688"/>
      <c r="K16" s="107"/>
      <c r="M16" s="19" t="s">
        <v>18</v>
      </c>
      <c r="N16" s="73"/>
      <c r="O16" s="73">
        <f>HLOOKUP(O$8,'Property Calc_Design Flow'!$E$3:$EJ$25,MATCH(M16,'Property Calc_Design Flow'!$C$3:$C$24,0),FALSE)</f>
        <v>29.128773629995219</v>
      </c>
      <c r="P16" s="73" t="e">
        <f>HLOOKUP(P$8,'Property Calc_Design Flow'!$E$3:$EJ$25,MATCH(M16,'Property Calc_Design Flow'!$C$3:$C$24,0),FALSE)</f>
        <v>#N/A</v>
      </c>
      <c r="Q16" s="73" t="e">
        <f>HLOOKUP(Q$8,'Property Calc_Design Flow'!$E$3:$EJ$25,MATCH(M16,'Property Calc_Design Flow'!$C$3:$C$24,0),FALSE)</f>
        <v>#N/A</v>
      </c>
    </row>
    <row r="17" spans="1:17" ht="14.5" x14ac:dyDescent="0.35">
      <c r="A17" s="148">
        <f>A16+1</f>
        <v>9</v>
      </c>
      <c r="B17" s="99" t="s">
        <v>288</v>
      </c>
      <c r="C17" s="100" t="s">
        <v>237</v>
      </c>
      <c r="D17" s="138">
        <v>1.5</v>
      </c>
      <c r="E17" s="138">
        <f>O9</f>
        <v>2</v>
      </c>
      <c r="F17" s="156">
        <v>1</v>
      </c>
      <c r="G17" s="687"/>
      <c r="H17" s="687"/>
      <c r="I17" s="687"/>
      <c r="J17" s="688"/>
      <c r="K17" s="107"/>
      <c r="M17" s="19" t="s">
        <v>22</v>
      </c>
      <c r="N17" s="73" t="s">
        <v>23</v>
      </c>
      <c r="O17" s="73">
        <f>HLOOKUP(O$8,'Property Calc_Design Flow'!$E$3:$EJ$25,MATCH(M17,'Property Calc_Design Flow'!$C$3:$C$24,0),FALSE)</f>
        <v>0.99980339092408044</v>
      </c>
      <c r="P17" s="73" t="e">
        <f>HLOOKUP(P$8,'Property Calc_Design Flow'!$E$3:$EJ$25,MATCH(M17,'Property Calc_Design Flow'!$C$3:$C$24,0),FALSE)</f>
        <v>#N/A</v>
      </c>
      <c r="Q17" s="73" t="e">
        <f>HLOOKUP(Q$8,'Property Calc_Design Flow'!$E$3:$EJ$25,MATCH(M17,'Property Calc_Design Flow'!$C$3:$C$24,0),FALSE)</f>
        <v>#N/A</v>
      </c>
    </row>
    <row r="18" spans="1:17" ht="14.5" x14ac:dyDescent="0.35">
      <c r="A18" s="148">
        <f t="shared" ref="A18:A27" si="0">A17+1</f>
        <v>10</v>
      </c>
      <c r="B18" s="99" t="s">
        <v>0</v>
      </c>
      <c r="C18" s="100" t="s">
        <v>238</v>
      </c>
      <c r="D18" s="138">
        <v>60</v>
      </c>
      <c r="E18" s="138">
        <f>O10</f>
        <v>62.4</v>
      </c>
      <c r="F18" s="156">
        <v>50</v>
      </c>
      <c r="G18" s="687"/>
      <c r="H18" s="687"/>
      <c r="I18" s="687"/>
      <c r="J18" s="688"/>
      <c r="K18" s="107"/>
      <c r="M18" s="19" t="s">
        <v>20</v>
      </c>
      <c r="N18" s="73" t="s">
        <v>21</v>
      </c>
      <c r="O18" s="73">
        <f>HLOOKUP(O$8,'Property Calc_Design Flow'!$E$3:$EJ$25,MATCH(M18,'Property Calc_Design Flow'!$C$3:$C$24,0),FALSE)</f>
        <v>8.6807031745741448E-2</v>
      </c>
      <c r="P18" s="73" t="e">
        <f>HLOOKUP(P$8,'Property Calc_Design Flow'!$E$3:$EJ$25,MATCH(M18,'Property Calc_Design Flow'!$C$3:$C$24,0),FALSE)</f>
        <v>#N/A</v>
      </c>
      <c r="Q18" s="73" t="e">
        <f>HLOOKUP(Q$8,'Property Calc_Design Flow'!$E$3:$EJ$25,MATCH(M18,'Property Calc_Design Flow'!$C$3:$C$24,0),FALSE)</f>
        <v>#N/A</v>
      </c>
    </row>
    <row r="19" spans="1:17" ht="14.5" x14ac:dyDescent="0.35">
      <c r="A19" s="148">
        <f t="shared" si="0"/>
        <v>11</v>
      </c>
      <c r="B19" s="99" t="s">
        <v>286</v>
      </c>
      <c r="C19" s="100"/>
      <c r="D19" s="138">
        <f>E19*1.1</f>
        <v>32.041650992994747</v>
      </c>
      <c r="E19" s="138">
        <f>O16</f>
        <v>29.128773629995219</v>
      </c>
      <c r="F19" s="138">
        <f>E19*0.9</f>
        <v>26.215896266995699</v>
      </c>
      <c r="G19" s="687"/>
      <c r="H19" s="687"/>
      <c r="I19" s="687"/>
      <c r="J19" s="688"/>
      <c r="K19" s="107"/>
      <c r="M19" s="139"/>
      <c r="N19" s="140"/>
      <c r="O19" s="73"/>
      <c r="P19" s="73"/>
      <c r="Q19" s="73"/>
    </row>
    <row r="20" spans="1:17" ht="14.5" x14ac:dyDescent="0.35">
      <c r="A20" s="148">
        <f t="shared" si="0"/>
        <v>12</v>
      </c>
      <c r="B20" s="729" t="s">
        <v>287</v>
      </c>
      <c r="C20" s="729"/>
      <c r="D20" s="729"/>
      <c r="E20" s="729"/>
      <c r="F20" s="729"/>
      <c r="G20" s="687"/>
      <c r="H20" s="687"/>
      <c r="I20" s="687"/>
      <c r="J20" s="688"/>
      <c r="K20" s="107"/>
      <c r="M20" s="98" t="s">
        <v>159</v>
      </c>
      <c r="N20" s="153" t="s">
        <v>3</v>
      </c>
      <c r="O20" s="73" t="str">
        <f>HLOOKUP(O$8,'Property Calc_Design Flow'!$E$3:$EJ$25,MATCH(M20,'Property Calc_Design Flow'!$C$3:$C$24,0),FALSE)</f>
        <v/>
      </c>
      <c r="P20" s="73" t="e">
        <f>HLOOKUP(P$8,'Property Calc_Design Flow'!$E$3:$EJ$25,MATCH(M20,'Property Calc_Design Flow'!$C$3:$C$24,0),FALSE)</f>
        <v>#N/A</v>
      </c>
      <c r="Q20" s="73" t="e">
        <f>HLOOKUP(Q$8,'Property Calc_Design Flow'!$E$3:$EJ$25,MATCH(M20,'Property Calc_Design Flow'!$C$3:$C$24,0),FALSE)</f>
        <v>#N/A</v>
      </c>
    </row>
    <row r="21" spans="1:17" ht="15" x14ac:dyDescent="0.4">
      <c r="A21" s="148">
        <f t="shared" si="0"/>
        <v>13</v>
      </c>
      <c r="B21" s="99" t="s">
        <v>240</v>
      </c>
      <c r="C21" s="100" t="s">
        <v>122</v>
      </c>
      <c r="D21" s="728">
        <f>O21</f>
        <v>51.814507662187808</v>
      </c>
      <c r="E21" s="728"/>
      <c r="F21" s="728"/>
      <c r="G21" s="687"/>
      <c r="H21" s="687"/>
      <c r="I21" s="687"/>
      <c r="J21" s="688"/>
      <c r="K21" s="107"/>
      <c r="M21" s="19" t="s">
        <v>7</v>
      </c>
      <c r="N21" s="73" t="s">
        <v>122</v>
      </c>
      <c r="O21" s="73">
        <f>HLOOKUP(O$8,'Property Calc_Design Flow'!$E$3:$EJ$25,MATCH(M21,'Property Calc_Design Flow'!$C$3:$C$24,0),FALSE)</f>
        <v>51.814507662187808</v>
      </c>
      <c r="P21" s="73" t="e">
        <f>HLOOKUP(P$8,'Property Calc_Design Flow'!$E$3:$EJ$25,MATCH(M21,'Property Calc_Design Flow'!$C$3:$C$24,0),FALSE)</f>
        <v>#N/A</v>
      </c>
      <c r="Q21" s="73" t="e">
        <f>HLOOKUP(Q$8,'Property Calc_Design Flow'!$E$3:$EJ$25,MATCH(M21,'Property Calc_Design Flow'!$C$3:$C$24,0),FALSE)</f>
        <v>#N/A</v>
      </c>
    </row>
    <row r="22" spans="1:17" ht="15" x14ac:dyDescent="0.4">
      <c r="A22" s="148">
        <f t="shared" si="0"/>
        <v>14</v>
      </c>
      <c r="B22" s="99" t="s">
        <v>241</v>
      </c>
      <c r="C22" s="100" t="s">
        <v>122</v>
      </c>
      <c r="D22" s="728">
        <f>O22</f>
        <v>45.435183870509718</v>
      </c>
      <c r="E22" s="728"/>
      <c r="F22" s="728"/>
      <c r="G22" s="687"/>
      <c r="H22" s="687"/>
      <c r="I22" s="687"/>
      <c r="J22" s="688"/>
      <c r="K22" s="107"/>
      <c r="M22" s="19" t="s">
        <v>8</v>
      </c>
      <c r="N22" s="73" t="s">
        <v>122</v>
      </c>
      <c r="O22" s="73">
        <f>HLOOKUP(O$8,'Property Calc_Design Flow'!$E$3:$EJ$25,MATCH(M22,'Property Calc_Design Flow'!$C$3:$C$24,0),FALSE)</f>
        <v>45.435183870509718</v>
      </c>
      <c r="P22" s="73" t="e">
        <f>HLOOKUP(P$8,'Property Calc_Design Flow'!$E$3:$EJ$25,MATCH(M22,'Property Calc_Design Flow'!$C$3:$C$24,0),FALSE)</f>
        <v>#N/A</v>
      </c>
      <c r="Q22" s="73" t="e">
        <f>HLOOKUP(Q$8,'Property Calc_Design Flow'!$E$3:$EJ$25,MATCH(M22,'Property Calc_Design Flow'!$C$3:$C$24,0),FALSE)</f>
        <v>#N/A</v>
      </c>
    </row>
    <row r="23" spans="1:17" ht="15" x14ac:dyDescent="0.4">
      <c r="A23" s="148">
        <f t="shared" si="0"/>
        <v>15</v>
      </c>
      <c r="B23" s="99" t="s">
        <v>242</v>
      </c>
      <c r="C23" s="100" t="s">
        <v>122</v>
      </c>
      <c r="D23" s="728">
        <f>O23</f>
        <v>1.2198706937064672</v>
      </c>
      <c r="E23" s="728"/>
      <c r="F23" s="728"/>
      <c r="G23" s="687"/>
      <c r="H23" s="687"/>
      <c r="I23" s="687"/>
      <c r="J23" s="688"/>
      <c r="K23" s="107"/>
      <c r="M23" s="19" t="s">
        <v>9</v>
      </c>
      <c r="N23" s="73" t="s">
        <v>122</v>
      </c>
      <c r="O23" s="73">
        <f>HLOOKUP(O$8,'Property Calc_Design Flow'!$E$3:$EJ$25,MATCH(M23,'Property Calc_Design Flow'!$C$3:$C$24,0),FALSE)</f>
        <v>1.2198706937064672</v>
      </c>
      <c r="P23" s="73" t="e">
        <f>HLOOKUP(P$8,'Property Calc_Design Flow'!$E$3:$EJ$25,MATCH(M23,'Property Calc_Design Flow'!$C$3:$C$24,0),FALSE)</f>
        <v>#N/A</v>
      </c>
      <c r="Q23" s="73" t="e">
        <f>HLOOKUP(Q$8,'Property Calc_Design Flow'!$E$3:$EJ$25,MATCH(M23,'Property Calc_Design Flow'!$C$3:$C$24,0),FALSE)</f>
        <v>#N/A</v>
      </c>
    </row>
    <row r="24" spans="1:17" ht="15" x14ac:dyDescent="0.4">
      <c r="A24" s="148">
        <f t="shared" si="0"/>
        <v>16</v>
      </c>
      <c r="B24" s="99" t="s">
        <v>243</v>
      </c>
      <c r="C24" s="100" t="s">
        <v>122</v>
      </c>
      <c r="D24" s="728">
        <f>'HMB_Design Case'!E22</f>
        <v>0.45996596229800635</v>
      </c>
      <c r="E24" s="728"/>
      <c r="F24" s="728"/>
      <c r="G24" s="687"/>
      <c r="H24" s="687"/>
      <c r="I24" s="687"/>
      <c r="J24" s="688"/>
      <c r="K24" s="107"/>
      <c r="M24" s="19" t="s">
        <v>10</v>
      </c>
      <c r="N24" s="73" t="s">
        <v>122</v>
      </c>
      <c r="O24" s="73">
        <f>HLOOKUP(O$8,'Property Calc_Design Flow'!$E$3:$EJ$25,MATCH(M24,'Property Calc_Design Flow'!$C$3:$C$24,0),FALSE)</f>
        <v>1.4598452564028215</v>
      </c>
      <c r="P24" s="73" t="e">
        <f>HLOOKUP(P$8,'Property Calc_Design Flow'!$E$3:$EJ$25,MATCH(M24,'Property Calc_Design Flow'!$C$3:$C$24,0),FALSE)</f>
        <v>#N/A</v>
      </c>
      <c r="Q24" s="73" t="e">
        <f>HLOOKUP(Q$8,'Property Calc_Design Flow'!$E$3:$EJ$25,MATCH(M24,'Property Calc_Design Flow'!$C$3:$C$24,0),FALSE)</f>
        <v>#N/A</v>
      </c>
    </row>
    <row r="25" spans="1:17" ht="15" x14ac:dyDescent="0.4">
      <c r="A25" s="148">
        <f t="shared" si="0"/>
        <v>17</v>
      </c>
      <c r="B25" s="99" t="s">
        <v>244</v>
      </c>
      <c r="C25" s="100" t="s">
        <v>239</v>
      </c>
      <c r="D25" s="728">
        <f>'HMB_Design Case'!E23*10^4</f>
        <v>4.0001839844650604</v>
      </c>
      <c r="E25" s="728"/>
      <c r="F25" s="728"/>
      <c r="G25" s="687"/>
      <c r="H25" s="687"/>
      <c r="I25" s="687"/>
      <c r="J25" s="688"/>
      <c r="K25" s="107"/>
      <c r="M25" s="19" t="s">
        <v>11</v>
      </c>
      <c r="N25" s="73" t="s">
        <v>122</v>
      </c>
      <c r="O25" s="73">
        <f>HLOOKUP(O$8,'Property Calc_Design Flow'!$E$3:$EJ$25,MATCH(M25,'Property Calc_Design Flow'!$C$3:$C$24,0),FALSE)</f>
        <v>5.9993640674088546E-4</v>
      </c>
      <c r="P25" s="73" t="e">
        <f>HLOOKUP(P$8,'Property Calc_Design Flow'!$E$3:$EJ$25,MATCH(M25,'Property Calc_Design Flow'!$C$3:$C$24,0),FALSE)</f>
        <v>#N/A</v>
      </c>
      <c r="Q25" s="73" t="e">
        <f>HLOOKUP(Q$8,'Property Calc_Design Flow'!$E$3:$EJ$25,MATCH(M25,'Property Calc_Design Flow'!$C$3:$C$24,0),FALSE)</f>
        <v>#N/A</v>
      </c>
    </row>
    <row r="26" spans="1:17" ht="15" x14ac:dyDescent="0.4">
      <c r="A26" s="148">
        <f t="shared" si="0"/>
        <v>18</v>
      </c>
      <c r="B26" s="99" t="s">
        <v>245</v>
      </c>
      <c r="C26" s="100" t="s">
        <v>122</v>
      </c>
      <c r="D26" s="728">
        <f>'HMB_Design Case'!E24</f>
        <v>0.12699060263444958</v>
      </c>
      <c r="E26" s="728"/>
      <c r="F26" s="728"/>
      <c r="G26" s="687"/>
      <c r="H26" s="687"/>
      <c r="I26" s="687"/>
      <c r="J26" s="688"/>
      <c r="K26" s="107"/>
      <c r="M26" s="19" t="s">
        <v>12</v>
      </c>
      <c r="N26" s="73" t="s">
        <v>122</v>
      </c>
      <c r="O26" s="73">
        <f>HLOOKUP(O$8,'Property Calc_Design Flow'!$E$3:$EJ$25,MATCH(M26,'Property Calc_Design Flow'!$C$3:$C$24,0),FALSE)</f>
        <v>6.9992580786436623E-2</v>
      </c>
      <c r="P26" s="73" t="e">
        <f>HLOOKUP(P$8,'Property Calc_Design Flow'!$E$3:$EJ$25,MATCH(M26,'Property Calc_Design Flow'!$C$3:$C$24,0),FALSE)</f>
        <v>#N/A</v>
      </c>
      <c r="Q26" s="73" t="e">
        <f>HLOOKUP(Q$8,'Property Calc_Design Flow'!$E$3:$EJ$25,MATCH(M26,'Property Calc_Design Flow'!$C$3:$C$24,0),FALSE)</f>
        <v>#N/A</v>
      </c>
    </row>
    <row r="27" spans="1:17" ht="15" thickBot="1" x14ac:dyDescent="0.4">
      <c r="A27" s="148">
        <f t="shared" si="0"/>
        <v>19</v>
      </c>
      <c r="B27" s="101" t="s">
        <v>216</v>
      </c>
      <c r="C27" s="158" t="s">
        <v>239</v>
      </c>
      <c r="D27" s="730" t="s">
        <v>217</v>
      </c>
      <c r="E27" s="730"/>
      <c r="F27" s="730"/>
      <c r="G27" s="689"/>
      <c r="H27" s="689"/>
      <c r="I27" s="689"/>
      <c r="J27" s="690"/>
      <c r="K27" s="107"/>
      <c r="M27" s="19" t="s">
        <v>32</v>
      </c>
      <c r="N27" s="73" t="s">
        <v>122</v>
      </c>
      <c r="O27" s="73">
        <f>HLOOKUP(O$8,'Property Calc_Design Flow'!$E$3:$EJ$25,MATCH(M27,'Property Calc_Design Flow'!$C$3:$C$24,0),FALSE)</f>
        <v>0</v>
      </c>
      <c r="P27" s="73" t="e">
        <f>HLOOKUP(P$8,'Property Calc_Design Flow'!$E$3:$EJ$25,MATCH(M27,'Property Calc_Design Flow'!$C$3:$C$24,0),FALSE)</f>
        <v>#N/A</v>
      </c>
      <c r="Q27" s="73" t="e">
        <f>HLOOKUP(Q$8,'Property Calc_Design Flow'!$E$3:$EJ$25,MATCH(M27,'Property Calc_Design Flow'!$C$3:$C$24,0),FALSE)</f>
        <v>#N/A</v>
      </c>
    </row>
    <row r="28" spans="1:17" ht="13.5" thickBot="1" x14ac:dyDescent="0.35">
      <c r="A28" s="707" t="s">
        <v>283</v>
      </c>
      <c r="B28" s="708"/>
      <c r="C28" s="708"/>
      <c r="D28" s="708"/>
      <c r="E28" s="708"/>
      <c r="F28" s="708"/>
      <c r="G28" s="708"/>
      <c r="H28" s="708"/>
      <c r="I28" s="708"/>
      <c r="J28" s="709"/>
      <c r="K28" s="109"/>
    </row>
    <row r="29" spans="1:17" x14ac:dyDescent="0.3">
      <c r="A29" s="147">
        <f>A27+1</f>
        <v>20</v>
      </c>
      <c r="B29" s="106" t="s">
        <v>248</v>
      </c>
      <c r="C29" s="154" t="s">
        <v>222</v>
      </c>
      <c r="D29" s="154" t="s">
        <v>215</v>
      </c>
      <c r="E29" s="154" t="s">
        <v>218</v>
      </c>
      <c r="F29" s="154" t="s">
        <v>214</v>
      </c>
      <c r="G29" s="710" t="s">
        <v>247</v>
      </c>
      <c r="H29" s="710"/>
      <c r="I29" s="710"/>
      <c r="J29" s="711"/>
      <c r="K29" s="107"/>
    </row>
    <row r="30" spans="1:17" x14ac:dyDescent="0.3">
      <c r="A30" s="148">
        <f>A29+1</f>
        <v>21</v>
      </c>
      <c r="B30" s="99" t="s">
        <v>289</v>
      </c>
      <c r="C30" s="100" t="s">
        <v>237</v>
      </c>
      <c r="D30" s="155">
        <v>8</v>
      </c>
      <c r="E30" s="155">
        <v>6</v>
      </c>
      <c r="F30" s="100">
        <v>5</v>
      </c>
      <c r="G30" s="687" t="s">
        <v>417</v>
      </c>
      <c r="H30" s="687"/>
      <c r="I30" s="687"/>
      <c r="J30" s="688"/>
      <c r="K30" s="107"/>
    </row>
    <row r="31" spans="1:17" x14ac:dyDescent="0.3">
      <c r="A31" s="148">
        <f t="shared" ref="A31:A32" si="1">A30+1</f>
        <v>22</v>
      </c>
      <c r="B31" s="99" t="s">
        <v>396</v>
      </c>
      <c r="C31" s="100" t="s">
        <v>238</v>
      </c>
      <c r="D31" s="138" t="s">
        <v>246</v>
      </c>
      <c r="E31" s="138" t="s">
        <v>246</v>
      </c>
      <c r="F31" s="138" t="str">
        <f>E31</f>
        <v>VTA</v>
      </c>
      <c r="G31" s="687"/>
      <c r="H31" s="687"/>
      <c r="I31" s="687"/>
      <c r="J31" s="688"/>
      <c r="K31" s="107"/>
    </row>
    <row r="32" spans="1:17" x14ac:dyDescent="0.3">
      <c r="A32" s="148">
        <f t="shared" si="1"/>
        <v>23</v>
      </c>
      <c r="B32" s="99" t="s">
        <v>391</v>
      </c>
      <c r="C32" s="100" t="s">
        <v>238</v>
      </c>
      <c r="D32" s="138" t="s">
        <v>246</v>
      </c>
      <c r="E32" s="138" t="s">
        <v>246</v>
      </c>
      <c r="F32" s="138" t="str">
        <f>E32</f>
        <v>VTA</v>
      </c>
      <c r="G32" s="687"/>
      <c r="H32" s="687"/>
      <c r="I32" s="687"/>
      <c r="J32" s="688"/>
      <c r="K32" s="107"/>
    </row>
    <row r="33" spans="1:11" x14ac:dyDescent="0.3">
      <c r="A33" s="148">
        <f>A32+1</f>
        <v>24</v>
      </c>
      <c r="B33" s="99" t="s">
        <v>291</v>
      </c>
      <c r="C33" s="100"/>
      <c r="D33" s="156" t="s">
        <v>246</v>
      </c>
      <c r="E33" s="156" t="s">
        <v>246</v>
      </c>
      <c r="F33" s="156" t="s">
        <v>246</v>
      </c>
      <c r="G33" s="687"/>
      <c r="H33" s="687"/>
      <c r="I33" s="687"/>
      <c r="J33" s="688"/>
      <c r="K33" s="107"/>
    </row>
    <row r="34" spans="1:11" x14ac:dyDescent="0.3">
      <c r="A34" s="148">
        <f t="shared" ref="A34:A40" si="2">A33+1</f>
        <v>25</v>
      </c>
      <c r="B34" s="99" t="s">
        <v>292</v>
      </c>
      <c r="C34" s="100"/>
      <c r="D34" s="156" t="s">
        <v>246</v>
      </c>
      <c r="E34" s="156" t="s">
        <v>246</v>
      </c>
      <c r="F34" s="156" t="s">
        <v>246</v>
      </c>
      <c r="G34" s="687"/>
      <c r="H34" s="687"/>
      <c r="I34" s="687"/>
      <c r="J34" s="688"/>
      <c r="K34" s="107"/>
    </row>
    <row r="35" spans="1:11" x14ac:dyDescent="0.3">
      <c r="A35" s="148">
        <f t="shared" si="2"/>
        <v>26</v>
      </c>
      <c r="B35" s="99" t="s">
        <v>293</v>
      </c>
      <c r="C35" s="100" t="s">
        <v>238</v>
      </c>
      <c r="D35" s="156" t="s">
        <v>246</v>
      </c>
      <c r="E35" s="156" t="s">
        <v>246</v>
      </c>
      <c r="F35" s="156" t="s">
        <v>246</v>
      </c>
      <c r="G35" s="687"/>
      <c r="H35" s="687"/>
      <c r="I35" s="687"/>
      <c r="J35" s="688"/>
      <c r="K35" s="107"/>
    </row>
    <row r="36" spans="1:11" x14ac:dyDescent="0.3">
      <c r="A36" s="148">
        <f>A35+1</f>
        <v>27</v>
      </c>
      <c r="B36" s="99" t="s">
        <v>296</v>
      </c>
      <c r="C36" s="100" t="s">
        <v>297</v>
      </c>
      <c r="D36" s="728" t="s">
        <v>246</v>
      </c>
      <c r="E36" s="728"/>
      <c r="F36" s="728"/>
      <c r="G36" s="687"/>
      <c r="H36" s="687"/>
      <c r="I36" s="687"/>
      <c r="J36" s="688"/>
      <c r="K36" s="107"/>
    </row>
    <row r="37" spans="1:11" ht="15" customHeight="1" x14ac:dyDescent="0.3">
      <c r="A37" s="148">
        <f t="shared" si="2"/>
        <v>28</v>
      </c>
      <c r="B37" s="99" t="s">
        <v>298</v>
      </c>
      <c r="C37" s="100" t="s">
        <v>299</v>
      </c>
      <c r="D37" s="156" t="s">
        <v>246</v>
      </c>
      <c r="E37" s="156" t="s">
        <v>246</v>
      </c>
      <c r="F37" s="156" t="s">
        <v>246</v>
      </c>
      <c r="G37" s="687"/>
      <c r="H37" s="687"/>
      <c r="I37" s="687"/>
      <c r="J37" s="688"/>
      <c r="K37" s="107"/>
    </row>
    <row r="38" spans="1:11" x14ac:dyDescent="0.3">
      <c r="A38" s="148">
        <f t="shared" si="2"/>
        <v>29</v>
      </c>
      <c r="B38" s="99" t="s">
        <v>300</v>
      </c>
      <c r="C38" s="100" t="s">
        <v>301</v>
      </c>
      <c r="D38" s="156" t="s">
        <v>246</v>
      </c>
      <c r="E38" s="156" t="s">
        <v>246</v>
      </c>
      <c r="F38" s="156" t="s">
        <v>246</v>
      </c>
      <c r="G38" s="687"/>
      <c r="H38" s="687"/>
      <c r="I38" s="687"/>
      <c r="J38" s="688"/>
      <c r="K38" s="107"/>
    </row>
    <row r="39" spans="1:11" x14ac:dyDescent="0.3">
      <c r="A39" s="148">
        <f t="shared" si="2"/>
        <v>30</v>
      </c>
      <c r="B39" s="141" t="s">
        <v>302</v>
      </c>
      <c r="C39" s="142" t="s">
        <v>149</v>
      </c>
      <c r="D39" s="156" t="s">
        <v>246</v>
      </c>
      <c r="E39" s="156" t="s">
        <v>246</v>
      </c>
      <c r="F39" s="156" t="s">
        <v>246</v>
      </c>
      <c r="G39" s="726"/>
      <c r="H39" s="726"/>
      <c r="I39" s="726"/>
      <c r="J39" s="727"/>
      <c r="K39" s="107"/>
    </row>
    <row r="40" spans="1:11" ht="13.5" thickBot="1" x14ac:dyDescent="0.35">
      <c r="A40" s="148">
        <f t="shared" si="2"/>
        <v>31</v>
      </c>
      <c r="B40" s="141" t="s">
        <v>366</v>
      </c>
      <c r="C40" s="142"/>
      <c r="D40" s="156" t="s">
        <v>246</v>
      </c>
      <c r="E40" s="156" t="s">
        <v>246</v>
      </c>
      <c r="F40" s="156" t="s">
        <v>246</v>
      </c>
      <c r="G40" s="726"/>
      <c r="H40" s="726"/>
      <c r="I40" s="726"/>
      <c r="J40" s="727"/>
      <c r="K40" s="107"/>
    </row>
    <row r="41" spans="1:11" ht="13.5" thickBot="1" x14ac:dyDescent="0.35">
      <c r="A41" s="707" t="s">
        <v>304</v>
      </c>
      <c r="B41" s="708"/>
      <c r="C41" s="708"/>
      <c r="D41" s="708"/>
      <c r="E41" s="708"/>
      <c r="F41" s="708"/>
      <c r="G41" s="708"/>
      <c r="H41" s="708"/>
      <c r="I41" s="708"/>
      <c r="J41" s="709"/>
      <c r="K41" s="107"/>
    </row>
    <row r="42" spans="1:11" x14ac:dyDescent="0.3">
      <c r="A42" s="147">
        <f>A40+1</f>
        <v>32</v>
      </c>
      <c r="B42" s="106" t="s">
        <v>248</v>
      </c>
      <c r="C42" s="154" t="s">
        <v>222</v>
      </c>
      <c r="D42" s="154" t="s">
        <v>215</v>
      </c>
      <c r="E42" s="154" t="s">
        <v>218</v>
      </c>
      <c r="F42" s="154" t="s">
        <v>214</v>
      </c>
      <c r="G42" s="710" t="s">
        <v>247</v>
      </c>
      <c r="H42" s="710"/>
      <c r="I42" s="710"/>
      <c r="J42" s="711"/>
      <c r="K42" s="107"/>
    </row>
    <row r="43" spans="1:11" x14ac:dyDescent="0.3">
      <c r="A43" s="148">
        <f>A42+1</f>
        <v>33</v>
      </c>
      <c r="B43" s="157" t="s">
        <v>425</v>
      </c>
      <c r="C43" s="100" t="s">
        <v>330</v>
      </c>
      <c r="D43" s="704" t="s">
        <v>246</v>
      </c>
      <c r="E43" s="705"/>
      <c r="F43" s="706"/>
      <c r="G43" s="687"/>
      <c r="H43" s="687"/>
      <c r="I43" s="687"/>
      <c r="J43" s="688"/>
      <c r="K43" s="107"/>
    </row>
    <row r="44" spans="1:11" x14ac:dyDescent="0.3">
      <c r="A44" s="148">
        <f>A43+1</f>
        <v>34</v>
      </c>
      <c r="B44" s="157" t="s">
        <v>362</v>
      </c>
      <c r="C44" s="100" t="s">
        <v>330</v>
      </c>
      <c r="D44" s="704" t="s">
        <v>262</v>
      </c>
      <c r="E44" s="705"/>
      <c r="F44" s="706"/>
      <c r="G44" s="687"/>
      <c r="H44" s="687"/>
      <c r="I44" s="687"/>
      <c r="J44" s="688"/>
      <c r="K44" s="107"/>
    </row>
    <row r="45" spans="1:11" x14ac:dyDescent="0.3">
      <c r="A45" s="148">
        <f>A44+1</f>
        <v>35</v>
      </c>
      <c r="B45" s="99" t="s">
        <v>306</v>
      </c>
      <c r="C45" s="100"/>
      <c r="D45" s="156" t="s">
        <v>307</v>
      </c>
      <c r="E45" s="156" t="s">
        <v>308</v>
      </c>
      <c r="F45" s="156" t="s">
        <v>309</v>
      </c>
      <c r="G45" s="687"/>
      <c r="H45" s="687"/>
      <c r="I45" s="687"/>
      <c r="J45" s="688"/>
      <c r="K45" s="107"/>
    </row>
    <row r="46" spans="1:11" x14ac:dyDescent="0.3">
      <c r="A46" s="148">
        <f t="shared" ref="A46:A47" si="3">A45+1</f>
        <v>36</v>
      </c>
      <c r="B46" s="99" t="s">
        <v>310</v>
      </c>
      <c r="C46" s="100" t="s">
        <v>330</v>
      </c>
      <c r="D46" s="704" t="s">
        <v>262</v>
      </c>
      <c r="E46" s="705"/>
      <c r="F46" s="706"/>
      <c r="G46" s="687"/>
      <c r="H46" s="687"/>
      <c r="I46" s="687"/>
      <c r="J46" s="688"/>
      <c r="K46" s="107"/>
    </row>
    <row r="47" spans="1:11" ht="13.5" thickBot="1" x14ac:dyDescent="0.35">
      <c r="A47" s="148">
        <f t="shared" si="3"/>
        <v>37</v>
      </c>
      <c r="B47" s="99" t="s">
        <v>311</v>
      </c>
      <c r="C47" s="100"/>
      <c r="D47" s="156" t="s">
        <v>246</v>
      </c>
      <c r="E47" s="156" t="s">
        <v>308</v>
      </c>
      <c r="F47" s="156" t="s">
        <v>246</v>
      </c>
      <c r="G47" s="687"/>
      <c r="H47" s="687"/>
      <c r="I47" s="687"/>
      <c r="J47" s="688"/>
      <c r="K47" s="107"/>
    </row>
    <row r="48" spans="1:11" ht="13.5" thickBot="1" x14ac:dyDescent="0.35">
      <c r="A48" s="707" t="s">
        <v>312</v>
      </c>
      <c r="B48" s="708"/>
      <c r="C48" s="708"/>
      <c r="D48" s="708"/>
      <c r="E48" s="708"/>
      <c r="F48" s="708"/>
      <c r="G48" s="708"/>
      <c r="H48" s="708"/>
      <c r="I48" s="708"/>
      <c r="J48" s="709"/>
      <c r="K48" s="107"/>
    </row>
    <row r="49" spans="1:11" x14ac:dyDescent="0.3">
      <c r="A49" s="147">
        <f>A47+1</f>
        <v>38</v>
      </c>
      <c r="B49" s="106" t="s">
        <v>248</v>
      </c>
      <c r="C49" s="154" t="s">
        <v>222</v>
      </c>
      <c r="D49" s="154" t="s">
        <v>215</v>
      </c>
      <c r="E49" s="154" t="s">
        <v>218</v>
      </c>
      <c r="F49" s="154" t="s">
        <v>214</v>
      </c>
      <c r="G49" s="710" t="s">
        <v>247</v>
      </c>
      <c r="H49" s="710"/>
      <c r="I49" s="710"/>
      <c r="J49" s="711"/>
      <c r="K49" s="107"/>
    </row>
    <row r="50" spans="1:11" ht="14.5" customHeight="1" x14ac:dyDescent="0.3">
      <c r="A50" s="148">
        <f>A49+1</f>
        <v>39</v>
      </c>
      <c r="B50" s="157" t="s">
        <v>266</v>
      </c>
      <c r="C50" s="100" t="s">
        <v>5</v>
      </c>
      <c r="D50" s="155">
        <v>150</v>
      </c>
      <c r="E50" s="155">
        <v>100</v>
      </c>
      <c r="F50" s="155">
        <v>80</v>
      </c>
      <c r="G50" s="687" t="s">
        <v>325</v>
      </c>
      <c r="H50" s="687"/>
      <c r="I50" s="687"/>
      <c r="J50" s="688"/>
      <c r="K50" s="107"/>
    </row>
    <row r="51" spans="1:11" ht="14.5" customHeight="1" x14ac:dyDescent="0.3">
      <c r="A51" s="148">
        <f t="shared" ref="A51:A54" si="4">A50+1</f>
        <v>40</v>
      </c>
      <c r="B51" s="157" t="s">
        <v>267</v>
      </c>
      <c r="C51" s="100" t="s">
        <v>238</v>
      </c>
      <c r="D51" s="155">
        <v>150</v>
      </c>
      <c r="E51" s="155">
        <v>100</v>
      </c>
      <c r="F51" s="100">
        <v>60</v>
      </c>
      <c r="G51" s="687"/>
      <c r="H51" s="687"/>
      <c r="I51" s="687"/>
      <c r="J51" s="688"/>
      <c r="K51" s="107"/>
    </row>
    <row r="52" spans="1:11" ht="14.5" customHeight="1" x14ac:dyDescent="0.3">
      <c r="A52" s="148">
        <f t="shared" si="4"/>
        <v>41</v>
      </c>
      <c r="B52" s="157" t="s">
        <v>322</v>
      </c>
      <c r="C52" s="100" t="s">
        <v>5</v>
      </c>
      <c r="D52" s="155">
        <v>200</v>
      </c>
      <c r="E52" s="155">
        <v>100</v>
      </c>
      <c r="F52" s="155">
        <v>60</v>
      </c>
      <c r="G52" s="687"/>
      <c r="H52" s="687"/>
      <c r="I52" s="687"/>
      <c r="J52" s="688"/>
      <c r="K52" s="107"/>
    </row>
    <row r="53" spans="1:11" ht="14.5" customHeight="1" x14ac:dyDescent="0.3">
      <c r="A53" s="148">
        <f t="shared" si="4"/>
        <v>42</v>
      </c>
      <c r="B53" s="157" t="s">
        <v>323</v>
      </c>
      <c r="C53" s="100" t="s">
        <v>238</v>
      </c>
      <c r="D53" s="155">
        <v>35</v>
      </c>
      <c r="E53" s="155">
        <v>30</v>
      </c>
      <c r="F53" s="155">
        <v>30</v>
      </c>
      <c r="G53" s="687"/>
      <c r="H53" s="687"/>
      <c r="I53" s="687"/>
      <c r="J53" s="688"/>
      <c r="K53" s="107"/>
    </row>
    <row r="54" spans="1:11" ht="14.5" customHeight="1" thickBot="1" x14ac:dyDescent="0.35">
      <c r="A54" s="150">
        <f t="shared" si="4"/>
        <v>43</v>
      </c>
      <c r="B54" s="159" t="s">
        <v>324</v>
      </c>
      <c r="C54" s="158" t="s">
        <v>238</v>
      </c>
      <c r="D54" s="112">
        <v>45</v>
      </c>
      <c r="E54" s="112">
        <v>40</v>
      </c>
      <c r="F54" s="112">
        <v>40</v>
      </c>
      <c r="G54" s="689"/>
      <c r="H54" s="689"/>
      <c r="I54" s="689"/>
      <c r="J54" s="690"/>
      <c r="K54" s="107"/>
    </row>
    <row r="55" spans="1:11" ht="15" customHeight="1" thickBot="1" x14ac:dyDescent="0.35">
      <c r="A55" s="707" t="s">
        <v>313</v>
      </c>
      <c r="B55" s="708"/>
      <c r="C55" s="708"/>
      <c r="D55" s="708"/>
      <c r="E55" s="708"/>
      <c r="F55" s="708"/>
      <c r="G55" s="708"/>
      <c r="H55" s="708"/>
      <c r="I55" s="708"/>
      <c r="J55" s="709"/>
      <c r="K55" s="107"/>
    </row>
    <row r="56" spans="1:11" x14ac:dyDescent="0.3">
      <c r="A56" s="147">
        <f>A54+1</f>
        <v>44</v>
      </c>
      <c r="B56" s="106" t="s">
        <v>248</v>
      </c>
      <c r="C56" s="154" t="s">
        <v>222</v>
      </c>
      <c r="D56" s="710" t="s">
        <v>251</v>
      </c>
      <c r="E56" s="710"/>
      <c r="F56" s="710"/>
      <c r="G56" s="710" t="s">
        <v>247</v>
      </c>
      <c r="H56" s="710"/>
      <c r="I56" s="710"/>
      <c r="J56" s="711"/>
      <c r="K56" s="107"/>
    </row>
    <row r="57" spans="1:11" x14ac:dyDescent="0.3">
      <c r="A57" s="148">
        <f>A56+1</f>
        <v>45</v>
      </c>
      <c r="B57" s="157" t="s">
        <v>315</v>
      </c>
      <c r="C57" s="100" t="s">
        <v>5</v>
      </c>
      <c r="D57" s="431">
        <v>16</v>
      </c>
      <c r="E57" s="431"/>
      <c r="F57" s="431"/>
      <c r="G57" s="687" t="s">
        <v>398</v>
      </c>
      <c r="H57" s="687"/>
      <c r="I57" s="687"/>
      <c r="J57" s="688"/>
      <c r="K57" s="107"/>
    </row>
    <row r="58" spans="1:11" x14ac:dyDescent="0.3">
      <c r="A58" s="148">
        <f t="shared" ref="A58:A61" si="5">A57+1</f>
        <v>46</v>
      </c>
      <c r="B58" s="157" t="s">
        <v>326</v>
      </c>
      <c r="C58" s="100" t="s">
        <v>238</v>
      </c>
      <c r="D58" s="431" t="s">
        <v>246</v>
      </c>
      <c r="E58" s="431"/>
      <c r="F58" s="431"/>
      <c r="G58" s="687"/>
      <c r="H58" s="687"/>
      <c r="I58" s="687"/>
      <c r="J58" s="688"/>
      <c r="K58" s="107"/>
    </row>
    <row r="59" spans="1:11" x14ac:dyDescent="0.3">
      <c r="A59" s="148">
        <f t="shared" si="5"/>
        <v>47</v>
      </c>
      <c r="B59" s="99" t="s">
        <v>249</v>
      </c>
      <c r="C59" s="100"/>
      <c r="D59" s="431" t="s">
        <v>250</v>
      </c>
      <c r="E59" s="431"/>
      <c r="F59" s="431"/>
      <c r="G59" s="687"/>
      <c r="H59" s="687"/>
      <c r="I59" s="687"/>
      <c r="J59" s="688"/>
      <c r="K59" s="107"/>
    </row>
    <row r="60" spans="1:11" x14ac:dyDescent="0.3">
      <c r="A60" s="148">
        <f t="shared" si="5"/>
        <v>48</v>
      </c>
      <c r="B60" s="99" t="s">
        <v>327</v>
      </c>
      <c r="C60" s="100"/>
      <c r="D60" s="593" t="s">
        <v>246</v>
      </c>
      <c r="E60" s="593"/>
      <c r="F60" s="593"/>
      <c r="G60" s="687"/>
      <c r="H60" s="687"/>
      <c r="I60" s="687"/>
      <c r="J60" s="688"/>
      <c r="K60" s="107"/>
    </row>
    <row r="61" spans="1:11" ht="13.5" thickBot="1" x14ac:dyDescent="0.35">
      <c r="A61" s="148">
        <f t="shared" si="5"/>
        <v>49</v>
      </c>
      <c r="B61" s="101" t="s">
        <v>254</v>
      </c>
      <c r="C61" s="158"/>
      <c r="D61" s="725" t="s">
        <v>213</v>
      </c>
      <c r="E61" s="725"/>
      <c r="F61" s="725"/>
      <c r="G61" s="689"/>
      <c r="H61" s="689"/>
      <c r="I61" s="689"/>
      <c r="J61" s="690"/>
      <c r="K61" s="107"/>
    </row>
    <row r="62" spans="1:11" ht="13.5" thickBot="1" x14ac:dyDescent="0.35">
      <c r="A62" s="707" t="s">
        <v>253</v>
      </c>
      <c r="B62" s="708"/>
      <c r="C62" s="708"/>
      <c r="D62" s="708"/>
      <c r="E62" s="708"/>
      <c r="F62" s="708"/>
      <c r="G62" s="708"/>
      <c r="H62" s="708"/>
      <c r="I62" s="708"/>
      <c r="J62" s="709"/>
      <c r="K62" s="107"/>
    </row>
    <row r="63" spans="1:11" x14ac:dyDescent="0.3">
      <c r="A63" s="147">
        <f>A61+1</f>
        <v>50</v>
      </c>
      <c r="B63" s="106" t="s">
        <v>248</v>
      </c>
      <c r="C63" s="154" t="s">
        <v>222</v>
      </c>
      <c r="D63" s="710" t="s">
        <v>251</v>
      </c>
      <c r="E63" s="710"/>
      <c r="F63" s="710"/>
      <c r="G63" s="710" t="s">
        <v>247</v>
      </c>
      <c r="H63" s="710"/>
      <c r="I63" s="710"/>
      <c r="J63" s="711"/>
      <c r="K63" s="107"/>
    </row>
    <row r="64" spans="1:11" x14ac:dyDescent="0.3">
      <c r="A64" s="148">
        <f>A63+1</f>
        <v>51</v>
      </c>
      <c r="B64" s="157" t="s">
        <v>256</v>
      </c>
      <c r="C64" s="100" t="s">
        <v>63</v>
      </c>
      <c r="D64" s="431">
        <f>'AL Datasheet'!D77</f>
        <v>0</v>
      </c>
      <c r="E64" s="431"/>
      <c r="F64" s="431"/>
      <c r="G64" s="687" t="s">
        <v>343</v>
      </c>
      <c r="H64" s="687"/>
      <c r="I64" s="687"/>
      <c r="J64" s="688"/>
      <c r="K64" s="107"/>
    </row>
    <row r="65" spans="1:11" x14ac:dyDescent="0.3">
      <c r="A65" s="148">
        <f t="shared" ref="A65:A68" si="6">A64+1</f>
        <v>52</v>
      </c>
      <c r="B65" s="157" t="s">
        <v>257</v>
      </c>
      <c r="C65" s="100" t="s">
        <v>238</v>
      </c>
      <c r="D65" s="431" t="str">
        <f>'AL Datasheet'!D78</f>
        <v>Maximum</v>
      </c>
      <c r="E65" s="431"/>
      <c r="F65" s="431"/>
      <c r="G65" s="687"/>
      <c r="H65" s="687"/>
      <c r="I65" s="687"/>
      <c r="J65" s="688"/>
      <c r="K65" s="107"/>
    </row>
    <row r="66" spans="1:11" x14ac:dyDescent="0.3">
      <c r="A66" s="148">
        <f t="shared" si="6"/>
        <v>53</v>
      </c>
      <c r="B66" s="99" t="s">
        <v>258</v>
      </c>
      <c r="C66" s="100" t="s">
        <v>238</v>
      </c>
      <c r="D66" s="431">
        <f>'AL Datasheet'!D79</f>
        <v>120</v>
      </c>
      <c r="E66" s="431"/>
      <c r="F66" s="431"/>
      <c r="G66" s="687"/>
      <c r="H66" s="687"/>
      <c r="I66" s="687"/>
      <c r="J66" s="688"/>
      <c r="K66" s="107"/>
    </row>
    <row r="67" spans="1:11" x14ac:dyDescent="0.3">
      <c r="A67" s="148">
        <f t="shared" si="6"/>
        <v>54</v>
      </c>
      <c r="B67" s="99" t="s">
        <v>259</v>
      </c>
      <c r="C67" s="100"/>
      <c r="D67" s="593" t="s">
        <v>255</v>
      </c>
      <c r="E67" s="593"/>
      <c r="F67" s="593"/>
      <c r="G67" s="687"/>
      <c r="H67" s="687"/>
      <c r="I67" s="687"/>
      <c r="J67" s="688"/>
      <c r="K67" s="107"/>
    </row>
    <row r="68" spans="1:11" ht="13.5" thickBot="1" x14ac:dyDescent="0.35">
      <c r="A68" s="148">
        <f t="shared" si="6"/>
        <v>55</v>
      </c>
      <c r="B68" s="101" t="s">
        <v>260</v>
      </c>
      <c r="C68" s="158" t="s">
        <v>122</v>
      </c>
      <c r="D68" s="721" t="s">
        <v>335</v>
      </c>
      <c r="E68" s="721"/>
      <c r="F68" s="721"/>
      <c r="G68" s="689"/>
      <c r="H68" s="689"/>
      <c r="I68" s="689"/>
      <c r="J68" s="690"/>
      <c r="K68" s="107"/>
    </row>
    <row r="69" spans="1:11" ht="13.5" thickBot="1" x14ac:dyDescent="0.35">
      <c r="A69" s="707" t="s">
        <v>261</v>
      </c>
      <c r="B69" s="708"/>
      <c r="C69" s="708"/>
      <c r="D69" s="708"/>
      <c r="E69" s="708"/>
      <c r="F69" s="708"/>
      <c r="G69" s="708"/>
      <c r="H69" s="708"/>
      <c r="I69" s="708"/>
      <c r="J69" s="709"/>
      <c r="K69" s="107"/>
    </row>
    <row r="70" spans="1:11" x14ac:dyDescent="0.3">
      <c r="A70" s="147">
        <f>A68+1</f>
        <v>56</v>
      </c>
      <c r="B70" s="106" t="s">
        <v>248</v>
      </c>
      <c r="C70" s="154" t="s">
        <v>222</v>
      </c>
      <c r="D70" s="154" t="s">
        <v>262</v>
      </c>
      <c r="E70" s="154" t="s">
        <v>263</v>
      </c>
      <c r="F70" s="710" t="s">
        <v>247</v>
      </c>
      <c r="G70" s="710"/>
      <c r="H70" s="710"/>
      <c r="I70" s="710"/>
      <c r="J70" s="711"/>
      <c r="K70" s="107"/>
    </row>
    <row r="71" spans="1:11" x14ac:dyDescent="0.3">
      <c r="A71" s="151">
        <f>A70+1</f>
        <v>57</v>
      </c>
      <c r="B71" s="157" t="s">
        <v>344</v>
      </c>
      <c r="C71" s="144" t="s">
        <v>330</v>
      </c>
      <c r="D71" s="143"/>
      <c r="E71" s="143"/>
      <c r="F71" s="694" t="s">
        <v>418</v>
      </c>
      <c r="G71" s="695"/>
      <c r="H71" s="695"/>
      <c r="I71" s="695"/>
      <c r="J71" s="696"/>
      <c r="K71" s="107"/>
    </row>
    <row r="72" spans="1:11" ht="14.5" customHeight="1" x14ac:dyDescent="0.3">
      <c r="A72" s="151">
        <f t="shared" ref="A72:A81" si="7">A71+1</f>
        <v>58</v>
      </c>
      <c r="B72" s="157" t="s">
        <v>370</v>
      </c>
      <c r="C72" s="144" t="s">
        <v>330</v>
      </c>
      <c r="D72" s="143"/>
      <c r="E72" s="143"/>
      <c r="F72" s="697"/>
      <c r="G72" s="698"/>
      <c r="H72" s="698"/>
      <c r="I72" s="698"/>
      <c r="J72" s="699"/>
      <c r="K72" s="107"/>
    </row>
    <row r="73" spans="1:11" ht="13" customHeight="1" x14ac:dyDescent="0.3">
      <c r="A73" s="151">
        <f t="shared" si="7"/>
        <v>59</v>
      </c>
      <c r="B73" s="157" t="s">
        <v>384</v>
      </c>
      <c r="C73" s="144" t="s">
        <v>330</v>
      </c>
      <c r="D73" s="143"/>
      <c r="E73" s="143"/>
      <c r="F73" s="697"/>
      <c r="G73" s="698"/>
      <c r="H73" s="698"/>
      <c r="I73" s="698"/>
      <c r="J73" s="699"/>
      <c r="K73" s="107"/>
    </row>
    <row r="74" spans="1:11" ht="14.5" customHeight="1" x14ac:dyDescent="0.3">
      <c r="A74" s="151">
        <f t="shared" si="7"/>
        <v>60</v>
      </c>
      <c r="B74" s="157" t="s">
        <v>316</v>
      </c>
      <c r="C74" s="100" t="s">
        <v>238</v>
      </c>
      <c r="D74" s="100" t="s">
        <v>408</v>
      </c>
      <c r="E74" s="171" t="s">
        <v>408</v>
      </c>
      <c r="F74" s="697"/>
      <c r="G74" s="698"/>
      <c r="H74" s="698"/>
      <c r="I74" s="698"/>
      <c r="J74" s="699"/>
      <c r="K74" s="107"/>
    </row>
    <row r="75" spans="1:11" ht="14.5" customHeight="1" x14ac:dyDescent="0.3">
      <c r="A75" s="151">
        <f t="shared" si="7"/>
        <v>61</v>
      </c>
      <c r="B75" s="157" t="s">
        <v>385</v>
      </c>
      <c r="C75" s="100" t="s">
        <v>330</v>
      </c>
      <c r="D75" s="100"/>
      <c r="E75" s="113"/>
      <c r="F75" s="697"/>
      <c r="G75" s="698"/>
      <c r="H75" s="698"/>
      <c r="I75" s="698"/>
      <c r="J75" s="699"/>
      <c r="K75" s="107"/>
    </row>
    <row r="76" spans="1:11" ht="14.5" customHeight="1" x14ac:dyDescent="0.3">
      <c r="A76" s="151">
        <f t="shared" si="7"/>
        <v>62</v>
      </c>
      <c r="B76" s="157" t="s">
        <v>317</v>
      </c>
      <c r="C76" s="100" t="s">
        <v>238</v>
      </c>
      <c r="D76" s="100" t="s">
        <v>408</v>
      </c>
      <c r="E76" s="155" t="s">
        <v>408</v>
      </c>
      <c r="F76" s="697"/>
      <c r="G76" s="698"/>
      <c r="H76" s="698"/>
      <c r="I76" s="698"/>
      <c r="J76" s="699"/>
      <c r="K76" s="107"/>
    </row>
    <row r="77" spans="1:11" ht="14.5" customHeight="1" x14ac:dyDescent="0.3">
      <c r="A77" s="151">
        <f t="shared" si="7"/>
        <v>63</v>
      </c>
      <c r="B77" s="157" t="s">
        <v>318</v>
      </c>
      <c r="C77" s="100" t="s">
        <v>330</v>
      </c>
      <c r="D77" s="100"/>
      <c r="E77" s="113"/>
      <c r="F77" s="697"/>
      <c r="G77" s="698"/>
      <c r="H77" s="698"/>
      <c r="I77" s="698"/>
      <c r="J77" s="699"/>
      <c r="K77" s="107"/>
    </row>
    <row r="78" spans="1:11" ht="14.5" customHeight="1" x14ac:dyDescent="0.3">
      <c r="A78" s="151">
        <f t="shared" si="7"/>
        <v>64</v>
      </c>
      <c r="B78" s="157" t="s">
        <v>419</v>
      </c>
      <c r="C78" s="100" t="s">
        <v>238</v>
      </c>
      <c r="D78" s="100" t="s">
        <v>408</v>
      </c>
      <c r="E78" s="155" t="s">
        <v>408</v>
      </c>
      <c r="F78" s="697"/>
      <c r="G78" s="698"/>
      <c r="H78" s="698"/>
      <c r="I78" s="698"/>
      <c r="J78" s="699"/>
      <c r="K78" s="107"/>
    </row>
    <row r="79" spans="1:11" ht="14.5" customHeight="1" x14ac:dyDescent="0.3">
      <c r="A79" s="151">
        <f t="shared" si="7"/>
        <v>65</v>
      </c>
      <c r="B79" s="99" t="s">
        <v>252</v>
      </c>
      <c r="C79" s="100" t="s">
        <v>330</v>
      </c>
      <c r="D79" s="100"/>
      <c r="E79" s="113"/>
      <c r="F79" s="697"/>
      <c r="G79" s="698"/>
      <c r="H79" s="698"/>
      <c r="I79" s="698"/>
      <c r="J79" s="699"/>
      <c r="K79" s="107"/>
    </row>
    <row r="80" spans="1:11" ht="14.5" customHeight="1" x14ac:dyDescent="0.3">
      <c r="A80" s="151">
        <f t="shared" si="7"/>
        <v>66</v>
      </c>
      <c r="B80" s="99" t="s">
        <v>321</v>
      </c>
      <c r="C80" s="100" t="s">
        <v>330</v>
      </c>
      <c r="D80" s="100"/>
      <c r="E80" s="113"/>
      <c r="F80" s="697"/>
      <c r="G80" s="698"/>
      <c r="H80" s="698"/>
      <c r="I80" s="698"/>
      <c r="J80" s="699"/>
      <c r="K80" s="107"/>
    </row>
    <row r="81" spans="1:11" ht="15" customHeight="1" thickBot="1" x14ac:dyDescent="0.35">
      <c r="A81" s="151">
        <f t="shared" si="7"/>
        <v>67</v>
      </c>
      <c r="B81" s="101" t="s">
        <v>264</v>
      </c>
      <c r="C81" s="158" t="s">
        <v>330</v>
      </c>
      <c r="D81" s="158"/>
      <c r="E81" s="114"/>
      <c r="F81" s="700"/>
      <c r="G81" s="701"/>
      <c r="H81" s="701"/>
      <c r="I81" s="701"/>
      <c r="J81" s="702"/>
      <c r="K81" s="107"/>
    </row>
    <row r="82" spans="1:11" ht="13.5" thickBot="1" x14ac:dyDescent="0.35">
      <c r="A82" s="707" t="s">
        <v>265</v>
      </c>
      <c r="B82" s="708"/>
      <c r="C82" s="708"/>
      <c r="D82" s="708"/>
      <c r="E82" s="708"/>
      <c r="F82" s="708"/>
      <c r="G82" s="708"/>
      <c r="H82" s="708"/>
      <c r="I82" s="708"/>
      <c r="J82" s="709"/>
      <c r="K82" s="107"/>
    </row>
    <row r="83" spans="1:11" x14ac:dyDescent="0.3">
      <c r="A83" s="722" t="s">
        <v>420</v>
      </c>
      <c r="B83" s="723"/>
      <c r="C83" s="723"/>
      <c r="D83" s="723"/>
      <c r="E83" s="723"/>
      <c r="F83" s="723"/>
      <c r="G83" s="723"/>
      <c r="H83" s="723"/>
      <c r="I83" s="723"/>
      <c r="J83" s="724"/>
      <c r="K83" s="107"/>
    </row>
    <row r="84" spans="1:11" x14ac:dyDescent="0.3">
      <c r="A84" s="691" t="s">
        <v>421</v>
      </c>
      <c r="B84" s="692"/>
      <c r="C84" s="692"/>
      <c r="D84" s="692"/>
      <c r="E84" s="692"/>
      <c r="F84" s="692"/>
      <c r="G84" s="692"/>
      <c r="H84" s="692"/>
      <c r="I84" s="692"/>
      <c r="J84" s="693"/>
      <c r="K84" s="107"/>
    </row>
    <row r="85" spans="1:11" x14ac:dyDescent="0.3">
      <c r="A85" s="691" t="s">
        <v>422</v>
      </c>
      <c r="B85" s="692"/>
      <c r="C85" s="692"/>
      <c r="D85" s="692"/>
      <c r="E85" s="692"/>
      <c r="F85" s="692"/>
      <c r="G85" s="692"/>
      <c r="H85" s="692"/>
      <c r="I85" s="692"/>
      <c r="J85" s="693"/>
      <c r="K85" s="107"/>
    </row>
    <row r="86" spans="1:11" x14ac:dyDescent="0.3">
      <c r="A86" s="691" t="s">
        <v>423</v>
      </c>
      <c r="B86" s="692"/>
      <c r="C86" s="692"/>
      <c r="D86" s="692"/>
      <c r="E86" s="692"/>
      <c r="F86" s="692"/>
      <c r="G86" s="692"/>
      <c r="H86" s="692"/>
      <c r="I86" s="692"/>
      <c r="J86" s="693"/>
      <c r="K86" s="107"/>
    </row>
    <row r="87" spans="1:11" x14ac:dyDescent="0.3">
      <c r="A87" s="691" t="s">
        <v>268</v>
      </c>
      <c r="B87" s="692"/>
      <c r="C87" s="692"/>
      <c r="D87" s="692"/>
      <c r="E87" s="692"/>
      <c r="F87" s="692"/>
      <c r="G87" s="692"/>
      <c r="H87" s="692"/>
      <c r="I87" s="692"/>
      <c r="J87" s="693"/>
      <c r="K87" s="107"/>
    </row>
    <row r="88" spans="1:11" x14ac:dyDescent="0.3">
      <c r="A88" s="691" t="s">
        <v>424</v>
      </c>
      <c r="B88" s="692"/>
      <c r="C88" s="692"/>
      <c r="D88" s="692"/>
      <c r="E88" s="692"/>
      <c r="F88" s="692"/>
      <c r="G88" s="692"/>
      <c r="H88" s="692"/>
      <c r="I88" s="692"/>
      <c r="J88" s="693"/>
      <c r="K88" s="107"/>
    </row>
    <row r="89" spans="1:11" x14ac:dyDescent="0.3">
      <c r="A89" s="691" t="s">
        <v>331</v>
      </c>
      <c r="B89" s="692"/>
      <c r="C89" s="692"/>
      <c r="D89" s="692"/>
      <c r="E89" s="692"/>
      <c r="F89" s="692"/>
      <c r="G89" s="692"/>
      <c r="H89" s="692"/>
      <c r="I89" s="692"/>
      <c r="J89" s="693"/>
      <c r="K89" s="107"/>
    </row>
    <row r="90" spans="1:11" x14ac:dyDescent="0.3">
      <c r="A90" s="691"/>
      <c r="B90" s="692"/>
      <c r="C90" s="692"/>
      <c r="D90" s="692"/>
      <c r="E90" s="692"/>
      <c r="F90" s="692"/>
      <c r="G90" s="692"/>
      <c r="H90" s="692"/>
      <c r="I90" s="692"/>
      <c r="J90" s="693"/>
      <c r="K90" s="107"/>
    </row>
    <row r="91" spans="1:11" x14ac:dyDescent="0.3">
      <c r="A91" s="718"/>
      <c r="B91" s="719"/>
      <c r="C91" s="719"/>
      <c r="D91" s="719"/>
      <c r="E91" s="719"/>
      <c r="F91" s="719"/>
      <c r="G91" s="719"/>
      <c r="H91" s="719"/>
      <c r="I91" s="719"/>
      <c r="J91" s="720"/>
      <c r="K91" s="107"/>
    </row>
    <row r="92" spans="1:11" ht="15" customHeight="1" x14ac:dyDescent="0.3">
      <c r="A92" s="718"/>
      <c r="B92" s="719"/>
      <c r="C92" s="719"/>
      <c r="D92" s="719"/>
      <c r="E92" s="719"/>
      <c r="F92" s="719"/>
      <c r="G92" s="719"/>
      <c r="H92" s="719"/>
      <c r="I92" s="719"/>
      <c r="J92" s="720"/>
      <c r="K92" s="107"/>
    </row>
    <row r="93" spans="1:11" ht="15" customHeight="1" thickBot="1" x14ac:dyDescent="0.35">
      <c r="A93" s="712"/>
      <c r="B93" s="713"/>
      <c r="C93" s="713"/>
      <c r="D93" s="713"/>
      <c r="E93" s="713"/>
      <c r="F93" s="713"/>
      <c r="G93" s="713"/>
      <c r="H93" s="713"/>
      <c r="I93" s="713"/>
      <c r="J93" s="714"/>
      <c r="K93" s="115"/>
    </row>
    <row r="94" spans="1:11" ht="15" customHeight="1" thickBot="1" x14ac:dyDescent="0.35">
      <c r="A94" s="715" t="s">
        <v>269</v>
      </c>
      <c r="B94" s="716"/>
      <c r="C94" s="716"/>
      <c r="D94" s="716"/>
      <c r="E94" s="716"/>
      <c r="F94" s="716"/>
      <c r="G94" s="716"/>
      <c r="H94" s="716"/>
      <c r="I94" s="716"/>
      <c r="J94" s="716"/>
      <c r="K94" s="717"/>
    </row>
    <row r="95" spans="1:11" ht="14.5" customHeight="1" x14ac:dyDescent="0.3"/>
  </sheetData>
  <mergeCells count="74">
    <mergeCell ref="D11:F11"/>
    <mergeCell ref="H11:J11"/>
    <mergeCell ref="A1:K1"/>
    <mergeCell ref="A2:B5"/>
    <mergeCell ref="D2:G2"/>
    <mergeCell ref="H2:K2"/>
    <mergeCell ref="D3:G3"/>
    <mergeCell ref="H3:K3"/>
    <mergeCell ref="D4:G4"/>
    <mergeCell ref="D5:G5"/>
    <mergeCell ref="A6:K6"/>
    <mergeCell ref="A7:J7"/>
    <mergeCell ref="C8:J8"/>
    <mergeCell ref="C9:J9"/>
    <mergeCell ref="C10:J10"/>
    <mergeCell ref="C12:J12"/>
    <mergeCell ref="A14:J14"/>
    <mergeCell ref="G15:J15"/>
    <mergeCell ref="G16:J27"/>
    <mergeCell ref="B20:F20"/>
    <mergeCell ref="D21:F21"/>
    <mergeCell ref="D22:F22"/>
    <mergeCell ref="D23:F23"/>
    <mergeCell ref="D24:F24"/>
    <mergeCell ref="D25:F25"/>
    <mergeCell ref="D26:F26"/>
    <mergeCell ref="D27:F27"/>
    <mergeCell ref="A28:J28"/>
    <mergeCell ref="G29:J29"/>
    <mergeCell ref="G30:J40"/>
    <mergeCell ref="D36:F36"/>
    <mergeCell ref="A41:J41"/>
    <mergeCell ref="G42:J42"/>
    <mergeCell ref="D43:F43"/>
    <mergeCell ref="G43:J47"/>
    <mergeCell ref="D44:F44"/>
    <mergeCell ref="D46:F46"/>
    <mergeCell ref="A48:J48"/>
    <mergeCell ref="G49:J49"/>
    <mergeCell ref="G50:J54"/>
    <mergeCell ref="A55:J55"/>
    <mergeCell ref="D56:F56"/>
    <mergeCell ref="G56:J56"/>
    <mergeCell ref="D57:F57"/>
    <mergeCell ref="G57:J61"/>
    <mergeCell ref="D58:F58"/>
    <mergeCell ref="D59:F59"/>
    <mergeCell ref="D60:F60"/>
    <mergeCell ref="D61:F61"/>
    <mergeCell ref="A84:J84"/>
    <mergeCell ref="A62:J62"/>
    <mergeCell ref="D63:F63"/>
    <mergeCell ref="G63:J63"/>
    <mergeCell ref="D64:F64"/>
    <mergeCell ref="G64:J68"/>
    <mergeCell ref="D65:F65"/>
    <mergeCell ref="D66:F66"/>
    <mergeCell ref="D67:F67"/>
    <mergeCell ref="D68:F68"/>
    <mergeCell ref="A69:J69"/>
    <mergeCell ref="F70:J70"/>
    <mergeCell ref="F71:J81"/>
    <mergeCell ref="A82:J82"/>
    <mergeCell ref="A83:J83"/>
    <mergeCell ref="A91:J91"/>
    <mergeCell ref="A92:J92"/>
    <mergeCell ref="A93:J93"/>
    <mergeCell ref="A94:K94"/>
    <mergeCell ref="A85:J85"/>
    <mergeCell ref="A86:J86"/>
    <mergeCell ref="A87:J87"/>
    <mergeCell ref="A88:J88"/>
    <mergeCell ref="A89:J89"/>
    <mergeCell ref="A90:J90"/>
  </mergeCells>
  <pageMargins left="0.7" right="0.7" top="0.75" bottom="0.75" header="0.3" footer="0.3"/>
  <pageSetup paperSize="8" scale="7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from>
                    <xdr:col>3</xdr:col>
                    <xdr:colOff>260350</xdr:colOff>
                    <xdr:row>69</xdr:row>
                    <xdr:rowOff>146050</xdr:rowOff>
                  </from>
                  <to>
                    <xdr:col>3</xdr:col>
                    <xdr:colOff>679450</xdr:colOff>
                    <xdr:row>71</xdr:row>
                    <xdr:rowOff>38100</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from>
                    <xdr:col>3</xdr:col>
                    <xdr:colOff>260350</xdr:colOff>
                    <xdr:row>77</xdr:row>
                    <xdr:rowOff>146050</xdr:rowOff>
                  </from>
                  <to>
                    <xdr:col>3</xdr:col>
                    <xdr:colOff>679450</xdr:colOff>
                    <xdr:row>78</xdr:row>
                    <xdr:rowOff>184150</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from>
                    <xdr:col>3</xdr:col>
                    <xdr:colOff>260350</xdr:colOff>
                    <xdr:row>78</xdr:row>
                    <xdr:rowOff>146050</xdr:rowOff>
                  </from>
                  <to>
                    <xdr:col>3</xdr:col>
                    <xdr:colOff>679450</xdr:colOff>
                    <xdr:row>79</xdr:row>
                    <xdr:rowOff>184150</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from>
                    <xdr:col>4</xdr:col>
                    <xdr:colOff>241300</xdr:colOff>
                    <xdr:row>69</xdr:row>
                    <xdr:rowOff>146050</xdr:rowOff>
                  </from>
                  <to>
                    <xdr:col>4</xdr:col>
                    <xdr:colOff>647700</xdr:colOff>
                    <xdr:row>71</xdr:row>
                    <xdr:rowOff>38100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from>
                    <xdr:col>4</xdr:col>
                    <xdr:colOff>241300</xdr:colOff>
                    <xdr:row>77</xdr:row>
                    <xdr:rowOff>146050</xdr:rowOff>
                  </from>
                  <to>
                    <xdr:col>4</xdr:col>
                    <xdr:colOff>647700</xdr:colOff>
                    <xdr:row>78</xdr:row>
                    <xdr:rowOff>184150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from>
                    <xdr:col>4</xdr:col>
                    <xdr:colOff>241300</xdr:colOff>
                    <xdr:row>78</xdr:row>
                    <xdr:rowOff>146050</xdr:rowOff>
                  </from>
                  <to>
                    <xdr:col>4</xdr:col>
                    <xdr:colOff>660400</xdr:colOff>
                    <xdr:row>79</xdr:row>
                    <xdr:rowOff>184150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from>
                    <xdr:col>3</xdr:col>
                    <xdr:colOff>260350</xdr:colOff>
                    <xdr:row>79</xdr:row>
                    <xdr:rowOff>146050</xdr:rowOff>
                  </from>
                  <to>
                    <xdr:col>3</xdr:col>
                    <xdr:colOff>679450</xdr:colOff>
                    <xdr:row>80</xdr:row>
                    <xdr:rowOff>184150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from>
                    <xdr:col>4</xdr:col>
                    <xdr:colOff>241300</xdr:colOff>
                    <xdr:row>79</xdr:row>
                    <xdr:rowOff>146050</xdr:rowOff>
                  </from>
                  <to>
                    <xdr:col>4</xdr:col>
                    <xdr:colOff>647700</xdr:colOff>
                    <xdr:row>80</xdr:row>
                    <xdr:rowOff>184150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from>
                    <xdr:col>3</xdr:col>
                    <xdr:colOff>260350</xdr:colOff>
                    <xdr:row>73</xdr:row>
                    <xdr:rowOff>152400</xdr:rowOff>
                  </from>
                  <to>
                    <xdr:col>3</xdr:col>
                    <xdr:colOff>679450</xdr:colOff>
                    <xdr:row>75</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from>
                    <xdr:col>4</xdr:col>
                    <xdr:colOff>241300</xdr:colOff>
                    <xdr:row>73</xdr:row>
                    <xdr:rowOff>146050</xdr:rowOff>
                  </from>
                  <to>
                    <xdr:col>4</xdr:col>
                    <xdr:colOff>660400</xdr:colOff>
                    <xdr:row>74</xdr:row>
                    <xdr:rowOff>184150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from>
                    <xdr:col>3</xdr:col>
                    <xdr:colOff>260350</xdr:colOff>
                    <xdr:row>75</xdr:row>
                    <xdr:rowOff>152400</xdr:rowOff>
                  </from>
                  <to>
                    <xdr:col>3</xdr:col>
                    <xdr:colOff>679450</xdr:colOff>
                    <xdr:row>77</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from>
                    <xdr:col>4</xdr:col>
                    <xdr:colOff>241300</xdr:colOff>
                    <xdr:row>75</xdr:row>
                    <xdr:rowOff>146050</xdr:rowOff>
                  </from>
                  <to>
                    <xdr:col>4</xdr:col>
                    <xdr:colOff>660400</xdr:colOff>
                    <xdr:row>76</xdr:row>
                    <xdr:rowOff>184150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from>
                    <xdr:col>3</xdr:col>
                    <xdr:colOff>260350</xdr:colOff>
                    <xdr:row>71</xdr:row>
                    <xdr:rowOff>146050</xdr:rowOff>
                  </from>
                  <to>
                    <xdr:col>3</xdr:col>
                    <xdr:colOff>679450</xdr:colOff>
                    <xdr:row>73</xdr:row>
                    <xdr:rowOff>12700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from>
                    <xdr:col>4</xdr:col>
                    <xdr:colOff>241300</xdr:colOff>
                    <xdr:row>71</xdr:row>
                    <xdr:rowOff>146050</xdr:rowOff>
                  </from>
                  <to>
                    <xdr:col>4</xdr:col>
                    <xdr:colOff>647700</xdr:colOff>
                    <xdr:row>73</xdr:row>
                    <xdr:rowOff>12700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from>
                    <xdr:col>3</xdr:col>
                    <xdr:colOff>260350</xdr:colOff>
                    <xdr:row>70</xdr:row>
                    <xdr:rowOff>146050</xdr:rowOff>
                  </from>
                  <to>
                    <xdr:col>3</xdr:col>
                    <xdr:colOff>679450</xdr:colOff>
                    <xdr:row>72</xdr:row>
                    <xdr:rowOff>12700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from>
                    <xdr:col>4</xdr:col>
                    <xdr:colOff>241300</xdr:colOff>
                    <xdr:row>70</xdr:row>
                    <xdr:rowOff>146050</xdr:rowOff>
                  </from>
                  <to>
                    <xdr:col>4</xdr:col>
                    <xdr:colOff>647700</xdr:colOff>
                    <xdr:row>72</xdr:row>
                    <xdr:rowOff>12700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from>
                    <xdr:col>2</xdr:col>
                    <xdr:colOff>222250</xdr:colOff>
                    <xdr:row>9</xdr:row>
                    <xdr:rowOff>184150</xdr:rowOff>
                  </from>
                  <to>
                    <xdr:col>2</xdr:col>
                    <xdr:colOff>622300</xdr:colOff>
                    <xdr:row>11</xdr:row>
                    <xdr:rowOff>31750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from>
                    <xdr:col>2</xdr:col>
                    <xdr:colOff>222250</xdr:colOff>
                    <xdr:row>9</xdr:row>
                    <xdr:rowOff>184150</xdr:rowOff>
                  </from>
                  <to>
                    <xdr:col>2</xdr:col>
                    <xdr:colOff>622300</xdr:colOff>
                    <xdr:row>11</xdr:row>
                    <xdr:rowOff>31750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from>
                    <xdr:col>6</xdr:col>
                    <xdr:colOff>222250</xdr:colOff>
                    <xdr:row>9</xdr:row>
                    <xdr:rowOff>184150</xdr:rowOff>
                  </from>
                  <to>
                    <xdr:col>6</xdr:col>
                    <xdr:colOff>622300</xdr:colOff>
                    <xdr:row>11</xdr:row>
                    <xdr:rowOff>31750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from>
                    <xdr:col>2</xdr:col>
                    <xdr:colOff>12700</xdr:colOff>
                    <xdr:row>11</xdr:row>
                    <xdr:rowOff>165100</xdr:rowOff>
                  </from>
                  <to>
                    <xdr:col>2</xdr:col>
                    <xdr:colOff>431800</xdr:colOff>
                    <xdr:row>13</xdr:row>
                    <xdr:rowOff>12700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from>
                    <xdr:col>6</xdr:col>
                    <xdr:colOff>755650</xdr:colOff>
                    <xdr:row>11</xdr:row>
                    <xdr:rowOff>184150</xdr:rowOff>
                  </from>
                  <to>
                    <xdr:col>7</xdr:col>
                    <xdr:colOff>412750</xdr:colOff>
                    <xdr:row>13</xdr:row>
                    <xdr:rowOff>38100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from>
                    <xdr:col>4</xdr:col>
                    <xdr:colOff>431800</xdr:colOff>
                    <xdr:row>11</xdr:row>
                    <xdr:rowOff>165100</xdr:rowOff>
                  </from>
                  <to>
                    <xdr:col>5</xdr:col>
                    <xdr:colOff>184150</xdr:colOff>
                    <xdr:row>13</xdr:row>
                    <xdr:rowOff>31750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346F6-753D-4193-B2F4-4B72C175BD36}">
  <sheetPr>
    <pageSetUpPr fitToPage="1"/>
  </sheetPr>
  <dimension ref="A1:P103"/>
  <sheetViews>
    <sheetView zoomScale="70" zoomScaleNormal="70" workbookViewId="0">
      <selection activeCell="H2" sqref="H2:K2"/>
    </sheetView>
  </sheetViews>
  <sheetFormatPr defaultColWidth="8.54296875" defaultRowHeight="13" x14ac:dyDescent="0.3"/>
  <cols>
    <col min="1" max="1" width="3.453125" style="152" customWidth="1"/>
    <col min="2" max="2" width="35" style="104" customWidth="1"/>
    <col min="3" max="3" width="9.54296875" style="104" customWidth="1"/>
    <col min="4" max="4" width="9.81640625" style="104" bestFit="1" customWidth="1"/>
    <col min="5" max="5" width="9.54296875" style="104" bestFit="1" customWidth="1"/>
    <col min="6" max="6" width="11.54296875" style="104" customWidth="1"/>
    <col min="7" max="7" width="10.54296875" style="104" customWidth="1"/>
    <col min="8" max="8" width="8.54296875" style="104" bestFit="1" customWidth="1"/>
    <col min="9" max="9" width="6.81640625" style="104" bestFit="1" customWidth="1"/>
    <col min="10" max="10" width="7.453125" style="104" customWidth="1"/>
    <col min="11" max="11" width="5" style="245" customWidth="1"/>
    <col min="12" max="12" width="8.54296875" style="104"/>
    <col min="13" max="13" width="19.453125" style="104" bestFit="1" customWidth="1"/>
    <col min="14" max="14" width="8.54296875" style="104"/>
    <col min="15" max="16" width="28.1796875" style="104" customWidth="1"/>
    <col min="17" max="16384" width="8.54296875" style="104"/>
  </cols>
  <sheetData>
    <row r="1" spans="1:16" ht="13.5" thickBot="1" x14ac:dyDescent="0.35">
      <c r="A1" s="707" t="s">
        <v>224</v>
      </c>
      <c r="B1" s="708"/>
      <c r="C1" s="708"/>
      <c r="D1" s="708"/>
      <c r="E1" s="708"/>
      <c r="F1" s="708"/>
      <c r="G1" s="708"/>
      <c r="H1" s="708"/>
      <c r="I1" s="708"/>
      <c r="J1" s="708"/>
      <c r="K1" s="709"/>
    </row>
    <row r="2" spans="1:16" ht="14.5" customHeight="1" x14ac:dyDescent="0.3">
      <c r="A2" s="731"/>
      <c r="B2" s="732"/>
      <c r="C2" s="275" t="s">
        <v>219</v>
      </c>
      <c r="D2" s="737" t="s">
        <v>524</v>
      </c>
      <c r="E2" s="737"/>
      <c r="F2" s="737"/>
      <c r="G2" s="737"/>
      <c r="H2" s="738" t="s">
        <v>841</v>
      </c>
      <c r="I2" s="738"/>
      <c r="J2" s="738"/>
      <c r="K2" s="739"/>
    </row>
    <row r="3" spans="1:16" ht="14.5" customHeight="1" x14ac:dyDescent="0.3">
      <c r="A3" s="733"/>
      <c r="B3" s="734"/>
      <c r="C3" s="274" t="s">
        <v>210</v>
      </c>
      <c r="D3" s="602" t="s">
        <v>332</v>
      </c>
      <c r="E3" s="602"/>
      <c r="F3" s="602"/>
      <c r="G3" s="602"/>
      <c r="H3" s="593" t="s">
        <v>223</v>
      </c>
      <c r="I3" s="593"/>
      <c r="J3" s="593"/>
      <c r="K3" s="740"/>
    </row>
    <row r="4" spans="1:16" ht="14.5" customHeight="1" x14ac:dyDescent="0.3">
      <c r="A4" s="733"/>
      <c r="B4" s="734"/>
      <c r="C4" s="274" t="s">
        <v>212</v>
      </c>
      <c r="D4" s="602" t="s">
        <v>525</v>
      </c>
      <c r="E4" s="602"/>
      <c r="F4" s="602"/>
      <c r="G4" s="602"/>
      <c r="H4" s="105" t="s">
        <v>231</v>
      </c>
      <c r="I4" s="105" t="s">
        <v>229</v>
      </c>
      <c r="J4" s="105" t="s">
        <v>230</v>
      </c>
      <c r="K4" s="111" t="s">
        <v>235</v>
      </c>
    </row>
    <row r="5" spans="1:16" ht="15" customHeight="1" thickBot="1" x14ac:dyDescent="0.35">
      <c r="A5" s="735"/>
      <c r="B5" s="736"/>
      <c r="C5" s="276" t="s">
        <v>526</v>
      </c>
      <c r="D5" s="741" t="s">
        <v>228</v>
      </c>
      <c r="E5" s="741"/>
      <c r="F5" s="741"/>
      <c r="G5" s="741"/>
      <c r="H5" s="102" t="s">
        <v>232</v>
      </c>
      <c r="I5" s="102" t="s">
        <v>234</v>
      </c>
      <c r="J5" s="102" t="s">
        <v>233</v>
      </c>
      <c r="K5" s="103" t="s">
        <v>46</v>
      </c>
    </row>
    <row r="6" spans="1:16" ht="8.15" customHeight="1" thickBot="1" x14ac:dyDescent="0.35">
      <c r="A6" s="742"/>
      <c r="B6" s="743"/>
      <c r="C6" s="743"/>
      <c r="D6" s="743"/>
      <c r="E6" s="743"/>
      <c r="F6" s="743"/>
      <c r="G6" s="743"/>
      <c r="H6" s="743"/>
      <c r="I6" s="743"/>
      <c r="J6" s="743"/>
      <c r="K6" s="744"/>
    </row>
    <row r="7" spans="1:16" ht="13.5" thickBot="1" x14ac:dyDescent="0.35">
      <c r="A7" s="707" t="s">
        <v>236</v>
      </c>
      <c r="B7" s="708"/>
      <c r="C7" s="708"/>
      <c r="D7" s="708"/>
      <c r="E7" s="708"/>
      <c r="F7" s="708"/>
      <c r="G7" s="708"/>
      <c r="H7" s="708"/>
      <c r="I7" s="708"/>
      <c r="J7" s="709"/>
      <c r="K7" s="228" t="s">
        <v>235</v>
      </c>
      <c r="M7" s="104" t="s">
        <v>6</v>
      </c>
      <c r="O7" s="137">
        <v>1</v>
      </c>
      <c r="P7" s="137">
        <v>2</v>
      </c>
    </row>
    <row r="8" spans="1:16" x14ac:dyDescent="0.3">
      <c r="A8" s="151">
        <v>1</v>
      </c>
      <c r="B8" s="279" t="s">
        <v>277</v>
      </c>
      <c r="C8" s="775" t="s">
        <v>825</v>
      </c>
      <c r="D8" s="775"/>
      <c r="E8" s="775"/>
      <c r="F8" s="775"/>
      <c r="G8" s="775"/>
      <c r="H8" s="775"/>
      <c r="I8" s="775"/>
      <c r="J8" s="776"/>
      <c r="K8" s="230"/>
      <c r="M8" s="104" t="s">
        <v>14</v>
      </c>
      <c r="O8" s="104" t="str">
        <f>HLOOKUP(O7,'Property Calc_Design Flow'!$E$2:$ED$3,2,FALSE)</f>
        <v>RAW GAS TO H2S GUARD BEDS</v>
      </c>
      <c r="P8" s="104" t="str">
        <f>HLOOKUP(P7,'Property Calc_Design Flow'!$E$2:$ED$3,2,FALSE)</f>
        <v xml:space="preserve">RAW FEED TO LOW PRESSURE SEPARATOR </v>
      </c>
    </row>
    <row r="9" spans="1:16" ht="14.5" x14ac:dyDescent="0.35">
      <c r="A9" s="148">
        <f>A8+1</f>
        <v>2</v>
      </c>
      <c r="B9" s="274" t="s">
        <v>275</v>
      </c>
      <c r="C9" s="602" t="s">
        <v>762</v>
      </c>
      <c r="D9" s="602"/>
      <c r="E9" s="602"/>
      <c r="F9" s="602"/>
      <c r="G9" s="602"/>
      <c r="H9" s="602"/>
      <c r="I9" s="602"/>
      <c r="J9" s="749"/>
      <c r="K9" s="108"/>
      <c r="M9" s="19" t="s">
        <v>1</v>
      </c>
      <c r="N9" s="268" t="s">
        <v>5</v>
      </c>
      <c r="O9" s="268">
        <f>HLOOKUP(O$8,'Property Calc_Design Flow'!$E$3:$EJ$25,MATCH(M9,'Property Calc_Design Flow'!$C$3:$C$24,0),FALSE)</f>
        <v>65</v>
      </c>
      <c r="P9" s="268">
        <f>HLOOKUP(P$8,'Property Calc_Design Flow'!$E$3:$EJ$25,MATCH(M9,'Property Calc_Design Flow'!$C$3:$C$24,0),FALSE)</f>
        <v>63</v>
      </c>
    </row>
    <row r="10" spans="1:16" ht="14.5" x14ac:dyDescent="0.35">
      <c r="A10" s="149">
        <f>A9+1</f>
        <v>3</v>
      </c>
      <c r="B10" s="282" t="s">
        <v>279</v>
      </c>
      <c r="C10" s="602" t="s">
        <v>826</v>
      </c>
      <c r="D10" s="602"/>
      <c r="E10" s="602"/>
      <c r="F10" s="602"/>
      <c r="G10" s="602"/>
      <c r="H10" s="602"/>
      <c r="I10" s="602"/>
      <c r="J10" s="749"/>
      <c r="K10" s="108"/>
      <c r="M10" s="19" t="s">
        <v>0</v>
      </c>
      <c r="N10" s="268" t="s">
        <v>4</v>
      </c>
      <c r="O10" s="268">
        <f>HLOOKUP(O$8,'Property Calc_Design Flow'!$E$3:$EJ$25,MATCH(M10,'Property Calc_Design Flow'!$C$3:$C$24,0),FALSE)</f>
        <v>70</v>
      </c>
      <c r="P10" s="268">
        <f>HLOOKUP(P$8,'Property Calc_Design Flow'!$E$3:$EJ$25,MATCH(M10,'Property Calc_Design Flow'!$C$3:$C$24,0),FALSE)</f>
        <v>70</v>
      </c>
    </row>
    <row r="11" spans="1:16" ht="14.5" x14ac:dyDescent="0.35">
      <c r="A11" s="148">
        <f>A10+1</f>
        <v>4</v>
      </c>
      <c r="B11" s="274" t="s">
        <v>225</v>
      </c>
      <c r="C11" s="602" t="s">
        <v>827</v>
      </c>
      <c r="D11" s="602"/>
      <c r="E11" s="602"/>
      <c r="F11" s="602"/>
      <c r="G11" s="602"/>
      <c r="H11" s="602"/>
      <c r="I11" s="602"/>
      <c r="J11" s="749"/>
      <c r="K11" s="247"/>
      <c r="M11" s="19" t="s">
        <v>26</v>
      </c>
      <c r="N11" s="268" t="s">
        <v>27</v>
      </c>
      <c r="O11" s="268">
        <f>HLOOKUP(O$8,'Property Calc_Design Flow'!$E$3:$EJ$25,MATCH(M11,'Property Calc_Design Flow'!$C$3:$C$24,0),FALSE)</f>
        <v>2300.2759999999994</v>
      </c>
      <c r="P11" s="268">
        <f>HLOOKUP(P$8,'Property Calc_Design Flow'!$E$3:$EJ$25,MATCH(M11,'Property Calc_Design Flow'!$C$3:$C$24,0),FALSE)</f>
        <v>2300.1702011039997</v>
      </c>
    </row>
    <row r="12" spans="1:16" ht="15" thickBot="1" x14ac:dyDescent="0.4">
      <c r="A12" s="231">
        <f>A11+1</f>
        <v>5</v>
      </c>
      <c r="B12" s="232" t="s">
        <v>392</v>
      </c>
      <c r="C12" s="233" t="s">
        <v>393</v>
      </c>
      <c r="D12" s="234"/>
      <c r="E12" s="235"/>
      <c r="F12" s="234" t="s">
        <v>394</v>
      </c>
      <c r="G12" s="234"/>
      <c r="H12" s="236" t="s">
        <v>395</v>
      </c>
      <c r="I12" s="234"/>
      <c r="J12" s="237"/>
      <c r="K12" s="248"/>
      <c r="M12" s="19"/>
      <c r="N12" s="268"/>
      <c r="O12" s="268"/>
      <c r="P12" s="268"/>
    </row>
    <row r="13" spans="1:16" ht="15" thickBot="1" x14ac:dyDescent="0.4">
      <c r="A13" s="707" t="s">
        <v>727</v>
      </c>
      <c r="B13" s="708"/>
      <c r="C13" s="708"/>
      <c r="D13" s="708"/>
      <c r="E13" s="708"/>
      <c r="F13" s="708"/>
      <c r="G13" s="708"/>
      <c r="H13" s="708"/>
      <c r="I13" s="708"/>
      <c r="J13" s="709"/>
      <c r="K13" s="228"/>
      <c r="M13" s="19" t="s">
        <v>28</v>
      </c>
      <c r="N13" s="268" t="s">
        <v>29</v>
      </c>
      <c r="O13" s="268">
        <f>HLOOKUP(O$8,'Property Calc_Design Flow'!$E$3:$EJ$25,MATCH(M13,'Property Calc_Design Flow'!$C$3:$C$24,0),FALSE)</f>
        <v>432.42569047389247</v>
      </c>
      <c r="P13" s="268">
        <f>HLOOKUP(P$8,'Property Calc_Design Flow'!$E$3:$EJ$25,MATCH(M13,'Property Calc_Design Flow'!$C$3:$C$24,0),FALSE)</f>
        <v>443.5359379467692</v>
      </c>
    </row>
    <row r="14" spans="1:16" ht="14.5" x14ac:dyDescent="0.35">
      <c r="A14" s="151">
        <f>A12+1</f>
        <v>6</v>
      </c>
      <c r="B14" s="239" t="s">
        <v>248</v>
      </c>
      <c r="C14" s="266" t="s">
        <v>222</v>
      </c>
      <c r="D14" s="266" t="s">
        <v>215</v>
      </c>
      <c r="E14" s="266" t="s">
        <v>218</v>
      </c>
      <c r="F14" s="266" t="s">
        <v>214</v>
      </c>
      <c r="G14" s="430" t="s">
        <v>221</v>
      </c>
      <c r="H14" s="430"/>
      <c r="I14" s="430"/>
      <c r="J14" s="750"/>
      <c r="K14" s="240"/>
      <c r="M14" s="19" t="s">
        <v>2</v>
      </c>
      <c r="N14" s="268" t="s">
        <v>3</v>
      </c>
      <c r="O14" s="268">
        <f>HLOOKUP(O$8,'Property Calc_Design Flow'!$E$3:$EJ$25,MATCH(M14,'Property Calc_Design Flow'!$C$3:$C$24,0),FALSE)</f>
        <v>9802.0804711586607</v>
      </c>
      <c r="P14" s="268">
        <f>HLOOKUP(P$8,'Property Calc_Design Flow'!$E$3:$EJ$25,MATCH(M14,'Property Calc_Design Flow'!$C$3:$C$24,0),FALSE)</f>
        <v>9801.510396630898</v>
      </c>
    </row>
    <row r="15" spans="1:16" ht="14.5" x14ac:dyDescent="0.35">
      <c r="A15" s="148">
        <f>A14+1</f>
        <v>7</v>
      </c>
      <c r="B15" s="274" t="s">
        <v>728</v>
      </c>
      <c r="C15" s="100" t="s">
        <v>27</v>
      </c>
      <c r="D15" s="267">
        <f>O11</f>
        <v>2300.2759999999994</v>
      </c>
      <c r="E15" s="267">
        <f>D15</f>
        <v>2300.2759999999994</v>
      </c>
      <c r="F15" s="100">
        <v>250</v>
      </c>
      <c r="G15" s="687" t="s">
        <v>729</v>
      </c>
      <c r="H15" s="687"/>
      <c r="I15" s="687"/>
      <c r="J15" s="688"/>
      <c r="K15" s="278"/>
      <c r="M15" s="19" t="s">
        <v>30</v>
      </c>
      <c r="N15" s="268" t="s">
        <v>31</v>
      </c>
      <c r="O15" s="268">
        <f>HLOOKUP(O$8,'Property Calc_Design Flow'!$E$3:$EJ$25,MATCH(M15,'Property Calc_Design Flow'!$C$3:$C$24,0),FALSE)</f>
        <v>363.6895833882316</v>
      </c>
      <c r="P15" s="268">
        <f>HLOOKUP(P$8,'Property Calc_Design Flow'!$E$3:$EJ$25,MATCH(M15,'Property Calc_Design Flow'!$C$3:$C$24,0),FALSE)</f>
        <v>363.67285584927146</v>
      </c>
    </row>
    <row r="16" spans="1:16" ht="14.5" x14ac:dyDescent="0.35">
      <c r="A16" s="148">
        <f>A15+1</f>
        <v>8</v>
      </c>
      <c r="B16" s="99" t="s">
        <v>288</v>
      </c>
      <c r="C16" s="100" t="s">
        <v>237</v>
      </c>
      <c r="D16" s="138">
        <v>125</v>
      </c>
      <c r="E16" s="138">
        <f>O9</f>
        <v>65</v>
      </c>
      <c r="F16" s="273">
        <v>40</v>
      </c>
      <c r="G16" s="687"/>
      <c r="H16" s="687"/>
      <c r="I16" s="687"/>
      <c r="J16" s="688"/>
      <c r="K16" s="278"/>
      <c r="M16" s="19" t="s">
        <v>18</v>
      </c>
      <c r="N16" s="268"/>
      <c r="O16" s="268">
        <f>HLOOKUP(O$8,'Property Calc_Design Flow'!$E$3:$EJ$25,MATCH(M16,'Property Calc_Design Flow'!$C$3:$C$24,0),FALSE)</f>
        <v>26.951776786785587</v>
      </c>
      <c r="P16" s="268">
        <f>HLOOKUP(P$8,'Property Calc_Design Flow'!$E$3:$EJ$25,MATCH(M16,'Property Calc_Design Flow'!$C$3:$C$24,0),FALSE)</f>
        <v>26.951448916201901</v>
      </c>
    </row>
    <row r="17" spans="1:16" ht="14.5" x14ac:dyDescent="0.35">
      <c r="A17" s="148">
        <f t="shared" ref="A17:A26" si="0">A16+1</f>
        <v>9</v>
      </c>
      <c r="B17" s="99" t="s">
        <v>0</v>
      </c>
      <c r="C17" s="100" t="s">
        <v>238</v>
      </c>
      <c r="D17" s="281">
        <f>O10</f>
        <v>70</v>
      </c>
      <c r="E17" s="281">
        <f>D17</f>
        <v>70</v>
      </c>
      <c r="F17" s="281">
        <f>E17</f>
        <v>70</v>
      </c>
      <c r="G17" s="687"/>
      <c r="H17" s="687"/>
      <c r="I17" s="687"/>
      <c r="J17" s="688"/>
      <c r="K17" s="278"/>
      <c r="M17" s="19" t="s">
        <v>22</v>
      </c>
      <c r="N17" s="268" t="s">
        <v>23</v>
      </c>
      <c r="O17" s="268">
        <f>HLOOKUP(O$8,'Property Calc_Design Flow'!$E$3:$EJ$25,MATCH(M17,'Property Calc_Design Flow'!$C$3:$C$24,0),FALSE)</f>
        <v>0.99980339092408055</v>
      </c>
      <c r="P17" s="268">
        <f>HLOOKUP(P$8,'Property Calc_Design Flow'!$E$3:$EJ$25,MATCH(M17,'Property Calc_Design Flow'!$C$3:$C$24,0),FALSE)</f>
        <v>0.99980339092408033</v>
      </c>
    </row>
    <row r="18" spans="1:16" ht="14.5" x14ac:dyDescent="0.35">
      <c r="A18" s="148">
        <f t="shared" si="0"/>
        <v>10</v>
      </c>
      <c r="B18" s="99" t="s">
        <v>286</v>
      </c>
      <c r="C18" s="100"/>
      <c r="D18" s="138">
        <f>E18*1.1</f>
        <v>29.646954465464148</v>
      </c>
      <c r="E18" s="138">
        <f>O16</f>
        <v>26.951776786785587</v>
      </c>
      <c r="F18" s="138">
        <f>E18*0.9</f>
        <v>24.256599108107029</v>
      </c>
      <c r="G18" s="687"/>
      <c r="H18" s="687"/>
      <c r="I18" s="687"/>
      <c r="J18" s="688"/>
      <c r="K18" s="278"/>
      <c r="M18" s="19" t="s">
        <v>20</v>
      </c>
      <c r="N18" s="268" t="s">
        <v>21</v>
      </c>
      <c r="O18" s="268"/>
      <c r="P18" s="268"/>
    </row>
    <row r="19" spans="1:16" ht="14.5" x14ac:dyDescent="0.35">
      <c r="A19" s="148">
        <f t="shared" si="0"/>
        <v>11</v>
      </c>
      <c r="B19" s="729" t="s">
        <v>287</v>
      </c>
      <c r="C19" s="729"/>
      <c r="D19" s="729"/>
      <c r="E19" s="729"/>
      <c r="F19" s="729"/>
      <c r="G19" s="687"/>
      <c r="H19" s="687"/>
      <c r="I19" s="687"/>
      <c r="J19" s="688"/>
      <c r="K19" s="278"/>
      <c r="M19" s="139"/>
      <c r="N19" s="272"/>
      <c r="O19" s="268"/>
      <c r="P19" s="268"/>
    </row>
    <row r="20" spans="1:16" ht="15" x14ac:dyDescent="0.4">
      <c r="A20" s="148">
        <f t="shared" si="0"/>
        <v>12</v>
      </c>
      <c r="B20" s="99" t="s">
        <v>240</v>
      </c>
      <c r="C20" s="100" t="s">
        <v>122</v>
      </c>
      <c r="D20" s="803">
        <f>O21</f>
        <v>60.132784065912091</v>
      </c>
      <c r="E20" s="803"/>
      <c r="F20" s="803"/>
      <c r="G20" s="687"/>
      <c r="H20" s="687"/>
      <c r="I20" s="687"/>
      <c r="J20" s="688"/>
      <c r="K20" s="278"/>
      <c r="M20" s="98" t="s">
        <v>159</v>
      </c>
      <c r="N20" s="270" t="s">
        <v>3</v>
      </c>
      <c r="O20" s="268">
        <f>HLOOKUP(O$8,'Property Calc_Design Flow'!$E$3:$EJ$25,MATCH(M20,'Property Calc_Design Flow'!$C$3:$C$24,0),FALSE)</f>
        <v>0</v>
      </c>
      <c r="P20" s="268" t="str">
        <f>HLOOKUP(P$8,'[2]Property Calculation'!$E$3:$EV$25,MATCH(M20,'[2]Property Calculation'!$C$3:$C$24,0),FALSE)</f>
        <v/>
      </c>
    </row>
    <row r="21" spans="1:16" ht="15" x14ac:dyDescent="0.4">
      <c r="A21" s="148">
        <f t="shared" si="0"/>
        <v>13</v>
      </c>
      <c r="B21" s="99" t="s">
        <v>241</v>
      </c>
      <c r="C21" s="100" t="s">
        <v>122</v>
      </c>
      <c r="D21" s="803">
        <f>O22</f>
        <v>38.335399752029765</v>
      </c>
      <c r="E21" s="803"/>
      <c r="F21" s="803"/>
      <c r="G21" s="687"/>
      <c r="H21" s="687"/>
      <c r="I21" s="687"/>
      <c r="J21" s="688"/>
      <c r="K21" s="278"/>
      <c r="M21" s="19" t="s">
        <v>7</v>
      </c>
      <c r="N21" s="268" t="s">
        <v>122</v>
      </c>
      <c r="O21" s="269">
        <f>HLOOKUP(O$8,'Property Calc_Design Flow'!$E$3:$EJ$25,MATCH(M21,'Property Calc_Design Flow'!$C$3:$C$24,0),FALSE)</f>
        <v>60.132784065912091</v>
      </c>
      <c r="P21" s="269">
        <f>HLOOKUP(P$8,'Property Calc_Design Flow'!$E$3:$EJ$25,MATCH(M21,'Property Calc_Design Flow'!$C$3:$C$24,0),FALSE)</f>
        <v>60.13554994043934</v>
      </c>
    </row>
    <row r="22" spans="1:16" ht="15" x14ac:dyDescent="0.4">
      <c r="A22" s="148">
        <f t="shared" si="0"/>
        <v>14</v>
      </c>
      <c r="B22" s="99" t="s">
        <v>243</v>
      </c>
      <c r="C22" s="100" t="s">
        <v>122</v>
      </c>
      <c r="D22" s="803">
        <f>O23</f>
        <v>0.93988721353437588</v>
      </c>
      <c r="E22" s="803"/>
      <c r="F22" s="803"/>
      <c r="G22" s="687"/>
      <c r="H22" s="687"/>
      <c r="I22" s="687"/>
      <c r="J22" s="688"/>
      <c r="K22" s="278"/>
      <c r="M22" s="19" t="s">
        <v>8</v>
      </c>
      <c r="N22" s="268" t="s">
        <v>122</v>
      </c>
      <c r="O22" s="269">
        <f>HLOOKUP(O$8,'Property Calc_Design Flow'!$E$3:$EJ$25,MATCH(M22,'Property Calc_Design Flow'!$C$3:$C$24,0),FALSE)</f>
        <v>38.335399752029765</v>
      </c>
      <c r="P22" s="269">
        <f>HLOOKUP(P$8,'Property Calc_Design Flow'!$E$3:$EJ$25,MATCH(M22,'Property Calc_Design Flow'!$C$3:$C$24,0),FALSE)</f>
        <v>38.337163031533834</v>
      </c>
    </row>
    <row r="23" spans="1:16" ht="15" x14ac:dyDescent="0.4">
      <c r="A23" s="148">
        <f t="shared" si="0"/>
        <v>15</v>
      </c>
      <c r="B23" s="99" t="s">
        <v>242</v>
      </c>
      <c r="C23" s="100" t="s">
        <v>122</v>
      </c>
      <c r="D23" s="803">
        <f>O24</f>
        <v>0.45994480662320536</v>
      </c>
      <c r="E23" s="803"/>
      <c r="F23" s="803"/>
      <c r="G23" s="687"/>
      <c r="H23" s="687"/>
      <c r="I23" s="687"/>
      <c r="J23" s="688"/>
      <c r="K23" s="278"/>
      <c r="M23" s="19" t="s">
        <v>9</v>
      </c>
      <c r="N23" s="268" t="s">
        <v>122</v>
      </c>
      <c r="O23" s="269">
        <f>HLOOKUP(O$8,'Property Calc_Design Flow'!$E$3:$EJ$25,MATCH(M23,'Property Calc_Design Flow'!$C$3:$C$24,0),FALSE)</f>
        <v>0.93988721353437588</v>
      </c>
      <c r="P23" s="269">
        <f>HLOOKUP(P$8,'Property Calc_Design Flow'!$E$3:$EJ$25,MATCH(M23,'Property Calc_Design Flow'!$C$3:$C$24,0),FALSE)</f>
        <v>0.93993044469592579</v>
      </c>
    </row>
    <row r="24" spans="1:16" ht="15" x14ac:dyDescent="0.4">
      <c r="A24" s="148">
        <f t="shared" si="0"/>
        <v>16</v>
      </c>
      <c r="B24" s="99" t="s">
        <v>730</v>
      </c>
      <c r="C24" s="100" t="s">
        <v>239</v>
      </c>
      <c r="D24" s="804">
        <v>50</v>
      </c>
      <c r="E24" s="804"/>
      <c r="F24" s="804"/>
      <c r="G24" s="687"/>
      <c r="H24" s="687"/>
      <c r="I24" s="687"/>
      <c r="J24" s="688"/>
      <c r="K24" s="278"/>
      <c r="M24" s="19" t="s">
        <v>10</v>
      </c>
      <c r="N24" s="268" t="s">
        <v>122</v>
      </c>
      <c r="O24" s="269">
        <f>HLOOKUP(O$8,'Property Calc_Design Flow'!$E$3:$EJ$25,MATCH(M24,'Property Calc_Design Flow'!$C$3:$C$24,0),FALSE)</f>
        <v>0.45994480662320536</v>
      </c>
      <c r="P24" s="269">
        <f>HLOOKUP(P$8,'Property Calc_Design Flow'!$E$3:$EJ$25,MATCH(M24,'Property Calc_Design Flow'!$C$3:$C$24,0),FALSE)</f>
        <v>0.45996596229800635</v>
      </c>
    </row>
    <row r="25" spans="1:16" ht="15" x14ac:dyDescent="0.4">
      <c r="A25" s="148">
        <f t="shared" si="0"/>
        <v>17</v>
      </c>
      <c r="B25" s="99" t="s">
        <v>245</v>
      </c>
      <c r="C25" s="100" t="s">
        <v>122</v>
      </c>
      <c r="D25" s="803">
        <f>O26</f>
        <v>0.12698476182858062</v>
      </c>
      <c r="E25" s="803"/>
      <c r="F25" s="803"/>
      <c r="G25" s="687"/>
      <c r="H25" s="687"/>
      <c r="I25" s="687"/>
      <c r="J25" s="688"/>
      <c r="K25" s="278"/>
      <c r="M25" s="19" t="s">
        <v>11</v>
      </c>
      <c r="N25" s="268" t="s">
        <v>122</v>
      </c>
      <c r="O25" s="269">
        <f>HLOOKUP(O$8,'Property Calc_Design Flow'!$E$3:$EJ$25,MATCH(M25,'Property Calc_Design Flow'!$C$3:$C$24,0),FALSE)</f>
        <v>4.9994000719913627E-3</v>
      </c>
      <c r="P25" s="269">
        <f>HLOOKUP(P$8,'Property Calc_Design Flow'!$E$3:$EJ$25,MATCH(M25,'Property Calc_Design Flow'!$C$3:$C$24,0),FALSE)</f>
        <v>4.0001839844650607E-4</v>
      </c>
    </row>
    <row r="26" spans="1:16" ht="15" thickBot="1" x14ac:dyDescent="0.4">
      <c r="A26" s="149">
        <f t="shared" si="0"/>
        <v>18</v>
      </c>
      <c r="B26" s="141" t="s">
        <v>216</v>
      </c>
      <c r="C26" s="280" t="s">
        <v>239</v>
      </c>
      <c r="D26" s="768" t="s">
        <v>217</v>
      </c>
      <c r="E26" s="768"/>
      <c r="F26" s="768"/>
      <c r="G26" s="726"/>
      <c r="H26" s="726"/>
      <c r="I26" s="726"/>
      <c r="J26" s="727"/>
      <c r="K26" s="241"/>
      <c r="M26" s="19" t="s">
        <v>12</v>
      </c>
      <c r="N26" s="268" t="s">
        <v>122</v>
      </c>
      <c r="O26" s="269">
        <f>HLOOKUP(O$8,'Property Calc_Design Flow'!$E$3:$EJ$25,MATCH(M26,'Property Calc_Design Flow'!$C$3:$C$24,0),FALSE)</f>
        <v>0.12698476182858062</v>
      </c>
      <c r="P26" s="269">
        <f>HLOOKUP(P$8,'Property Calc_Design Flow'!$E$3:$EJ$25,MATCH(M26,'Property Calc_Design Flow'!$C$3:$C$24,0),FALSE)</f>
        <v>0.12699060263444958</v>
      </c>
    </row>
    <row r="27" spans="1:16" ht="15" thickBot="1" x14ac:dyDescent="0.4">
      <c r="A27" s="707" t="s">
        <v>731</v>
      </c>
      <c r="B27" s="708"/>
      <c r="C27" s="708"/>
      <c r="D27" s="708"/>
      <c r="E27" s="708"/>
      <c r="F27" s="708"/>
      <c r="G27" s="708"/>
      <c r="H27" s="708"/>
      <c r="I27" s="708"/>
      <c r="J27" s="709"/>
      <c r="K27" s="238"/>
      <c r="M27" s="19" t="s">
        <v>32</v>
      </c>
      <c r="N27" s="268" t="s">
        <v>122</v>
      </c>
      <c r="O27" s="269">
        <f>HLOOKUP(O$8,'Property Calc_Design Flow'!$E$3:$EJ$25,MATCH(M27,'Property Calc_Design Flow'!$C$3:$C$24,0),FALSE)</f>
        <v>0</v>
      </c>
      <c r="P27" s="269">
        <f>HLOOKUP(P$8,'Property Calc_Design Flow'!$E$3:$EJ$25,MATCH(M27,'Property Calc_Design Flow'!$C$3:$C$24,0),FALSE)</f>
        <v>0</v>
      </c>
    </row>
    <row r="28" spans="1:16" x14ac:dyDescent="0.3">
      <c r="A28" s="151">
        <f>A26+1</f>
        <v>19</v>
      </c>
      <c r="B28" s="239" t="s">
        <v>248</v>
      </c>
      <c r="C28" s="266" t="s">
        <v>222</v>
      </c>
      <c r="D28" s="266" t="s">
        <v>215</v>
      </c>
      <c r="E28" s="266" t="s">
        <v>218</v>
      </c>
      <c r="F28" s="266" t="s">
        <v>214</v>
      </c>
      <c r="G28" s="430" t="s">
        <v>221</v>
      </c>
      <c r="H28" s="430"/>
      <c r="I28" s="430"/>
      <c r="J28" s="750"/>
      <c r="K28" s="240"/>
    </row>
    <row r="29" spans="1:16" ht="14.5" x14ac:dyDescent="0.35">
      <c r="A29" s="148">
        <f>A28+1</f>
        <v>20</v>
      </c>
      <c r="B29" s="274" t="s">
        <v>728</v>
      </c>
      <c r="C29" s="100" t="s">
        <v>27</v>
      </c>
      <c r="D29" s="267">
        <f>D15</f>
        <v>2300.2759999999994</v>
      </c>
      <c r="E29" s="267">
        <f>D29</f>
        <v>2300.2759999999994</v>
      </c>
      <c r="F29" s="100">
        <v>250</v>
      </c>
      <c r="G29" s="687" t="s">
        <v>836</v>
      </c>
      <c r="H29" s="687"/>
      <c r="I29" s="687"/>
      <c r="J29" s="688"/>
      <c r="K29" s="278"/>
      <c r="M29" s="35"/>
      <c r="N29" s="272"/>
      <c r="O29" s="272"/>
      <c r="P29" s="272"/>
    </row>
    <row r="30" spans="1:16" ht="14.5" x14ac:dyDescent="0.35">
      <c r="A30" s="148">
        <f>A29+1</f>
        <v>21</v>
      </c>
      <c r="B30" s="99" t="s">
        <v>732</v>
      </c>
      <c r="C30" s="100" t="s">
        <v>237</v>
      </c>
      <c r="D30" s="138">
        <f>D16-2</f>
        <v>123</v>
      </c>
      <c r="E30" s="138">
        <f>E16-2</f>
        <v>63</v>
      </c>
      <c r="F30" s="138">
        <f>F16-2</f>
        <v>38</v>
      </c>
      <c r="G30" s="687"/>
      <c r="H30" s="687"/>
      <c r="I30" s="687"/>
      <c r="J30" s="688"/>
      <c r="K30" s="278"/>
      <c r="M30" s="35"/>
      <c r="N30" s="272"/>
      <c r="O30" s="272"/>
      <c r="P30" s="272"/>
    </row>
    <row r="31" spans="1:16" ht="14.5" x14ac:dyDescent="0.35">
      <c r="A31" s="148">
        <f t="shared" ref="A31:A40" si="1">A30+1</f>
        <v>22</v>
      </c>
      <c r="B31" s="99" t="s">
        <v>0</v>
      </c>
      <c r="C31" s="100" t="s">
        <v>238</v>
      </c>
      <c r="D31" s="281">
        <f>D17</f>
        <v>70</v>
      </c>
      <c r="E31" s="281">
        <f>D31</f>
        <v>70</v>
      </c>
      <c r="F31" s="281">
        <f>E31</f>
        <v>70</v>
      </c>
      <c r="G31" s="687"/>
      <c r="H31" s="687"/>
      <c r="I31" s="687"/>
      <c r="J31" s="688"/>
      <c r="K31" s="278"/>
      <c r="M31" s="35"/>
      <c r="N31" s="272"/>
      <c r="O31" s="272"/>
      <c r="P31" s="272"/>
    </row>
    <row r="32" spans="1:16" ht="14.5" x14ac:dyDescent="0.35">
      <c r="A32" s="148">
        <f>A31+1</f>
        <v>23</v>
      </c>
      <c r="B32" s="99" t="s">
        <v>733</v>
      </c>
      <c r="C32" s="100"/>
      <c r="D32" s="138">
        <f>E32*1.1</f>
        <v>29.646954465464148</v>
      </c>
      <c r="E32" s="138">
        <f>E18</f>
        <v>26.951776786785587</v>
      </c>
      <c r="F32" s="138">
        <f>E32*0.9</f>
        <v>24.256599108107029</v>
      </c>
      <c r="G32" s="687"/>
      <c r="H32" s="687"/>
      <c r="I32" s="687"/>
      <c r="J32" s="688"/>
      <c r="K32" s="278"/>
      <c r="M32" s="35"/>
      <c r="N32" s="272"/>
      <c r="O32" s="272"/>
      <c r="P32" s="272"/>
    </row>
    <row r="33" spans="1:16" ht="14.5" x14ac:dyDescent="0.35">
      <c r="A33" s="148">
        <f t="shared" si="1"/>
        <v>24</v>
      </c>
      <c r="B33" s="729" t="s">
        <v>734</v>
      </c>
      <c r="C33" s="729"/>
      <c r="D33" s="729"/>
      <c r="E33" s="729"/>
      <c r="F33" s="729"/>
      <c r="G33" s="687"/>
      <c r="H33" s="687"/>
      <c r="I33" s="687"/>
      <c r="J33" s="688"/>
      <c r="K33" s="278"/>
      <c r="M33" s="35"/>
      <c r="N33" s="272"/>
      <c r="O33" s="272"/>
      <c r="P33" s="272"/>
    </row>
    <row r="34" spans="1:16" ht="15" x14ac:dyDescent="0.4">
      <c r="A34" s="148">
        <f t="shared" si="1"/>
        <v>25</v>
      </c>
      <c r="B34" s="99" t="s">
        <v>240</v>
      </c>
      <c r="C34" s="100" t="s">
        <v>122</v>
      </c>
      <c r="D34" s="803">
        <f>D20</f>
        <v>60.132784065912091</v>
      </c>
      <c r="E34" s="803"/>
      <c r="F34" s="803"/>
      <c r="G34" s="687"/>
      <c r="H34" s="687"/>
      <c r="I34" s="687"/>
      <c r="J34" s="688"/>
      <c r="K34" s="278"/>
      <c r="M34" s="11"/>
      <c r="N34" s="270"/>
      <c r="O34" s="272"/>
      <c r="P34" s="272"/>
    </row>
    <row r="35" spans="1:16" ht="15" x14ac:dyDescent="0.4">
      <c r="A35" s="148">
        <f t="shared" si="1"/>
        <v>26</v>
      </c>
      <c r="B35" s="99" t="s">
        <v>241</v>
      </c>
      <c r="C35" s="100" t="s">
        <v>122</v>
      </c>
      <c r="D35" s="803">
        <f>D21</f>
        <v>38.335399752029765</v>
      </c>
      <c r="E35" s="803"/>
      <c r="F35" s="803"/>
      <c r="G35" s="687"/>
      <c r="H35" s="687"/>
      <c r="I35" s="687"/>
      <c r="J35" s="688"/>
      <c r="K35" s="278"/>
      <c r="M35" s="35"/>
      <c r="N35" s="272"/>
      <c r="O35" s="271"/>
      <c r="P35" s="271"/>
    </row>
    <row r="36" spans="1:16" ht="15" x14ac:dyDescent="0.4">
      <c r="A36" s="148">
        <f t="shared" si="1"/>
        <v>27</v>
      </c>
      <c r="B36" s="99" t="s">
        <v>243</v>
      </c>
      <c r="C36" s="100" t="s">
        <v>122</v>
      </c>
      <c r="D36" s="803">
        <f>D22</f>
        <v>0.93988721353437588</v>
      </c>
      <c r="E36" s="803"/>
      <c r="F36" s="803"/>
      <c r="G36" s="687"/>
      <c r="H36" s="687"/>
      <c r="I36" s="687"/>
      <c r="J36" s="688"/>
      <c r="K36" s="278"/>
      <c r="M36" s="35"/>
      <c r="N36" s="272"/>
      <c r="O36" s="271"/>
      <c r="P36" s="271"/>
    </row>
    <row r="37" spans="1:16" ht="15" x14ac:dyDescent="0.4">
      <c r="A37" s="148">
        <f t="shared" si="1"/>
        <v>28</v>
      </c>
      <c r="B37" s="99" t="s">
        <v>242</v>
      </c>
      <c r="C37" s="100" t="s">
        <v>122</v>
      </c>
      <c r="D37" s="803">
        <f>D23</f>
        <v>0.45994480662320536</v>
      </c>
      <c r="E37" s="803"/>
      <c r="F37" s="803"/>
      <c r="G37" s="687"/>
      <c r="H37" s="687"/>
      <c r="I37" s="687"/>
      <c r="J37" s="688"/>
      <c r="K37" s="278"/>
      <c r="M37" s="35"/>
      <c r="N37" s="272"/>
      <c r="O37" s="271"/>
      <c r="P37" s="271"/>
    </row>
    <row r="38" spans="1:16" ht="15" x14ac:dyDescent="0.4">
      <c r="A38" s="148">
        <f t="shared" si="1"/>
        <v>29</v>
      </c>
      <c r="B38" s="99" t="s">
        <v>735</v>
      </c>
      <c r="C38" s="100" t="s">
        <v>239</v>
      </c>
      <c r="D38" s="804" t="s">
        <v>736</v>
      </c>
      <c r="E38" s="804"/>
      <c r="F38" s="804"/>
      <c r="G38" s="687"/>
      <c r="H38" s="687"/>
      <c r="I38" s="687"/>
      <c r="J38" s="688"/>
      <c r="K38" s="278"/>
      <c r="M38" s="35"/>
      <c r="N38" s="272"/>
      <c r="O38" s="271"/>
      <c r="P38" s="271"/>
    </row>
    <row r="39" spans="1:16" ht="15" x14ac:dyDescent="0.4">
      <c r="A39" s="148">
        <f t="shared" si="1"/>
        <v>30</v>
      </c>
      <c r="B39" s="99" t="s">
        <v>737</v>
      </c>
      <c r="C39" s="100" t="s">
        <v>122</v>
      </c>
      <c r="D39" s="803">
        <f>D25</f>
        <v>0.12698476182858062</v>
      </c>
      <c r="E39" s="803"/>
      <c r="F39" s="803"/>
      <c r="G39" s="687"/>
      <c r="H39" s="687"/>
      <c r="I39" s="687"/>
      <c r="J39" s="688"/>
      <c r="K39" s="278"/>
      <c r="M39" s="35"/>
      <c r="N39" s="272"/>
      <c r="O39" s="271"/>
      <c r="P39" s="271"/>
    </row>
    <row r="40" spans="1:16" ht="15" thickBot="1" x14ac:dyDescent="0.4">
      <c r="A40" s="149">
        <f t="shared" si="1"/>
        <v>31</v>
      </c>
      <c r="B40" s="141" t="s">
        <v>216</v>
      </c>
      <c r="C40" s="280" t="s">
        <v>239</v>
      </c>
      <c r="D40" s="768" t="s">
        <v>217</v>
      </c>
      <c r="E40" s="768"/>
      <c r="F40" s="768"/>
      <c r="G40" s="726"/>
      <c r="H40" s="726"/>
      <c r="I40" s="726"/>
      <c r="J40" s="727"/>
      <c r="K40" s="241"/>
      <c r="M40" s="35"/>
      <c r="N40" s="272"/>
      <c r="O40" s="271"/>
      <c r="P40" s="271"/>
    </row>
    <row r="41" spans="1:16" ht="13.5" thickBot="1" x14ac:dyDescent="0.35">
      <c r="A41" s="707" t="s">
        <v>738</v>
      </c>
      <c r="B41" s="708"/>
      <c r="C41" s="708"/>
      <c r="D41" s="708"/>
      <c r="E41" s="708"/>
      <c r="F41" s="708"/>
      <c r="G41" s="708"/>
      <c r="H41" s="708"/>
      <c r="I41" s="708"/>
      <c r="J41" s="709"/>
      <c r="K41" s="238"/>
    </row>
    <row r="42" spans="1:16" x14ac:dyDescent="0.3">
      <c r="A42" s="151">
        <f>A40+1</f>
        <v>32</v>
      </c>
      <c r="B42" s="239" t="s">
        <v>248</v>
      </c>
      <c r="C42" s="266" t="s">
        <v>222</v>
      </c>
      <c r="D42" s="266" t="s">
        <v>215</v>
      </c>
      <c r="E42" s="266" t="s">
        <v>218</v>
      </c>
      <c r="F42" s="266" t="s">
        <v>214</v>
      </c>
      <c r="G42" s="430" t="s">
        <v>221</v>
      </c>
      <c r="H42" s="430"/>
      <c r="I42" s="430"/>
      <c r="J42" s="750"/>
      <c r="K42" s="240"/>
    </row>
    <row r="43" spans="1:16" ht="13" customHeight="1" x14ac:dyDescent="0.3">
      <c r="A43" s="148">
        <f t="shared" ref="A43:A58" si="2">A42+1</f>
        <v>33</v>
      </c>
      <c r="B43" s="352" t="s">
        <v>794</v>
      </c>
      <c r="C43" s="100"/>
      <c r="D43" s="704" t="s">
        <v>246</v>
      </c>
      <c r="E43" s="705"/>
      <c r="F43" s="706"/>
      <c r="G43" s="755" t="s">
        <v>843</v>
      </c>
      <c r="H43" s="756"/>
      <c r="I43" s="756"/>
      <c r="J43" s="786"/>
      <c r="K43" s="278"/>
    </row>
    <row r="44" spans="1:16" ht="13" customHeight="1" x14ac:dyDescent="0.3">
      <c r="A44" s="148">
        <f t="shared" si="2"/>
        <v>34</v>
      </c>
      <c r="B44" s="352" t="s">
        <v>795</v>
      </c>
      <c r="C44" s="100" t="s">
        <v>796</v>
      </c>
      <c r="D44" s="704" t="s">
        <v>246</v>
      </c>
      <c r="E44" s="705"/>
      <c r="F44" s="706"/>
      <c r="G44" s="758"/>
      <c r="H44" s="787"/>
      <c r="I44" s="787"/>
      <c r="J44" s="788"/>
      <c r="K44" s="343"/>
    </row>
    <row r="45" spans="1:16" ht="13" customHeight="1" x14ac:dyDescent="0.3">
      <c r="A45" s="148">
        <f t="shared" si="2"/>
        <v>35</v>
      </c>
      <c r="B45" s="352" t="s">
        <v>837</v>
      </c>
      <c r="C45" s="100" t="s">
        <v>838</v>
      </c>
      <c r="D45" s="704" t="s">
        <v>246</v>
      </c>
      <c r="E45" s="705"/>
      <c r="F45" s="706"/>
      <c r="G45" s="758"/>
      <c r="H45" s="787"/>
      <c r="I45" s="787"/>
      <c r="J45" s="788"/>
      <c r="K45" s="357"/>
    </row>
    <row r="46" spans="1:16" ht="13" customHeight="1" x14ac:dyDescent="0.3">
      <c r="A46" s="148">
        <f t="shared" si="2"/>
        <v>36</v>
      </c>
      <c r="B46" s="352" t="s">
        <v>839</v>
      </c>
      <c r="C46" s="100" t="s">
        <v>838</v>
      </c>
      <c r="D46" s="704" t="s">
        <v>246</v>
      </c>
      <c r="E46" s="705"/>
      <c r="F46" s="706"/>
      <c r="G46" s="758"/>
      <c r="H46" s="787"/>
      <c r="I46" s="787"/>
      <c r="J46" s="788"/>
      <c r="K46" s="357"/>
    </row>
    <row r="47" spans="1:16" ht="13" customHeight="1" x14ac:dyDescent="0.3">
      <c r="A47" s="148">
        <f t="shared" si="2"/>
        <v>37</v>
      </c>
      <c r="B47" s="352" t="s">
        <v>739</v>
      </c>
      <c r="C47" s="100" t="s">
        <v>740</v>
      </c>
      <c r="D47" s="704">
        <v>12</v>
      </c>
      <c r="E47" s="705"/>
      <c r="F47" s="706"/>
      <c r="G47" s="758"/>
      <c r="H47" s="787"/>
      <c r="I47" s="787"/>
      <c r="J47" s="788"/>
      <c r="K47" s="357"/>
    </row>
    <row r="48" spans="1:16" ht="13" customHeight="1" x14ac:dyDescent="0.3">
      <c r="A48" s="148">
        <f t="shared" si="2"/>
        <v>38</v>
      </c>
      <c r="B48" s="352" t="s">
        <v>830</v>
      </c>
      <c r="C48" s="100" t="s">
        <v>832</v>
      </c>
      <c r="D48" s="704" t="s">
        <v>246</v>
      </c>
      <c r="E48" s="705"/>
      <c r="F48" s="706"/>
      <c r="G48" s="758"/>
      <c r="H48" s="787"/>
      <c r="I48" s="787"/>
      <c r="J48" s="788"/>
      <c r="K48" s="357"/>
    </row>
    <row r="49" spans="1:11" ht="13.5" customHeight="1" x14ac:dyDescent="0.3">
      <c r="A49" s="148">
        <f t="shared" si="2"/>
        <v>39</v>
      </c>
      <c r="B49" s="352" t="s">
        <v>797</v>
      </c>
      <c r="C49" s="100" t="s">
        <v>833</v>
      </c>
      <c r="D49" s="704" t="s">
        <v>246</v>
      </c>
      <c r="E49" s="705"/>
      <c r="F49" s="706"/>
      <c r="G49" s="758"/>
      <c r="H49" s="787"/>
      <c r="I49" s="787"/>
      <c r="J49" s="788"/>
      <c r="K49" s="343"/>
    </row>
    <row r="50" spans="1:11" ht="13" customHeight="1" x14ac:dyDescent="0.3">
      <c r="A50" s="148">
        <f t="shared" si="2"/>
        <v>40</v>
      </c>
      <c r="B50" s="352" t="s">
        <v>798</v>
      </c>
      <c r="C50" s="100" t="s">
        <v>842</v>
      </c>
      <c r="D50" s="704" t="s">
        <v>246</v>
      </c>
      <c r="E50" s="705"/>
      <c r="F50" s="706"/>
      <c r="G50" s="758"/>
      <c r="H50" s="787"/>
      <c r="I50" s="787"/>
      <c r="J50" s="788"/>
      <c r="K50" s="343"/>
    </row>
    <row r="51" spans="1:11" ht="13" customHeight="1" x14ac:dyDescent="0.3">
      <c r="A51" s="148">
        <f t="shared" si="2"/>
        <v>41</v>
      </c>
      <c r="B51" s="352" t="s">
        <v>834</v>
      </c>
      <c r="C51" s="100" t="s">
        <v>63</v>
      </c>
      <c r="D51" s="704" t="s">
        <v>246</v>
      </c>
      <c r="E51" s="705"/>
      <c r="F51" s="706"/>
      <c r="G51" s="758"/>
      <c r="H51" s="787"/>
      <c r="I51" s="787"/>
      <c r="J51" s="788"/>
      <c r="K51" s="357"/>
    </row>
    <row r="52" spans="1:11" ht="13" customHeight="1" x14ac:dyDescent="0.3">
      <c r="A52" s="148">
        <f t="shared" si="2"/>
        <v>42</v>
      </c>
      <c r="B52" s="352" t="s">
        <v>840</v>
      </c>
      <c r="C52" s="100" t="s">
        <v>63</v>
      </c>
      <c r="D52" s="704" t="s">
        <v>246</v>
      </c>
      <c r="E52" s="705"/>
      <c r="F52" s="706"/>
      <c r="G52" s="758"/>
      <c r="H52" s="787"/>
      <c r="I52" s="787"/>
      <c r="J52" s="788"/>
      <c r="K52" s="357"/>
    </row>
    <row r="53" spans="1:11" ht="13" customHeight="1" x14ac:dyDescent="0.3">
      <c r="A53" s="148">
        <f t="shared" si="2"/>
        <v>43</v>
      </c>
      <c r="B53" s="352" t="s">
        <v>835</v>
      </c>
      <c r="C53" s="100" t="s">
        <v>63</v>
      </c>
      <c r="D53" s="704" t="s">
        <v>246</v>
      </c>
      <c r="E53" s="705"/>
      <c r="F53" s="706"/>
      <c r="G53" s="758"/>
      <c r="H53" s="787"/>
      <c r="I53" s="787"/>
      <c r="J53" s="788"/>
      <c r="K53" s="357"/>
    </row>
    <row r="54" spans="1:11" ht="13" customHeight="1" x14ac:dyDescent="0.3">
      <c r="A54" s="148">
        <f t="shared" si="2"/>
        <v>44</v>
      </c>
      <c r="B54" s="352" t="s">
        <v>803</v>
      </c>
      <c r="C54" s="100"/>
      <c r="D54" s="704">
        <v>2</v>
      </c>
      <c r="E54" s="705"/>
      <c r="F54" s="706"/>
      <c r="G54" s="758"/>
      <c r="H54" s="787"/>
      <c r="I54" s="787"/>
      <c r="J54" s="788"/>
      <c r="K54" s="357"/>
    </row>
    <row r="55" spans="1:11" ht="13" customHeight="1" x14ac:dyDescent="0.3">
      <c r="A55" s="148">
        <f t="shared" si="2"/>
        <v>45</v>
      </c>
      <c r="B55" s="352" t="s">
        <v>741</v>
      </c>
      <c r="C55" s="100"/>
      <c r="D55" s="704" t="s">
        <v>742</v>
      </c>
      <c r="E55" s="705"/>
      <c r="F55" s="706"/>
      <c r="G55" s="758"/>
      <c r="H55" s="787"/>
      <c r="I55" s="787"/>
      <c r="J55" s="788"/>
      <c r="K55" s="357"/>
    </row>
    <row r="56" spans="1:11" ht="13" customHeight="1" x14ac:dyDescent="0.3">
      <c r="A56" s="148">
        <f t="shared" si="2"/>
        <v>46</v>
      </c>
      <c r="B56" s="352" t="s">
        <v>799</v>
      </c>
      <c r="C56" s="100" t="s">
        <v>800</v>
      </c>
      <c r="D56" s="704" t="s">
        <v>246</v>
      </c>
      <c r="E56" s="705"/>
      <c r="F56" s="706"/>
      <c r="G56" s="758"/>
      <c r="H56" s="787"/>
      <c r="I56" s="787"/>
      <c r="J56" s="788"/>
      <c r="K56" s="343"/>
    </row>
    <row r="57" spans="1:11" ht="13" customHeight="1" x14ac:dyDescent="0.3">
      <c r="A57" s="148">
        <f t="shared" si="2"/>
        <v>47</v>
      </c>
      <c r="B57" s="352" t="s">
        <v>801</v>
      </c>
      <c r="C57" s="100" t="s">
        <v>802</v>
      </c>
      <c r="D57" s="704" t="s">
        <v>246</v>
      </c>
      <c r="E57" s="705"/>
      <c r="F57" s="706"/>
      <c r="G57" s="758"/>
      <c r="H57" s="787"/>
      <c r="I57" s="787"/>
      <c r="J57" s="788"/>
      <c r="K57" s="343"/>
    </row>
    <row r="58" spans="1:11" ht="13" customHeight="1" thickBot="1" x14ac:dyDescent="0.35">
      <c r="A58" s="148">
        <f t="shared" si="2"/>
        <v>48</v>
      </c>
      <c r="B58" s="352" t="s">
        <v>828</v>
      </c>
      <c r="C58" s="100" t="s">
        <v>829</v>
      </c>
      <c r="D58" s="704" t="s">
        <v>246</v>
      </c>
      <c r="E58" s="705"/>
      <c r="F58" s="706"/>
      <c r="G58" s="758"/>
      <c r="H58" s="787"/>
      <c r="I58" s="787"/>
      <c r="J58" s="788"/>
      <c r="K58" s="357"/>
    </row>
    <row r="59" spans="1:11" ht="15" customHeight="1" thickBot="1" x14ac:dyDescent="0.35">
      <c r="A59" s="707" t="s">
        <v>844</v>
      </c>
      <c r="B59" s="708"/>
      <c r="C59" s="708"/>
      <c r="D59" s="708"/>
      <c r="E59" s="708"/>
      <c r="F59" s="708"/>
      <c r="G59" s="708"/>
      <c r="H59" s="708"/>
      <c r="I59" s="708"/>
      <c r="J59" s="709"/>
      <c r="K59" s="238"/>
    </row>
    <row r="60" spans="1:11" x14ac:dyDescent="0.3">
      <c r="A60" s="151">
        <f>A58+1</f>
        <v>49</v>
      </c>
      <c r="B60" s="239" t="s">
        <v>248</v>
      </c>
      <c r="C60" s="266" t="s">
        <v>222</v>
      </c>
      <c r="D60" s="430" t="s">
        <v>251</v>
      </c>
      <c r="E60" s="430"/>
      <c r="F60" s="430"/>
      <c r="G60" s="430" t="s">
        <v>221</v>
      </c>
      <c r="H60" s="430"/>
      <c r="I60" s="430"/>
      <c r="J60" s="750"/>
      <c r="K60" s="240"/>
    </row>
    <row r="61" spans="1:11" ht="14.5" customHeight="1" x14ac:dyDescent="0.3">
      <c r="A61" s="148">
        <f t="shared" ref="A61:A66" si="3">A60+1</f>
        <v>50</v>
      </c>
      <c r="B61" s="344" t="s">
        <v>804</v>
      </c>
      <c r="C61" s="342"/>
      <c r="D61" s="772" t="s">
        <v>805</v>
      </c>
      <c r="E61" s="773"/>
      <c r="F61" s="808"/>
      <c r="G61" s="755" t="s">
        <v>845</v>
      </c>
      <c r="H61" s="756"/>
      <c r="I61" s="756"/>
      <c r="J61" s="786"/>
      <c r="K61" s="240"/>
    </row>
    <row r="62" spans="1:11" ht="13" customHeight="1" x14ac:dyDescent="0.3">
      <c r="A62" s="148">
        <f t="shared" si="3"/>
        <v>51</v>
      </c>
      <c r="B62" s="274" t="s">
        <v>315</v>
      </c>
      <c r="C62" s="100" t="s">
        <v>5</v>
      </c>
      <c r="D62" s="431">
        <v>125</v>
      </c>
      <c r="E62" s="431"/>
      <c r="F62" s="431"/>
      <c r="G62" s="758"/>
      <c r="H62" s="787"/>
      <c r="I62" s="787"/>
      <c r="J62" s="788"/>
      <c r="K62" s="278"/>
    </row>
    <row r="63" spans="1:11" x14ac:dyDescent="0.3">
      <c r="A63" s="148">
        <f t="shared" si="3"/>
        <v>52</v>
      </c>
      <c r="B63" s="274" t="s">
        <v>745</v>
      </c>
      <c r="C63" s="100" t="s">
        <v>238</v>
      </c>
      <c r="D63" s="431">
        <v>150</v>
      </c>
      <c r="E63" s="431"/>
      <c r="F63" s="431"/>
      <c r="G63" s="758"/>
      <c r="H63" s="787"/>
      <c r="I63" s="787"/>
      <c r="J63" s="788"/>
      <c r="K63" s="278"/>
    </row>
    <row r="64" spans="1:11" x14ac:dyDescent="0.3">
      <c r="A64" s="148">
        <f t="shared" si="3"/>
        <v>53</v>
      </c>
      <c r="B64" s="99" t="s">
        <v>249</v>
      </c>
      <c r="C64" s="100"/>
      <c r="D64" s="431" t="s">
        <v>250</v>
      </c>
      <c r="E64" s="431"/>
      <c r="F64" s="431"/>
      <c r="G64" s="758"/>
      <c r="H64" s="787"/>
      <c r="I64" s="787"/>
      <c r="J64" s="788"/>
      <c r="K64" s="278"/>
    </row>
    <row r="65" spans="1:11" x14ac:dyDescent="0.3">
      <c r="A65" s="148">
        <f t="shared" si="3"/>
        <v>54</v>
      </c>
      <c r="B65" s="99" t="s">
        <v>793</v>
      </c>
      <c r="C65" s="100"/>
      <c r="D65" s="593" t="s">
        <v>810</v>
      </c>
      <c r="E65" s="593"/>
      <c r="F65" s="593"/>
      <c r="G65" s="758"/>
      <c r="H65" s="787"/>
      <c r="I65" s="787"/>
      <c r="J65" s="788"/>
      <c r="K65" s="278"/>
    </row>
    <row r="66" spans="1:11" ht="13.5" thickBot="1" x14ac:dyDescent="0.35">
      <c r="A66" s="149">
        <f t="shared" si="3"/>
        <v>55</v>
      </c>
      <c r="B66" s="141" t="s">
        <v>254</v>
      </c>
      <c r="C66" s="280"/>
      <c r="D66" s="767" t="s">
        <v>213</v>
      </c>
      <c r="E66" s="767"/>
      <c r="F66" s="767"/>
      <c r="G66" s="789"/>
      <c r="H66" s="790"/>
      <c r="I66" s="790"/>
      <c r="J66" s="791"/>
      <c r="K66" s="241"/>
    </row>
    <row r="67" spans="1:11" ht="13.5" thickBot="1" x14ac:dyDescent="0.35">
      <c r="A67" s="707" t="s">
        <v>253</v>
      </c>
      <c r="B67" s="708"/>
      <c r="C67" s="708"/>
      <c r="D67" s="708"/>
      <c r="E67" s="708"/>
      <c r="F67" s="708"/>
      <c r="G67" s="708"/>
      <c r="H67" s="708"/>
      <c r="I67" s="708"/>
      <c r="J67" s="709"/>
      <c r="K67" s="238"/>
    </row>
    <row r="68" spans="1:11" x14ac:dyDescent="0.3">
      <c r="A68" s="151">
        <f>A66+1</f>
        <v>56</v>
      </c>
      <c r="B68" s="239" t="s">
        <v>248</v>
      </c>
      <c r="C68" s="266" t="s">
        <v>222</v>
      </c>
      <c r="D68" s="430" t="s">
        <v>251</v>
      </c>
      <c r="E68" s="430"/>
      <c r="F68" s="430"/>
      <c r="G68" s="430" t="s">
        <v>221</v>
      </c>
      <c r="H68" s="430"/>
      <c r="I68" s="430"/>
      <c r="J68" s="750"/>
      <c r="K68" s="240"/>
    </row>
    <row r="69" spans="1:11" x14ac:dyDescent="0.3">
      <c r="A69" s="148">
        <f>A68+1</f>
        <v>57</v>
      </c>
      <c r="B69" s="274" t="s">
        <v>256</v>
      </c>
      <c r="C69" s="100" t="s">
        <v>63</v>
      </c>
      <c r="D69" s="431">
        <f>'[2]Input Sheet'!F22</f>
        <v>95</v>
      </c>
      <c r="E69" s="431"/>
      <c r="F69" s="431"/>
      <c r="G69" s="687"/>
      <c r="H69" s="687"/>
      <c r="I69" s="687"/>
      <c r="J69" s="688"/>
      <c r="K69" s="278"/>
    </row>
    <row r="70" spans="1:11" x14ac:dyDescent="0.3">
      <c r="A70" s="148">
        <f>A69+1</f>
        <v>58</v>
      </c>
      <c r="B70" s="274" t="s">
        <v>257</v>
      </c>
      <c r="C70" s="100" t="s">
        <v>238</v>
      </c>
      <c r="D70" s="431">
        <f>'[2]Input Sheet'!F23</f>
        <v>24</v>
      </c>
      <c r="E70" s="431"/>
      <c r="F70" s="431"/>
      <c r="G70" s="687"/>
      <c r="H70" s="687"/>
      <c r="I70" s="687"/>
      <c r="J70" s="688"/>
      <c r="K70" s="278"/>
    </row>
    <row r="71" spans="1:11" x14ac:dyDescent="0.3">
      <c r="A71" s="148">
        <f>A70+1</f>
        <v>59</v>
      </c>
      <c r="B71" s="99" t="s">
        <v>258</v>
      </c>
      <c r="C71" s="100" t="s">
        <v>238</v>
      </c>
      <c r="D71" s="431">
        <f>'[2]Input Sheet'!F24</f>
        <v>101</v>
      </c>
      <c r="E71" s="431"/>
      <c r="F71" s="431"/>
      <c r="G71" s="687"/>
      <c r="H71" s="687"/>
      <c r="I71" s="687"/>
      <c r="J71" s="688"/>
      <c r="K71" s="278"/>
    </row>
    <row r="72" spans="1:11" x14ac:dyDescent="0.3">
      <c r="A72" s="148">
        <f>A71+1</f>
        <v>60</v>
      </c>
      <c r="B72" s="99" t="s">
        <v>259</v>
      </c>
      <c r="C72" s="100"/>
      <c r="D72" s="593" t="s">
        <v>255</v>
      </c>
      <c r="E72" s="593"/>
      <c r="F72" s="593"/>
      <c r="G72" s="687"/>
      <c r="H72" s="687"/>
      <c r="I72" s="687"/>
      <c r="J72" s="688"/>
      <c r="K72" s="278"/>
    </row>
    <row r="73" spans="1:11" ht="13.5" thickBot="1" x14ac:dyDescent="0.35">
      <c r="A73" s="149">
        <f>A72+1</f>
        <v>61</v>
      </c>
      <c r="B73" s="141" t="s">
        <v>260</v>
      </c>
      <c r="C73" s="280"/>
      <c r="D73" s="751" t="s">
        <v>335</v>
      </c>
      <c r="E73" s="751"/>
      <c r="F73" s="751"/>
      <c r="G73" s="726"/>
      <c r="H73" s="726"/>
      <c r="I73" s="726"/>
      <c r="J73" s="727"/>
      <c r="K73" s="241"/>
    </row>
    <row r="74" spans="1:11" ht="13.5" thickBot="1" x14ac:dyDescent="0.35">
      <c r="A74" s="707" t="s">
        <v>760</v>
      </c>
      <c r="B74" s="708"/>
      <c r="C74" s="708"/>
      <c r="D74" s="708"/>
      <c r="E74" s="708"/>
      <c r="F74" s="708"/>
      <c r="G74" s="708"/>
      <c r="H74" s="708"/>
      <c r="I74" s="708"/>
      <c r="J74" s="709"/>
      <c r="K74" s="238"/>
    </row>
    <row r="75" spans="1:11" x14ac:dyDescent="0.3">
      <c r="A75" s="800" t="s">
        <v>846</v>
      </c>
      <c r="B75" s="801"/>
      <c r="C75" s="801"/>
      <c r="D75" s="801"/>
      <c r="E75" s="801"/>
      <c r="F75" s="801"/>
      <c r="G75" s="801"/>
      <c r="H75" s="801"/>
      <c r="I75" s="801"/>
      <c r="J75" s="802"/>
      <c r="K75" s="240"/>
    </row>
    <row r="76" spans="1:11" x14ac:dyDescent="0.3">
      <c r="A76" s="805" t="s">
        <v>848</v>
      </c>
      <c r="B76" s="806"/>
      <c r="C76" s="806"/>
      <c r="D76" s="806"/>
      <c r="E76" s="806"/>
      <c r="F76" s="806"/>
      <c r="G76" s="806"/>
      <c r="H76" s="806"/>
      <c r="I76" s="806"/>
      <c r="J76" s="807"/>
      <c r="K76" s="278"/>
    </row>
    <row r="77" spans="1:11" x14ac:dyDescent="0.3">
      <c r="A77" s="805" t="s">
        <v>847</v>
      </c>
      <c r="B77" s="806"/>
      <c r="C77" s="806"/>
      <c r="D77" s="806"/>
      <c r="E77" s="806"/>
      <c r="F77" s="806"/>
      <c r="G77" s="806"/>
      <c r="H77" s="806"/>
      <c r="I77" s="806"/>
      <c r="J77" s="807"/>
      <c r="K77" s="278"/>
    </row>
    <row r="78" spans="1:11" x14ac:dyDescent="0.3">
      <c r="A78" s="805"/>
      <c r="B78" s="806"/>
      <c r="C78" s="806"/>
      <c r="D78" s="806"/>
      <c r="E78" s="806"/>
      <c r="F78" s="806"/>
      <c r="G78" s="806"/>
      <c r="H78" s="806"/>
      <c r="I78" s="806"/>
      <c r="J78" s="807"/>
      <c r="K78" s="278"/>
    </row>
    <row r="79" spans="1:11" x14ac:dyDescent="0.3">
      <c r="A79" s="327"/>
      <c r="B79" s="328"/>
      <c r="C79" s="328"/>
      <c r="D79" s="328"/>
      <c r="E79" s="328"/>
      <c r="F79" s="328"/>
      <c r="G79" s="328"/>
      <c r="H79" s="328"/>
      <c r="I79" s="328"/>
      <c r="J79" s="329"/>
      <c r="K79" s="278"/>
    </row>
    <row r="80" spans="1:11" x14ac:dyDescent="0.3">
      <c r="A80" s="327"/>
      <c r="B80" s="328"/>
      <c r="C80" s="328"/>
      <c r="D80" s="328"/>
      <c r="E80" s="328"/>
      <c r="F80" s="328"/>
      <c r="G80" s="328"/>
      <c r="H80" s="328"/>
      <c r="I80" s="328"/>
      <c r="J80" s="329"/>
      <c r="K80" s="278"/>
    </row>
    <row r="81" spans="1:11" x14ac:dyDescent="0.3">
      <c r="A81" s="327"/>
      <c r="B81" s="328"/>
      <c r="C81" s="328"/>
      <c r="D81" s="328"/>
      <c r="E81" s="328"/>
      <c r="F81" s="328"/>
      <c r="G81" s="328"/>
      <c r="H81" s="328"/>
      <c r="I81" s="328"/>
      <c r="J81" s="329"/>
      <c r="K81" s="278"/>
    </row>
    <row r="82" spans="1:11" x14ac:dyDescent="0.3">
      <c r="A82" s="327"/>
      <c r="B82" s="328"/>
      <c r="C82" s="328"/>
      <c r="D82" s="328"/>
      <c r="E82" s="328"/>
      <c r="F82" s="328"/>
      <c r="G82" s="328"/>
      <c r="H82" s="328"/>
      <c r="I82" s="328"/>
      <c r="J82" s="329"/>
      <c r="K82" s="278"/>
    </row>
    <row r="83" spans="1:11" x14ac:dyDescent="0.3">
      <c r="A83" s="327"/>
      <c r="B83" s="328"/>
      <c r="C83" s="328"/>
      <c r="D83" s="328"/>
      <c r="E83" s="328"/>
      <c r="F83" s="328"/>
      <c r="G83" s="328"/>
      <c r="H83" s="328"/>
      <c r="I83" s="328"/>
      <c r="J83" s="329"/>
      <c r="K83" s="278"/>
    </row>
    <row r="84" spans="1:11" x14ac:dyDescent="0.3">
      <c r="A84" s="327"/>
      <c r="B84" s="328"/>
      <c r="C84" s="328"/>
      <c r="D84" s="328"/>
      <c r="E84" s="328"/>
      <c r="F84" s="328"/>
      <c r="G84" s="328"/>
      <c r="H84" s="328"/>
      <c r="I84" s="328"/>
      <c r="J84" s="329"/>
      <c r="K84" s="278"/>
    </row>
    <row r="85" spans="1:11" x14ac:dyDescent="0.3">
      <c r="A85" s="327"/>
      <c r="B85" s="328"/>
      <c r="C85" s="328"/>
      <c r="D85" s="328"/>
      <c r="E85" s="328"/>
      <c r="F85" s="328"/>
      <c r="G85" s="328"/>
      <c r="H85" s="328"/>
      <c r="I85" s="328"/>
      <c r="J85" s="329"/>
      <c r="K85" s="278"/>
    </row>
    <row r="86" spans="1:11" x14ac:dyDescent="0.3">
      <c r="A86" s="327"/>
      <c r="B86" s="328"/>
      <c r="C86" s="328"/>
      <c r="D86" s="328"/>
      <c r="E86" s="328"/>
      <c r="F86" s="328"/>
      <c r="G86" s="328"/>
      <c r="H86" s="328"/>
      <c r="I86" s="328"/>
      <c r="J86" s="329"/>
      <c r="K86" s="278"/>
    </row>
    <row r="87" spans="1:11" x14ac:dyDescent="0.3">
      <c r="A87" s="327"/>
      <c r="B87" s="328"/>
      <c r="C87" s="328"/>
      <c r="D87" s="328"/>
      <c r="E87" s="328"/>
      <c r="F87" s="328"/>
      <c r="G87" s="328"/>
      <c r="H87" s="328"/>
      <c r="I87" s="328"/>
      <c r="J87" s="329"/>
      <c r="K87" s="278"/>
    </row>
    <row r="88" spans="1:11" x14ac:dyDescent="0.3">
      <c r="A88" s="327"/>
      <c r="B88" s="328"/>
      <c r="C88" s="328"/>
      <c r="D88" s="328"/>
      <c r="E88" s="328"/>
      <c r="F88" s="328"/>
      <c r="G88" s="328"/>
      <c r="H88" s="328"/>
      <c r="I88" s="328"/>
      <c r="J88" s="329"/>
      <c r="K88" s="278"/>
    </row>
    <row r="89" spans="1:11" x14ac:dyDescent="0.3">
      <c r="A89" s="327"/>
      <c r="B89" s="328"/>
      <c r="C89" s="328"/>
      <c r="D89" s="328"/>
      <c r="E89" s="328"/>
      <c r="F89" s="328"/>
      <c r="G89" s="328"/>
      <c r="H89" s="328"/>
      <c r="I89" s="328"/>
      <c r="J89" s="329"/>
      <c r="K89" s="278"/>
    </row>
    <row r="90" spans="1:11" x14ac:dyDescent="0.3">
      <c r="A90" s="327"/>
      <c r="B90" s="328"/>
      <c r="C90" s="328"/>
      <c r="D90" s="328"/>
      <c r="E90" s="328"/>
      <c r="F90" s="328"/>
      <c r="G90" s="328"/>
      <c r="H90" s="328"/>
      <c r="I90" s="328"/>
      <c r="J90" s="329"/>
      <c r="K90" s="278"/>
    </row>
    <row r="91" spans="1:11" x14ac:dyDescent="0.3">
      <c r="A91" s="327"/>
      <c r="B91" s="328"/>
      <c r="C91" s="328"/>
      <c r="D91" s="328"/>
      <c r="E91" s="328"/>
      <c r="F91" s="328"/>
      <c r="G91" s="328"/>
      <c r="H91" s="328"/>
      <c r="I91" s="328"/>
      <c r="J91" s="329"/>
      <c r="K91" s="278"/>
    </row>
    <row r="92" spans="1:11" x14ac:dyDescent="0.3">
      <c r="A92" s="327"/>
      <c r="B92" s="328"/>
      <c r="C92" s="328"/>
      <c r="D92" s="328"/>
      <c r="E92" s="328"/>
      <c r="F92" s="328"/>
      <c r="G92" s="328"/>
      <c r="H92" s="328"/>
      <c r="I92" s="328"/>
      <c r="J92" s="329"/>
      <c r="K92" s="278"/>
    </row>
    <row r="93" spans="1:11" x14ac:dyDescent="0.3">
      <c r="A93" s="805"/>
      <c r="B93" s="806"/>
      <c r="C93" s="806"/>
      <c r="D93" s="806"/>
      <c r="E93" s="806"/>
      <c r="F93" s="806"/>
      <c r="G93" s="806"/>
      <c r="H93" s="806"/>
      <c r="I93" s="806"/>
      <c r="J93" s="807"/>
      <c r="K93" s="278"/>
    </row>
    <row r="94" spans="1:11" x14ac:dyDescent="0.3">
      <c r="A94" s="805"/>
      <c r="B94" s="806"/>
      <c r="C94" s="806"/>
      <c r="D94" s="806"/>
      <c r="E94" s="806"/>
      <c r="F94" s="806"/>
      <c r="G94" s="806"/>
      <c r="H94" s="806"/>
      <c r="I94" s="806"/>
      <c r="J94" s="807"/>
      <c r="K94" s="278"/>
    </row>
    <row r="95" spans="1:11" x14ac:dyDescent="0.3">
      <c r="A95" s="805"/>
      <c r="B95" s="806"/>
      <c r="C95" s="806"/>
      <c r="D95" s="806"/>
      <c r="E95" s="806"/>
      <c r="F95" s="806"/>
      <c r="G95" s="806"/>
      <c r="H95" s="806"/>
      <c r="I95" s="806"/>
      <c r="J95" s="807"/>
      <c r="K95" s="278"/>
    </row>
    <row r="96" spans="1:11" x14ac:dyDescent="0.3">
      <c r="A96" s="805"/>
      <c r="B96" s="806"/>
      <c r="C96" s="806"/>
      <c r="D96" s="806"/>
      <c r="E96" s="806"/>
      <c r="F96" s="806"/>
      <c r="G96" s="806"/>
      <c r="H96" s="806"/>
      <c r="I96" s="806"/>
      <c r="J96" s="807"/>
      <c r="K96" s="278"/>
    </row>
    <row r="97" spans="1:11" x14ac:dyDescent="0.3">
      <c r="A97" s="805"/>
      <c r="B97" s="806"/>
      <c r="C97" s="806"/>
      <c r="D97" s="806"/>
      <c r="E97" s="806"/>
      <c r="F97" s="806"/>
      <c r="G97" s="806"/>
      <c r="H97" s="806"/>
      <c r="I97" s="806"/>
      <c r="J97" s="807"/>
      <c r="K97" s="278"/>
    </row>
    <row r="98" spans="1:11" x14ac:dyDescent="0.3">
      <c r="A98" s="805"/>
      <c r="B98" s="806"/>
      <c r="C98" s="806"/>
      <c r="D98" s="806"/>
      <c r="E98" s="806"/>
      <c r="F98" s="806"/>
      <c r="G98" s="806"/>
      <c r="H98" s="806"/>
      <c r="I98" s="806"/>
      <c r="J98" s="807"/>
      <c r="K98" s="278"/>
    </row>
    <row r="99" spans="1:11" x14ac:dyDescent="0.3">
      <c r="A99" s="805"/>
      <c r="B99" s="806"/>
      <c r="C99" s="806"/>
      <c r="D99" s="806"/>
      <c r="E99" s="806"/>
      <c r="F99" s="806"/>
      <c r="G99" s="806"/>
      <c r="H99" s="806"/>
      <c r="I99" s="806"/>
      <c r="J99" s="807"/>
      <c r="K99" s="278"/>
    </row>
    <row r="100" spans="1:11" ht="15" customHeight="1" x14ac:dyDescent="0.3">
      <c r="A100" s="809"/>
      <c r="B100" s="433"/>
      <c r="C100" s="433"/>
      <c r="D100" s="433"/>
      <c r="E100" s="433"/>
      <c r="F100" s="433"/>
      <c r="G100" s="433"/>
      <c r="H100" s="433"/>
      <c r="I100" s="433"/>
      <c r="J100" s="810"/>
      <c r="K100" s="278"/>
    </row>
    <row r="101" spans="1:11" ht="15" customHeight="1" thickBot="1" x14ac:dyDescent="0.35">
      <c r="A101" s="811"/>
      <c r="B101" s="812"/>
      <c r="C101" s="812"/>
      <c r="D101" s="812"/>
      <c r="E101" s="812"/>
      <c r="F101" s="812"/>
      <c r="G101" s="812"/>
      <c r="H101" s="812"/>
      <c r="I101" s="812"/>
      <c r="J101" s="813"/>
      <c r="K101" s="277"/>
    </row>
    <row r="102" spans="1:11" ht="15" customHeight="1" thickBot="1" x14ac:dyDescent="0.35">
      <c r="A102" s="715" t="s">
        <v>269</v>
      </c>
      <c r="B102" s="716"/>
      <c r="C102" s="716"/>
      <c r="D102" s="716"/>
      <c r="E102" s="716"/>
      <c r="F102" s="716"/>
      <c r="G102" s="716"/>
      <c r="H102" s="716"/>
      <c r="I102" s="716"/>
      <c r="J102" s="716"/>
      <c r="K102" s="717"/>
    </row>
    <row r="103" spans="1:11" ht="14.5" customHeight="1" x14ac:dyDescent="0.3"/>
  </sheetData>
  <mergeCells count="89">
    <mergeCell ref="D47:F47"/>
    <mergeCell ref="G43:J58"/>
    <mergeCell ref="D43:F43"/>
    <mergeCell ref="D46:F46"/>
    <mergeCell ref="D45:F45"/>
    <mergeCell ref="D52:F52"/>
    <mergeCell ref="D48:F48"/>
    <mergeCell ref="D58:F58"/>
    <mergeCell ref="D57:F57"/>
    <mergeCell ref="D56:F56"/>
    <mergeCell ref="D50:F50"/>
    <mergeCell ref="D49:F49"/>
    <mergeCell ref="D44:F44"/>
    <mergeCell ref="D53:F53"/>
    <mergeCell ref="D51:F51"/>
    <mergeCell ref="D55:F55"/>
    <mergeCell ref="A100:J100"/>
    <mergeCell ref="A101:J101"/>
    <mergeCell ref="A102:K102"/>
    <mergeCell ref="A93:J93"/>
    <mergeCell ref="A94:J94"/>
    <mergeCell ref="A95:J95"/>
    <mergeCell ref="A96:J96"/>
    <mergeCell ref="A97:J97"/>
    <mergeCell ref="A98:J98"/>
    <mergeCell ref="D54:F54"/>
    <mergeCell ref="A99:J99"/>
    <mergeCell ref="A59:J59"/>
    <mergeCell ref="D60:F60"/>
    <mergeCell ref="G60:J60"/>
    <mergeCell ref="A76:J76"/>
    <mergeCell ref="D66:F66"/>
    <mergeCell ref="A77:J77"/>
    <mergeCell ref="A78:J78"/>
    <mergeCell ref="D61:F61"/>
    <mergeCell ref="G61:J66"/>
    <mergeCell ref="D62:F62"/>
    <mergeCell ref="D63:F63"/>
    <mergeCell ref="D64:F64"/>
    <mergeCell ref="D65:F65"/>
    <mergeCell ref="A74:J74"/>
    <mergeCell ref="A41:J41"/>
    <mergeCell ref="G42:J42"/>
    <mergeCell ref="A27:J27"/>
    <mergeCell ref="G28:J28"/>
    <mergeCell ref="G29:J40"/>
    <mergeCell ref="B33:F33"/>
    <mergeCell ref="D34:F34"/>
    <mergeCell ref="D35:F35"/>
    <mergeCell ref="D36:F36"/>
    <mergeCell ref="D37:F37"/>
    <mergeCell ref="D38:F38"/>
    <mergeCell ref="D39:F39"/>
    <mergeCell ref="D40:F40"/>
    <mergeCell ref="A13:J13"/>
    <mergeCell ref="G14:J14"/>
    <mergeCell ref="G15:J26"/>
    <mergeCell ref="B19:F19"/>
    <mergeCell ref="D20:F20"/>
    <mergeCell ref="D21:F21"/>
    <mergeCell ref="D22:F22"/>
    <mergeCell ref="D23:F23"/>
    <mergeCell ref="D24:F24"/>
    <mergeCell ref="D25:F25"/>
    <mergeCell ref="D26:F26"/>
    <mergeCell ref="C11:J11"/>
    <mergeCell ref="A1:K1"/>
    <mergeCell ref="A2:B5"/>
    <mergeCell ref="D2:G2"/>
    <mergeCell ref="H2:K2"/>
    <mergeCell ref="D3:G3"/>
    <mergeCell ref="H3:K3"/>
    <mergeCell ref="D4:G4"/>
    <mergeCell ref="D5:G5"/>
    <mergeCell ref="A6:K6"/>
    <mergeCell ref="A7:J7"/>
    <mergeCell ref="C8:J8"/>
    <mergeCell ref="C9:J9"/>
    <mergeCell ref="C10:J10"/>
    <mergeCell ref="A75:J75"/>
    <mergeCell ref="A67:J67"/>
    <mergeCell ref="D68:F68"/>
    <mergeCell ref="G68:J68"/>
    <mergeCell ref="D69:F69"/>
    <mergeCell ref="G69:J73"/>
    <mergeCell ref="D70:F70"/>
    <mergeCell ref="D71:F71"/>
    <mergeCell ref="D72:F72"/>
    <mergeCell ref="D73:F73"/>
  </mergeCells>
  <pageMargins left="0.70865923009623799" right="0.20865923009623796" top="0.5699989063867017" bottom="0.49802930883639546" header="6.4959536307961502E-2" footer="0.31496062992125984"/>
  <pageSetup scale="83" fitToHeight="0" orientation="portrait" horizontalDpi="1200" verticalDpi="1200" r:id="rId1"/>
  <headerFooter>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1745" r:id="rId4" name="Check Box 1">
              <controlPr defaultSize="0" autoFill="0" autoLine="0" autoPict="0">
                <anchor moveWithCells="1">
                  <from>
                    <xdr:col>3</xdr:col>
                    <xdr:colOff>260350</xdr:colOff>
                    <xdr:row>73</xdr:row>
                    <xdr:rowOff>0</xdr:rowOff>
                  </from>
                  <to>
                    <xdr:col>4</xdr:col>
                    <xdr:colOff>0</xdr:colOff>
                    <xdr:row>74</xdr:row>
                    <xdr:rowOff>50800</xdr:rowOff>
                  </to>
                </anchor>
              </controlPr>
            </control>
          </mc:Choice>
        </mc:AlternateContent>
        <mc:AlternateContent xmlns:mc="http://schemas.openxmlformats.org/markup-compatibility/2006">
          <mc:Choice Requires="x14">
            <control shapeId="31746" r:id="rId5" name="Check Box 2">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1747" r:id="rId6" name="Check Box 3">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1748" r:id="rId7" name="Check Box 4">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1749" r:id="rId8" name="Check Box 5">
              <controlPr defaultSize="0" autoFill="0" autoLine="0" autoPict="0">
                <anchor moveWithCells="1">
                  <from>
                    <xdr:col>2</xdr:col>
                    <xdr:colOff>12700</xdr:colOff>
                    <xdr:row>10</xdr:row>
                    <xdr:rowOff>165100</xdr:rowOff>
                  </from>
                  <to>
                    <xdr:col>2</xdr:col>
                    <xdr:colOff>450850</xdr:colOff>
                    <xdr:row>12</xdr:row>
                    <xdr:rowOff>12700</xdr:rowOff>
                  </to>
                </anchor>
              </controlPr>
            </control>
          </mc:Choice>
        </mc:AlternateContent>
        <mc:AlternateContent xmlns:mc="http://schemas.openxmlformats.org/markup-compatibility/2006">
          <mc:Choice Requires="x14">
            <control shapeId="31750" r:id="rId9" name="Check Box 6">
              <controlPr defaultSize="0" autoFill="0" autoLine="0" autoPict="0">
                <anchor moveWithCells="1">
                  <from>
                    <xdr:col>6</xdr:col>
                    <xdr:colOff>755650</xdr:colOff>
                    <xdr:row>10</xdr:row>
                    <xdr:rowOff>184150</xdr:rowOff>
                  </from>
                  <to>
                    <xdr:col>7</xdr:col>
                    <xdr:colOff>419100</xdr:colOff>
                    <xdr:row>12</xdr:row>
                    <xdr:rowOff>38100</xdr:rowOff>
                  </to>
                </anchor>
              </controlPr>
            </control>
          </mc:Choice>
        </mc:AlternateContent>
        <mc:AlternateContent xmlns:mc="http://schemas.openxmlformats.org/markup-compatibility/2006">
          <mc:Choice Requires="x14">
            <control shapeId="31751" r:id="rId10" name="Check Box 7">
              <controlPr defaultSize="0" autoFill="0" autoLine="0" autoPict="0">
                <anchor moveWithCells="1">
                  <from>
                    <xdr:col>4</xdr:col>
                    <xdr:colOff>431800</xdr:colOff>
                    <xdr:row>10</xdr:row>
                    <xdr:rowOff>165100</xdr:rowOff>
                  </from>
                  <to>
                    <xdr:col>5</xdr:col>
                    <xdr:colOff>184150</xdr:colOff>
                    <xdr:row>12</xdr:row>
                    <xdr:rowOff>38100</xdr:rowOff>
                  </to>
                </anchor>
              </controlPr>
            </control>
          </mc:Choice>
        </mc:AlternateContent>
        <mc:AlternateContent xmlns:mc="http://schemas.openxmlformats.org/markup-compatibility/2006">
          <mc:Choice Requires="x14">
            <control shapeId="31752" r:id="rId11" name="Check Box 8">
              <controlPr defaultSize="0" autoFill="0" autoLine="0" autoPict="0">
                <anchor moveWithCells="1">
                  <from>
                    <xdr:col>3</xdr:col>
                    <xdr:colOff>260350</xdr:colOff>
                    <xdr:row>73</xdr:row>
                    <xdr:rowOff>0</xdr:rowOff>
                  </from>
                  <to>
                    <xdr:col>4</xdr:col>
                    <xdr:colOff>0</xdr:colOff>
                    <xdr:row>74</xdr:row>
                    <xdr:rowOff>38100</xdr:rowOff>
                  </to>
                </anchor>
              </controlPr>
            </control>
          </mc:Choice>
        </mc:AlternateContent>
        <mc:AlternateContent xmlns:mc="http://schemas.openxmlformats.org/markup-compatibility/2006">
          <mc:Choice Requires="x14">
            <control shapeId="31753" r:id="rId12" name="Check Box 9">
              <controlPr defaultSize="0" autoFill="0" autoLine="0" autoPict="0">
                <anchor moveWithCells="1">
                  <from>
                    <xdr:col>4</xdr:col>
                    <xdr:colOff>241300</xdr:colOff>
                    <xdr:row>73</xdr:row>
                    <xdr:rowOff>0</xdr:rowOff>
                  </from>
                  <to>
                    <xdr:col>5</xdr:col>
                    <xdr:colOff>0</xdr:colOff>
                    <xdr:row>74</xdr:row>
                    <xdr:rowOff>50800</xdr:rowOff>
                  </to>
                </anchor>
              </controlPr>
            </control>
          </mc:Choice>
        </mc:AlternateContent>
        <mc:AlternateContent xmlns:mc="http://schemas.openxmlformats.org/markup-compatibility/2006">
          <mc:Choice Requires="x14">
            <control shapeId="31754" r:id="rId13" name="Check Box 10">
              <controlPr defaultSize="0" autoFill="0" autoLine="0" autoPict="0">
                <anchor moveWithCells="1">
                  <from>
                    <xdr:col>4</xdr:col>
                    <xdr:colOff>241300</xdr:colOff>
                    <xdr:row>73</xdr:row>
                    <xdr:rowOff>0</xdr:rowOff>
                  </from>
                  <to>
                    <xdr:col>5</xdr:col>
                    <xdr:colOff>0</xdr:colOff>
                    <xdr:row>74</xdr:row>
                    <xdr:rowOff>38100</xdr:rowOff>
                  </to>
                </anchor>
              </controlPr>
            </control>
          </mc:Choice>
        </mc:AlternateContent>
        <mc:AlternateContent xmlns:mc="http://schemas.openxmlformats.org/markup-compatibility/2006">
          <mc:Choice Requires="x14">
            <control shapeId="31755" r:id="rId14" name="Check Box 11">
              <controlPr defaultSize="0" autoFill="0" autoLine="0" autoPict="0">
                <anchor moveWithCells="1">
                  <from>
                    <xdr:col>4</xdr:col>
                    <xdr:colOff>241300</xdr:colOff>
                    <xdr:row>73</xdr:row>
                    <xdr:rowOff>0</xdr:rowOff>
                  </from>
                  <to>
                    <xdr:col>5</xdr:col>
                    <xdr:colOff>0</xdr:colOff>
                    <xdr:row>74</xdr:row>
                    <xdr:rowOff>31750</xdr:rowOff>
                  </to>
                </anchor>
              </controlPr>
            </control>
          </mc:Choice>
        </mc:AlternateContent>
        <mc:AlternateContent xmlns:mc="http://schemas.openxmlformats.org/markup-compatibility/2006">
          <mc:Choice Requires="x14">
            <control shapeId="31756" r:id="rId15" name="Check Box 12">
              <controlPr defaultSize="0" autoFill="0" autoLine="0" autoPict="0">
                <anchor moveWithCells="1">
                  <from>
                    <xdr:col>4</xdr:col>
                    <xdr:colOff>241300</xdr:colOff>
                    <xdr:row>73</xdr:row>
                    <xdr:rowOff>0</xdr:rowOff>
                  </from>
                  <to>
                    <xdr:col>5</xdr:col>
                    <xdr:colOff>0</xdr:colOff>
                    <xdr:row>74</xdr:row>
                    <xdr:rowOff>31750</xdr:rowOff>
                  </to>
                </anchor>
              </controlPr>
            </control>
          </mc:Choice>
        </mc:AlternateContent>
        <mc:AlternateContent xmlns:mc="http://schemas.openxmlformats.org/markup-compatibility/2006">
          <mc:Choice Requires="x14">
            <control shapeId="31757" r:id="rId16" name="Check Box 13">
              <controlPr defaultSize="0" autoFill="0" autoLine="0" autoPict="0">
                <anchor moveWithCells="1">
                  <from>
                    <xdr:col>4</xdr:col>
                    <xdr:colOff>241300</xdr:colOff>
                    <xdr:row>73</xdr:row>
                    <xdr:rowOff>0</xdr:rowOff>
                  </from>
                  <to>
                    <xdr:col>5</xdr:col>
                    <xdr:colOff>0</xdr:colOff>
                    <xdr:row>74</xdr:row>
                    <xdr:rowOff>50800</xdr:rowOff>
                  </to>
                </anchor>
              </controlPr>
            </control>
          </mc:Choice>
        </mc:AlternateContent>
        <mc:AlternateContent xmlns:mc="http://schemas.openxmlformats.org/markup-compatibility/2006">
          <mc:Choice Requires="x14">
            <control shapeId="31758" r:id="rId17" name="Check Box 14">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1759" r:id="rId18" name="Check Box 15">
              <controlPr defaultSize="0" autoFill="0" autoLine="0" autoPict="0">
                <anchor moveWithCells="1">
                  <from>
                    <xdr:col>4</xdr:col>
                    <xdr:colOff>241300</xdr:colOff>
                    <xdr:row>73</xdr:row>
                    <xdr:rowOff>0</xdr:rowOff>
                  </from>
                  <to>
                    <xdr:col>5</xdr:col>
                    <xdr:colOff>0</xdr:colOff>
                    <xdr:row>74</xdr:row>
                    <xdr:rowOff>31750</xdr:rowOff>
                  </to>
                </anchor>
              </controlPr>
            </control>
          </mc:Choice>
        </mc:AlternateContent>
        <mc:AlternateContent xmlns:mc="http://schemas.openxmlformats.org/markup-compatibility/2006">
          <mc:Choice Requires="x14">
            <control shapeId="31760" r:id="rId19" name="Check Box 16">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1761" r:id="rId20" name="Check Box 17">
              <controlPr defaultSize="0" autoFill="0" autoLine="0" autoPict="0">
                <anchor moveWithCells="1">
                  <from>
                    <xdr:col>4</xdr:col>
                    <xdr:colOff>241300</xdr:colOff>
                    <xdr:row>73</xdr:row>
                    <xdr:rowOff>0</xdr:rowOff>
                  </from>
                  <to>
                    <xdr:col>5</xdr:col>
                    <xdr:colOff>0</xdr:colOff>
                    <xdr:row>74</xdr:row>
                    <xdr:rowOff>38100</xdr:rowOff>
                  </to>
                </anchor>
              </controlPr>
            </control>
          </mc:Choice>
        </mc:AlternateContent>
        <mc:AlternateContent xmlns:mc="http://schemas.openxmlformats.org/markup-compatibility/2006">
          <mc:Choice Requires="x14">
            <control shapeId="31762" r:id="rId21" name="Check Box 18">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1763" r:id="rId22" name="Check Box 19">
              <controlPr defaultSize="0" autoFill="0" autoLine="0" autoPict="0">
                <anchor moveWithCells="1">
                  <from>
                    <xdr:col>4</xdr:col>
                    <xdr:colOff>241300</xdr:colOff>
                    <xdr:row>73</xdr:row>
                    <xdr:rowOff>0</xdr:rowOff>
                  </from>
                  <to>
                    <xdr:col>5</xdr:col>
                    <xdr:colOff>0</xdr:colOff>
                    <xdr:row>74</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2:DT190"/>
  <sheetViews>
    <sheetView zoomScale="70" zoomScaleNormal="70" workbookViewId="0">
      <pane xSplit="4" ySplit="13" topLeftCell="BI43" activePane="bottomRight" state="frozen"/>
      <selection pane="topRight" activeCell="E1" sqref="E1"/>
      <selection pane="bottomLeft" activeCell="A13" sqref="A13"/>
      <selection pane="bottomRight" activeCell="BM4" sqref="BM4:BR4"/>
    </sheetView>
  </sheetViews>
  <sheetFormatPr defaultColWidth="8.81640625" defaultRowHeight="14.5" x14ac:dyDescent="0.35"/>
  <cols>
    <col min="2" max="2" width="12.81640625" style="2" customWidth="1"/>
    <col min="3" max="3" width="24.54296875" style="11" customWidth="1"/>
    <col min="4" max="4" width="11" style="1" customWidth="1"/>
    <col min="5" max="5" width="14.1796875" style="1" customWidth="1"/>
    <col min="6" max="6" width="13.54296875" style="55" customWidth="1"/>
    <col min="7" max="7" width="10.1796875" style="1" customWidth="1"/>
    <col min="8" max="9" width="11.1796875" style="1" customWidth="1"/>
    <col min="10" max="10" width="10.81640625" customWidth="1"/>
    <col min="11" max="12" width="10" style="64" customWidth="1"/>
    <col min="13" max="13" width="10.1796875" style="64" customWidth="1"/>
    <col min="14" max="15" width="11.1796875" style="64" customWidth="1"/>
    <col min="16" max="16" width="10.81640625" customWidth="1"/>
    <col min="17" max="18" width="10" style="68" customWidth="1"/>
    <col min="19" max="19" width="10.1796875" style="68" customWidth="1"/>
    <col min="20" max="21" width="11.1796875" style="68" customWidth="1"/>
    <col min="22" max="22" width="10.81640625" customWidth="1"/>
    <col min="23" max="24" width="10" style="64" customWidth="1"/>
    <col min="25" max="25" width="10.1796875" style="64" customWidth="1"/>
    <col min="26" max="27" width="11.1796875" style="64" customWidth="1"/>
    <col min="28" max="28" width="10.81640625" customWidth="1"/>
    <col min="29" max="30" width="10" style="125" customWidth="1"/>
    <col min="31" max="31" width="10.1796875" style="125" customWidth="1"/>
    <col min="32" max="33" width="11.1796875" style="125" customWidth="1"/>
    <col min="34" max="34" width="10.81640625" customWidth="1"/>
    <col min="35" max="36" width="10" style="64" customWidth="1"/>
    <col min="37" max="37" width="10.1796875" style="64" customWidth="1"/>
    <col min="38" max="39" width="11.1796875" style="64" customWidth="1"/>
    <col min="40" max="40" width="10.81640625" customWidth="1"/>
    <col min="41" max="42" width="10" style="64" customWidth="1"/>
    <col min="43" max="43" width="10.1796875" style="64" customWidth="1"/>
    <col min="44" max="45" width="11.1796875" style="64" customWidth="1"/>
    <col min="46" max="46" width="10.81640625" customWidth="1"/>
    <col min="47" max="48" width="10" style="64" customWidth="1"/>
    <col min="49" max="49" width="10.1796875" style="64" customWidth="1"/>
    <col min="50" max="51" width="11.1796875" style="64" customWidth="1"/>
    <col min="52" max="52" width="10.81640625" customWidth="1"/>
    <col min="53" max="54" width="10" style="64" customWidth="1"/>
    <col min="55" max="55" width="10.1796875" style="64" customWidth="1"/>
    <col min="56" max="57" width="11.1796875" style="64" customWidth="1"/>
    <col min="58" max="58" width="10.81640625" customWidth="1"/>
    <col min="59" max="60" width="10" style="64" customWidth="1"/>
    <col min="61" max="61" width="10.1796875" style="64" customWidth="1"/>
    <col min="62" max="63" width="11.1796875" style="64" customWidth="1"/>
    <col min="64" max="64" width="10.81640625" customWidth="1"/>
    <col min="65" max="66" width="10" style="64" customWidth="1"/>
    <col min="67" max="67" width="10.1796875" style="64" customWidth="1"/>
    <col min="68" max="69" width="11.1796875" style="64" customWidth="1"/>
    <col min="70" max="70" width="10.81640625" customWidth="1"/>
    <col min="71" max="72" width="10" style="64" customWidth="1"/>
    <col min="73" max="73" width="10.1796875" style="64" customWidth="1"/>
    <col min="74" max="75" width="11.1796875" style="64" customWidth="1"/>
    <col min="76" max="76" width="10.81640625" customWidth="1"/>
    <col min="77" max="78" width="10" style="88" customWidth="1"/>
    <col min="79" max="79" width="10.1796875" style="88" customWidth="1"/>
    <col min="80" max="81" width="11.1796875" style="88" customWidth="1"/>
    <col min="82" max="82" width="11.1796875" customWidth="1"/>
    <col min="83" max="84" width="10" style="153" customWidth="1"/>
    <col min="85" max="85" width="10.1796875" style="153" customWidth="1"/>
    <col min="86" max="87" width="11.1796875" style="153" customWidth="1"/>
    <col min="88" max="88" width="11.1796875" customWidth="1"/>
    <col min="89" max="90" width="10" style="64" customWidth="1"/>
    <col min="91" max="91" width="10.1796875" style="64" customWidth="1"/>
    <col min="92" max="93" width="11.1796875" style="64" customWidth="1"/>
    <col min="94" max="94" width="10.81640625" customWidth="1"/>
    <col min="95" max="96" width="10" style="68" customWidth="1"/>
    <col min="97" max="97" width="10.1796875" style="68" customWidth="1"/>
    <col min="98" max="99" width="11.1796875" style="68" customWidth="1"/>
    <col min="100" max="100" width="10.81640625" customWidth="1"/>
    <col min="101" max="102" width="10" style="92" customWidth="1"/>
    <col min="103" max="103" width="10.1796875" style="92" customWidth="1"/>
    <col min="104" max="105" width="11.1796875" style="92" customWidth="1"/>
    <col min="106" max="106" width="10.81640625" customWidth="1"/>
    <col min="107" max="108" width="10" style="92" customWidth="1"/>
    <col min="109" max="109" width="10.1796875" style="92" customWidth="1"/>
    <col min="110" max="111" width="11.1796875" style="92" customWidth="1"/>
    <col min="112" max="112" width="10.81640625" customWidth="1"/>
    <col min="113" max="114" width="10" style="88" customWidth="1"/>
    <col min="115" max="115" width="10.1796875" style="88" customWidth="1"/>
    <col min="116" max="117" width="11.1796875" style="88" customWidth="1"/>
    <col min="118" max="118" width="10.81640625" customWidth="1"/>
  </cols>
  <sheetData>
    <row r="2" spans="1:124" x14ac:dyDescent="0.35">
      <c r="B2" s="14"/>
      <c r="C2" s="178" t="s">
        <v>6</v>
      </c>
      <c r="D2" s="14"/>
      <c r="E2" s="458">
        <v>1</v>
      </c>
      <c r="F2" s="458"/>
      <c r="G2" s="458"/>
      <c r="H2" s="458"/>
      <c r="I2" s="458"/>
      <c r="J2" s="458"/>
      <c r="K2" s="458">
        <v>2</v>
      </c>
      <c r="L2" s="458"/>
      <c r="M2" s="458"/>
      <c r="N2" s="458"/>
      <c r="O2" s="458"/>
      <c r="P2" s="458"/>
      <c r="Q2" s="458">
        <v>3</v>
      </c>
      <c r="R2" s="458"/>
      <c r="S2" s="458"/>
      <c r="T2" s="458"/>
      <c r="U2" s="458"/>
      <c r="V2" s="458"/>
      <c r="W2" s="458">
        <v>4</v>
      </c>
      <c r="X2" s="458"/>
      <c r="Y2" s="458"/>
      <c r="Z2" s="458"/>
      <c r="AA2" s="458"/>
      <c r="AB2" s="458"/>
      <c r="AC2" s="458">
        <v>5</v>
      </c>
      <c r="AD2" s="458"/>
      <c r="AE2" s="458"/>
      <c r="AF2" s="458"/>
      <c r="AG2" s="458"/>
      <c r="AH2" s="458"/>
      <c r="AI2" s="458">
        <v>6</v>
      </c>
      <c r="AJ2" s="458"/>
      <c r="AK2" s="458"/>
      <c r="AL2" s="458"/>
      <c r="AM2" s="458"/>
      <c r="AN2" s="458"/>
      <c r="AO2" s="458">
        <v>7</v>
      </c>
      <c r="AP2" s="458"/>
      <c r="AQ2" s="458"/>
      <c r="AR2" s="458"/>
      <c r="AS2" s="458"/>
      <c r="AT2" s="458"/>
      <c r="AU2" s="458">
        <v>8</v>
      </c>
      <c r="AV2" s="458"/>
      <c r="AW2" s="458"/>
      <c r="AX2" s="458"/>
      <c r="AY2" s="458"/>
      <c r="AZ2" s="458"/>
      <c r="BA2" s="458">
        <v>9</v>
      </c>
      <c r="BB2" s="458"/>
      <c r="BC2" s="458"/>
      <c r="BD2" s="458"/>
      <c r="BE2" s="458"/>
      <c r="BF2" s="458"/>
      <c r="BG2" s="458">
        <v>10</v>
      </c>
      <c r="BH2" s="458"/>
      <c r="BI2" s="458"/>
      <c r="BJ2" s="458"/>
      <c r="BK2" s="458"/>
      <c r="BL2" s="458"/>
      <c r="BM2" s="458">
        <v>11</v>
      </c>
      <c r="BN2" s="458"/>
      <c r="BO2" s="458"/>
      <c r="BP2" s="458"/>
      <c r="BQ2" s="458"/>
      <c r="BR2" s="458"/>
      <c r="BS2" s="458">
        <v>12</v>
      </c>
      <c r="BT2" s="458"/>
      <c r="BU2" s="458"/>
      <c r="BV2" s="458"/>
      <c r="BW2" s="458"/>
      <c r="BX2" s="458"/>
      <c r="BY2" s="458">
        <v>13</v>
      </c>
      <c r="BZ2" s="458"/>
      <c r="CA2" s="458"/>
      <c r="CB2" s="458"/>
      <c r="CC2" s="458"/>
      <c r="CD2" s="458"/>
      <c r="CE2" s="458">
        <v>14</v>
      </c>
      <c r="CF2" s="458"/>
      <c r="CG2" s="458"/>
      <c r="CH2" s="458"/>
      <c r="CI2" s="458"/>
      <c r="CJ2" s="458"/>
      <c r="CK2" s="458">
        <v>15</v>
      </c>
      <c r="CL2" s="458"/>
      <c r="CM2" s="458"/>
      <c r="CN2" s="458"/>
      <c r="CO2" s="458"/>
      <c r="CP2" s="458"/>
      <c r="CQ2" s="458">
        <v>16</v>
      </c>
      <c r="CR2" s="458"/>
      <c r="CS2" s="458"/>
      <c r="CT2" s="458"/>
      <c r="CU2" s="458"/>
      <c r="CV2" s="458"/>
      <c r="CW2" s="458">
        <v>17</v>
      </c>
      <c r="CX2" s="458"/>
      <c r="CY2" s="458"/>
      <c r="CZ2" s="458"/>
      <c r="DA2" s="458"/>
      <c r="DB2" s="458"/>
      <c r="DC2" s="458">
        <v>18</v>
      </c>
      <c r="DD2" s="458"/>
      <c r="DE2" s="458"/>
      <c r="DF2" s="458"/>
      <c r="DG2" s="458"/>
      <c r="DH2" s="458"/>
      <c r="DI2" s="458">
        <v>19</v>
      </c>
      <c r="DJ2" s="458"/>
      <c r="DK2" s="458"/>
      <c r="DL2" s="458"/>
      <c r="DM2" s="458"/>
      <c r="DN2" s="458"/>
      <c r="DO2" s="458">
        <v>20</v>
      </c>
      <c r="DP2" s="458"/>
      <c r="DQ2" s="458"/>
      <c r="DR2" s="458"/>
      <c r="DS2" s="458"/>
      <c r="DT2" s="458"/>
    </row>
    <row r="3" spans="1:124" s="10" customFormat="1" ht="45" customHeight="1" x14ac:dyDescent="0.35">
      <c r="B3" s="179"/>
      <c r="C3" s="180" t="s">
        <v>14</v>
      </c>
      <c r="D3" s="179"/>
      <c r="E3" s="459" t="s">
        <v>766</v>
      </c>
      <c r="F3" s="460"/>
      <c r="G3" s="460"/>
      <c r="H3" s="460"/>
      <c r="I3" s="460"/>
      <c r="J3" s="461"/>
      <c r="K3" s="459" t="s">
        <v>767</v>
      </c>
      <c r="L3" s="460"/>
      <c r="M3" s="460"/>
      <c r="N3" s="460"/>
      <c r="O3" s="460"/>
      <c r="P3" s="461"/>
      <c r="Q3" s="459" t="s">
        <v>768</v>
      </c>
      <c r="R3" s="460"/>
      <c r="S3" s="460"/>
      <c r="T3" s="460"/>
      <c r="U3" s="460"/>
      <c r="V3" s="461"/>
      <c r="W3" s="473" t="s">
        <v>769</v>
      </c>
      <c r="X3" s="474"/>
      <c r="Y3" s="474"/>
      <c r="Z3" s="474"/>
      <c r="AA3" s="474"/>
      <c r="AB3" s="475"/>
      <c r="AC3" s="473" t="s">
        <v>770</v>
      </c>
      <c r="AD3" s="474"/>
      <c r="AE3" s="474"/>
      <c r="AF3" s="474"/>
      <c r="AG3" s="474"/>
      <c r="AH3" s="475"/>
      <c r="AI3" s="459" t="s">
        <v>771</v>
      </c>
      <c r="AJ3" s="460"/>
      <c r="AK3" s="460"/>
      <c r="AL3" s="460"/>
      <c r="AM3" s="460"/>
      <c r="AN3" s="461"/>
      <c r="AO3" s="459" t="s">
        <v>772</v>
      </c>
      <c r="AP3" s="460"/>
      <c r="AQ3" s="460"/>
      <c r="AR3" s="460"/>
      <c r="AS3" s="460"/>
      <c r="AT3" s="461"/>
      <c r="AU3" s="459" t="s">
        <v>773</v>
      </c>
      <c r="AV3" s="460"/>
      <c r="AW3" s="460"/>
      <c r="AX3" s="460"/>
      <c r="AY3" s="460"/>
      <c r="AZ3" s="461"/>
      <c r="BA3" s="459" t="s">
        <v>774</v>
      </c>
      <c r="BB3" s="460"/>
      <c r="BC3" s="460"/>
      <c r="BD3" s="460"/>
      <c r="BE3" s="460"/>
      <c r="BF3" s="461"/>
      <c r="BG3" s="459" t="s">
        <v>775</v>
      </c>
      <c r="BH3" s="460"/>
      <c r="BI3" s="460"/>
      <c r="BJ3" s="460"/>
      <c r="BK3" s="460"/>
      <c r="BL3" s="461"/>
      <c r="BM3" s="459" t="s">
        <v>972</v>
      </c>
      <c r="BN3" s="460"/>
      <c r="BO3" s="460"/>
      <c r="BP3" s="460"/>
      <c r="BQ3" s="460"/>
      <c r="BR3" s="461"/>
      <c r="BS3" s="459" t="s">
        <v>776</v>
      </c>
      <c r="BT3" s="460"/>
      <c r="BU3" s="460"/>
      <c r="BV3" s="460"/>
      <c r="BW3" s="460"/>
      <c r="BX3" s="461"/>
      <c r="BY3" s="473" t="s">
        <v>777</v>
      </c>
      <c r="BZ3" s="474"/>
      <c r="CA3" s="474"/>
      <c r="CB3" s="474"/>
      <c r="CC3" s="474"/>
      <c r="CD3" s="475"/>
      <c r="CE3" s="473" t="s">
        <v>778</v>
      </c>
      <c r="CF3" s="474"/>
      <c r="CG3" s="474"/>
      <c r="CH3" s="474"/>
      <c r="CI3" s="474"/>
      <c r="CJ3" s="475"/>
      <c r="CK3" s="459" t="s">
        <v>779</v>
      </c>
      <c r="CL3" s="460"/>
      <c r="CM3" s="460"/>
      <c r="CN3" s="460"/>
      <c r="CO3" s="460"/>
      <c r="CP3" s="461"/>
      <c r="CQ3" s="459" t="s">
        <v>780</v>
      </c>
      <c r="CR3" s="460"/>
      <c r="CS3" s="460"/>
      <c r="CT3" s="460"/>
      <c r="CU3" s="460"/>
      <c r="CV3" s="461"/>
      <c r="CW3" s="459" t="s">
        <v>781</v>
      </c>
      <c r="CX3" s="460"/>
      <c r="CY3" s="460"/>
      <c r="CZ3" s="460"/>
      <c r="DA3" s="460"/>
      <c r="DB3" s="461"/>
      <c r="DC3" s="459" t="s">
        <v>782</v>
      </c>
      <c r="DD3" s="460"/>
      <c r="DE3" s="460"/>
      <c r="DF3" s="460"/>
      <c r="DG3" s="460"/>
      <c r="DH3" s="461"/>
      <c r="DI3" s="459" t="s">
        <v>783</v>
      </c>
      <c r="DJ3" s="460"/>
      <c r="DK3" s="460"/>
      <c r="DL3" s="460"/>
      <c r="DM3" s="460"/>
      <c r="DN3" s="461"/>
      <c r="DO3" s="459" t="s">
        <v>971</v>
      </c>
      <c r="DP3" s="460"/>
      <c r="DQ3" s="460"/>
      <c r="DR3" s="460"/>
      <c r="DS3" s="460"/>
      <c r="DT3" s="461"/>
    </row>
    <row r="4" spans="1:124" x14ac:dyDescent="0.35">
      <c r="B4" s="14"/>
      <c r="C4" s="178" t="s">
        <v>1</v>
      </c>
      <c r="D4" s="14" t="s">
        <v>5</v>
      </c>
      <c r="E4" s="540">
        <v>65</v>
      </c>
      <c r="F4" s="541"/>
      <c r="G4" s="541"/>
      <c r="H4" s="541"/>
      <c r="I4" s="541"/>
      <c r="J4" s="542"/>
      <c r="K4" s="462">
        <v>63</v>
      </c>
      <c r="L4" s="462"/>
      <c r="M4" s="462"/>
      <c r="N4" s="462"/>
      <c r="O4" s="462"/>
      <c r="P4" s="462"/>
      <c r="Q4" s="462">
        <v>62.5</v>
      </c>
      <c r="R4" s="462"/>
      <c r="S4" s="462"/>
      <c r="T4" s="462"/>
      <c r="U4" s="462"/>
      <c r="V4" s="462"/>
      <c r="W4" s="546">
        <f>Q4</f>
        <v>62.5</v>
      </c>
      <c r="X4" s="546"/>
      <c r="Y4" s="546"/>
      <c r="Z4" s="546"/>
      <c r="AA4" s="546"/>
      <c r="AB4" s="546"/>
      <c r="AC4" s="462">
        <v>200</v>
      </c>
      <c r="AD4" s="462"/>
      <c r="AE4" s="462"/>
      <c r="AF4" s="462"/>
      <c r="AG4" s="462"/>
      <c r="AH4" s="462"/>
      <c r="AI4" s="462">
        <v>199</v>
      </c>
      <c r="AJ4" s="462"/>
      <c r="AK4" s="462"/>
      <c r="AL4" s="462"/>
      <c r="AM4" s="462"/>
      <c r="AN4" s="462"/>
      <c r="AO4" s="462">
        <v>198</v>
      </c>
      <c r="AP4" s="462"/>
      <c r="AQ4" s="462"/>
      <c r="AR4" s="462"/>
      <c r="AS4" s="462"/>
      <c r="AT4" s="462"/>
      <c r="AU4" s="462">
        <v>197</v>
      </c>
      <c r="AV4" s="462"/>
      <c r="AW4" s="462"/>
      <c r="AX4" s="462"/>
      <c r="AY4" s="462"/>
      <c r="AZ4" s="462"/>
      <c r="BA4" s="462">
        <v>196</v>
      </c>
      <c r="BB4" s="462"/>
      <c r="BC4" s="462"/>
      <c r="BD4" s="462"/>
      <c r="BE4" s="462"/>
      <c r="BF4" s="462"/>
      <c r="BG4" s="462">
        <v>195</v>
      </c>
      <c r="BH4" s="462"/>
      <c r="BI4" s="462"/>
      <c r="BJ4" s="462"/>
      <c r="BK4" s="462"/>
      <c r="BL4" s="462"/>
      <c r="BM4" s="462">
        <v>1</v>
      </c>
      <c r="BN4" s="462"/>
      <c r="BO4" s="462"/>
      <c r="BP4" s="462"/>
      <c r="BQ4" s="462"/>
      <c r="BR4" s="462"/>
      <c r="BS4" s="462">
        <v>2</v>
      </c>
      <c r="BT4" s="462"/>
      <c r="BU4" s="462"/>
      <c r="BV4" s="462"/>
      <c r="BW4" s="462"/>
      <c r="BX4" s="462"/>
      <c r="BY4" s="462">
        <v>65</v>
      </c>
      <c r="BZ4" s="462"/>
      <c r="CA4" s="462"/>
      <c r="CB4" s="462"/>
      <c r="CC4" s="462"/>
      <c r="CD4" s="462"/>
      <c r="CE4" s="462">
        <v>63</v>
      </c>
      <c r="CF4" s="462"/>
      <c r="CG4" s="462"/>
      <c r="CH4" s="462"/>
      <c r="CI4" s="462"/>
      <c r="CJ4" s="462"/>
      <c r="CK4" s="462">
        <f>'Input Sheet'!L4</f>
        <v>150</v>
      </c>
      <c r="CL4" s="462"/>
      <c r="CM4" s="462"/>
      <c r="CN4" s="462"/>
      <c r="CO4" s="462"/>
      <c r="CP4" s="462"/>
      <c r="CQ4" s="462">
        <v>270</v>
      </c>
      <c r="CR4" s="462"/>
      <c r="CS4" s="462"/>
      <c r="CT4" s="462"/>
      <c r="CU4" s="462"/>
      <c r="CV4" s="462"/>
      <c r="CW4" s="462">
        <v>268</v>
      </c>
      <c r="CX4" s="462"/>
      <c r="CY4" s="462"/>
      <c r="CZ4" s="462"/>
      <c r="DA4" s="462"/>
      <c r="DB4" s="462"/>
      <c r="DC4" s="462">
        <v>266</v>
      </c>
      <c r="DD4" s="462"/>
      <c r="DE4" s="462"/>
      <c r="DF4" s="462"/>
      <c r="DG4" s="462"/>
      <c r="DH4" s="462"/>
      <c r="DI4" s="462">
        <v>265</v>
      </c>
      <c r="DJ4" s="462"/>
      <c r="DK4" s="462"/>
      <c r="DL4" s="462"/>
      <c r="DM4" s="462"/>
      <c r="DN4" s="462"/>
      <c r="DO4" s="462">
        <v>120</v>
      </c>
      <c r="DP4" s="462"/>
      <c r="DQ4" s="462"/>
      <c r="DR4" s="462"/>
      <c r="DS4" s="462"/>
      <c r="DT4" s="462"/>
    </row>
    <row r="5" spans="1:124" x14ac:dyDescent="0.35">
      <c r="A5">
        <f>E23*(14.7+E4)/100</f>
        <v>0.10120685517737876</v>
      </c>
      <c r="B5" s="14"/>
      <c r="C5" s="178" t="s">
        <v>0</v>
      </c>
      <c r="D5" s="14" t="s">
        <v>4</v>
      </c>
      <c r="E5" s="540">
        <v>70</v>
      </c>
      <c r="F5" s="541"/>
      <c r="G5" s="541"/>
      <c r="H5" s="541"/>
      <c r="I5" s="541"/>
      <c r="J5" s="542"/>
      <c r="K5" s="462">
        <f>E5</f>
        <v>70</v>
      </c>
      <c r="L5" s="462"/>
      <c r="M5" s="462"/>
      <c r="N5" s="462"/>
      <c r="O5" s="462"/>
      <c r="P5" s="462"/>
      <c r="Q5" s="462">
        <f>K5</f>
        <v>70</v>
      </c>
      <c r="R5" s="462"/>
      <c r="S5" s="462"/>
      <c r="T5" s="462"/>
      <c r="U5" s="462"/>
      <c r="V5" s="462"/>
      <c r="W5" s="546">
        <f>(Q9*Q5+CE9*CE5)/(Q9+CE9)</f>
        <v>92.740094703881937</v>
      </c>
      <c r="X5" s="546"/>
      <c r="Y5" s="546"/>
      <c r="Z5" s="546"/>
      <c r="AA5" s="546"/>
      <c r="AB5" s="546"/>
      <c r="AC5" s="462">
        <v>245</v>
      </c>
      <c r="AD5" s="462"/>
      <c r="AE5" s="462"/>
      <c r="AF5" s="462"/>
      <c r="AG5" s="462"/>
      <c r="AH5" s="462"/>
      <c r="AI5" s="462">
        <v>111</v>
      </c>
      <c r="AJ5" s="462"/>
      <c r="AK5" s="462"/>
      <c r="AL5" s="462"/>
      <c r="AM5" s="462"/>
      <c r="AN5" s="462"/>
      <c r="AO5" s="462">
        <v>102</v>
      </c>
      <c r="AP5" s="462"/>
      <c r="AQ5" s="462"/>
      <c r="AR5" s="462"/>
      <c r="AS5" s="462"/>
      <c r="AT5" s="462"/>
      <c r="AU5" s="462">
        <v>40</v>
      </c>
      <c r="AV5" s="462"/>
      <c r="AW5" s="462"/>
      <c r="AX5" s="462"/>
      <c r="AY5" s="462"/>
      <c r="AZ5" s="462"/>
      <c r="BA5" s="462">
        <v>50</v>
      </c>
      <c r="BB5" s="462"/>
      <c r="BC5" s="462"/>
      <c r="BD5" s="462"/>
      <c r="BE5" s="462"/>
      <c r="BF5" s="462"/>
      <c r="BG5" s="462">
        <v>50</v>
      </c>
      <c r="BH5" s="462"/>
      <c r="BI5" s="462"/>
      <c r="BJ5" s="462"/>
      <c r="BK5" s="462"/>
      <c r="BL5" s="462"/>
      <c r="BM5" s="462">
        <v>50</v>
      </c>
      <c r="BN5" s="462"/>
      <c r="BO5" s="462"/>
      <c r="BP5" s="462"/>
      <c r="BQ5" s="462"/>
      <c r="BR5" s="462"/>
      <c r="BS5" s="462">
        <v>62.4</v>
      </c>
      <c r="BT5" s="462"/>
      <c r="BU5" s="462"/>
      <c r="BV5" s="462"/>
      <c r="BW5" s="462"/>
      <c r="BX5" s="462"/>
      <c r="BY5" s="462">
        <v>250</v>
      </c>
      <c r="BZ5" s="462"/>
      <c r="CA5" s="462"/>
      <c r="CB5" s="462"/>
      <c r="CC5" s="462"/>
      <c r="CD5" s="462"/>
      <c r="CE5" s="462">
        <v>120</v>
      </c>
      <c r="CF5" s="462"/>
      <c r="CG5" s="462"/>
      <c r="CH5" s="462"/>
      <c r="CI5" s="462"/>
      <c r="CJ5" s="462"/>
      <c r="CK5" s="462">
        <f>'Input Sheet'!L5</f>
        <v>51.7</v>
      </c>
      <c r="CL5" s="462"/>
      <c r="CM5" s="462"/>
      <c r="CN5" s="462"/>
      <c r="CO5" s="462"/>
      <c r="CP5" s="462"/>
      <c r="CQ5" s="462">
        <v>208</v>
      </c>
      <c r="CR5" s="462"/>
      <c r="CS5" s="462"/>
      <c r="CT5" s="462"/>
      <c r="CU5" s="462"/>
      <c r="CV5" s="462"/>
      <c r="CW5" s="462">
        <v>111</v>
      </c>
      <c r="CX5" s="462"/>
      <c r="CY5" s="462"/>
      <c r="CZ5" s="462"/>
      <c r="DA5" s="462"/>
      <c r="DB5" s="462"/>
      <c r="DC5" s="462">
        <v>95</v>
      </c>
      <c r="DD5" s="462"/>
      <c r="DE5" s="462"/>
      <c r="DF5" s="462"/>
      <c r="DG5" s="462"/>
      <c r="DH5" s="462"/>
      <c r="DI5" s="462">
        <f>DC5</f>
        <v>95</v>
      </c>
      <c r="DJ5" s="462"/>
      <c r="DK5" s="462"/>
      <c r="DL5" s="462"/>
      <c r="DM5" s="462"/>
      <c r="DN5" s="462"/>
      <c r="DO5" s="462">
        <v>40</v>
      </c>
      <c r="DP5" s="462"/>
      <c r="DQ5" s="462"/>
      <c r="DR5" s="462"/>
      <c r="DS5" s="462"/>
      <c r="DT5" s="462"/>
    </row>
    <row r="6" spans="1:124" ht="14.5" hidden="1" customHeight="1" x14ac:dyDescent="0.35">
      <c r="B6" s="14"/>
      <c r="C6" s="178"/>
      <c r="D6" s="14" t="s">
        <v>127</v>
      </c>
      <c r="E6" s="479">
        <f>(E5-32)*5/9</f>
        <v>21.111111111111111</v>
      </c>
      <c r="F6" s="480"/>
      <c r="G6" s="480"/>
      <c r="H6" s="480"/>
      <c r="I6" s="480"/>
      <c r="J6" s="481"/>
      <c r="K6" s="458">
        <f>(K5-32)*5/9</f>
        <v>21.111111111111111</v>
      </c>
      <c r="L6" s="458"/>
      <c r="M6" s="458"/>
      <c r="N6" s="458"/>
      <c r="O6" s="458"/>
      <c r="P6" s="458"/>
      <c r="Q6" s="458">
        <f>(Q5-32)*5/9</f>
        <v>21.111111111111111</v>
      </c>
      <c r="R6" s="458"/>
      <c r="S6" s="458"/>
      <c r="T6" s="458"/>
      <c r="U6" s="458"/>
      <c r="V6" s="458"/>
      <c r="W6" s="547">
        <f>(W5-32)*5/9</f>
        <v>33.744497057712188</v>
      </c>
      <c r="X6" s="547"/>
      <c r="Y6" s="547"/>
      <c r="Z6" s="547"/>
      <c r="AA6" s="547"/>
      <c r="AB6" s="547"/>
      <c r="AC6" s="458">
        <f>(AC5-32)*5/9</f>
        <v>118.33333333333333</v>
      </c>
      <c r="AD6" s="458"/>
      <c r="AE6" s="458"/>
      <c r="AF6" s="458"/>
      <c r="AG6" s="458"/>
      <c r="AH6" s="458"/>
      <c r="AI6" s="458">
        <f>(AI5-32)*5/9</f>
        <v>43.888888888888886</v>
      </c>
      <c r="AJ6" s="458"/>
      <c r="AK6" s="458"/>
      <c r="AL6" s="458"/>
      <c r="AM6" s="458"/>
      <c r="AN6" s="458"/>
      <c r="AO6" s="458">
        <f>(AO5-32)*5/9</f>
        <v>38.888888888888886</v>
      </c>
      <c r="AP6" s="458"/>
      <c r="AQ6" s="458"/>
      <c r="AR6" s="458"/>
      <c r="AS6" s="458"/>
      <c r="AT6" s="458"/>
      <c r="AU6" s="458">
        <f>(AU5-32)*5/9</f>
        <v>4.4444444444444446</v>
      </c>
      <c r="AV6" s="458"/>
      <c r="AW6" s="458"/>
      <c r="AX6" s="458"/>
      <c r="AY6" s="458"/>
      <c r="AZ6" s="458"/>
      <c r="BA6" s="458">
        <f>(BA5-32)*5/9</f>
        <v>10</v>
      </c>
      <c r="BB6" s="458"/>
      <c r="BC6" s="458"/>
      <c r="BD6" s="458"/>
      <c r="BE6" s="458"/>
      <c r="BF6" s="458"/>
      <c r="BG6" s="458">
        <f>(BG5-32)*5/9</f>
        <v>10</v>
      </c>
      <c r="BH6" s="458"/>
      <c r="BI6" s="458"/>
      <c r="BJ6" s="458"/>
      <c r="BK6" s="458"/>
      <c r="BL6" s="458"/>
      <c r="BM6" s="458">
        <f>(BM5-32)*5/9</f>
        <v>10</v>
      </c>
      <c r="BN6" s="458"/>
      <c r="BO6" s="458"/>
      <c r="BP6" s="458"/>
      <c r="BQ6" s="458"/>
      <c r="BR6" s="458"/>
      <c r="BS6" s="458">
        <f>(BS5-32)*5/9</f>
        <v>16.888888888888889</v>
      </c>
      <c r="BT6" s="458"/>
      <c r="BU6" s="458"/>
      <c r="BV6" s="458"/>
      <c r="BW6" s="458"/>
      <c r="BX6" s="458"/>
      <c r="BY6" s="458">
        <f>(BY5-32)*5/9</f>
        <v>121.11111111111111</v>
      </c>
      <c r="BZ6" s="458"/>
      <c r="CA6" s="458"/>
      <c r="CB6" s="458"/>
      <c r="CC6" s="458"/>
      <c r="CD6" s="458"/>
      <c r="CE6" s="458">
        <f>(CE5-32)*5/9</f>
        <v>48.888888888888886</v>
      </c>
      <c r="CF6" s="458"/>
      <c r="CG6" s="458"/>
      <c r="CH6" s="458"/>
      <c r="CI6" s="458"/>
      <c r="CJ6" s="458"/>
      <c r="CK6" s="458">
        <f>(CK5-32)*5/9</f>
        <v>10.944444444444446</v>
      </c>
      <c r="CL6" s="458"/>
      <c r="CM6" s="458"/>
      <c r="CN6" s="458"/>
      <c r="CO6" s="458"/>
      <c r="CP6" s="458"/>
      <c r="CQ6" s="458">
        <f>(CQ5-32)*5/9</f>
        <v>97.777777777777771</v>
      </c>
      <c r="CR6" s="458"/>
      <c r="CS6" s="458"/>
      <c r="CT6" s="458"/>
      <c r="CU6" s="458"/>
      <c r="CV6" s="458"/>
      <c r="CW6" s="458">
        <f>(CW5-32)*5/9</f>
        <v>43.888888888888886</v>
      </c>
      <c r="CX6" s="458"/>
      <c r="CY6" s="458"/>
      <c r="CZ6" s="458"/>
      <c r="DA6" s="458"/>
      <c r="DB6" s="458"/>
      <c r="DC6" s="458">
        <f>(DC5-32)*5/9</f>
        <v>35</v>
      </c>
      <c r="DD6" s="458"/>
      <c r="DE6" s="458"/>
      <c r="DF6" s="458"/>
      <c r="DG6" s="458"/>
      <c r="DH6" s="458"/>
      <c r="DI6" s="458">
        <f>(DI5-32)*5/9</f>
        <v>35</v>
      </c>
      <c r="DJ6" s="458"/>
      <c r="DK6" s="458"/>
      <c r="DL6" s="458"/>
      <c r="DM6" s="458"/>
      <c r="DN6" s="458"/>
      <c r="DO6" s="458">
        <f>(DO5-32)*5/9</f>
        <v>4.4444444444444446</v>
      </c>
      <c r="DP6" s="458"/>
      <c r="DQ6" s="458"/>
      <c r="DR6" s="458"/>
      <c r="DS6" s="458"/>
      <c r="DT6" s="458"/>
    </row>
    <row r="7" spans="1:124" x14ac:dyDescent="0.35">
      <c r="B7" s="14"/>
      <c r="C7" s="178" t="s">
        <v>26</v>
      </c>
      <c r="D7" s="14" t="s">
        <v>27</v>
      </c>
      <c r="E7" s="537">
        <f>SUM(G18:G24)</f>
        <v>2300.2759999999994</v>
      </c>
      <c r="F7" s="538"/>
      <c r="G7" s="538"/>
      <c r="H7" s="538"/>
      <c r="I7" s="538"/>
      <c r="J7" s="539"/>
      <c r="K7" s="463">
        <f>SUM(M18:M24)</f>
        <v>2300.1702011039997</v>
      </c>
      <c r="L7" s="463"/>
      <c r="M7" s="463"/>
      <c r="N7" s="463"/>
      <c r="O7" s="463"/>
      <c r="P7" s="463"/>
      <c r="Q7" s="463">
        <f>SUM(S18:S24)</f>
        <v>2300.1702011039997</v>
      </c>
      <c r="R7" s="463"/>
      <c r="S7" s="463"/>
      <c r="T7" s="463"/>
      <c r="U7" s="463"/>
      <c r="V7" s="463"/>
      <c r="W7" s="463">
        <f>SUM(Y18:Y24)</f>
        <v>4075.5358663686952</v>
      </c>
      <c r="X7" s="463"/>
      <c r="Y7" s="463"/>
      <c r="Z7" s="463"/>
      <c r="AA7" s="463"/>
      <c r="AB7" s="463"/>
      <c r="AC7" s="463">
        <f>SUM(AE18:AE24)</f>
        <v>4075.5358663686952</v>
      </c>
      <c r="AD7" s="463"/>
      <c r="AE7" s="463"/>
      <c r="AF7" s="463"/>
      <c r="AG7" s="463"/>
      <c r="AH7" s="463"/>
      <c r="AI7" s="463">
        <f>SUM(AK18:AK24)</f>
        <v>4075.5358663686952</v>
      </c>
      <c r="AJ7" s="463"/>
      <c r="AK7" s="463"/>
      <c r="AL7" s="463"/>
      <c r="AM7" s="463"/>
      <c r="AN7" s="463"/>
      <c r="AO7" s="463">
        <f>SUM(AQ18:AQ24)</f>
        <v>4075.5358663686952</v>
      </c>
      <c r="AP7" s="463"/>
      <c r="AQ7" s="463"/>
      <c r="AR7" s="463"/>
      <c r="AS7" s="463"/>
      <c r="AT7" s="463"/>
      <c r="AU7" s="463">
        <f>SUM(AW18:AW24)</f>
        <v>4073.7142284566703</v>
      </c>
      <c r="AV7" s="463"/>
      <c r="AW7" s="463"/>
      <c r="AX7" s="463"/>
      <c r="AY7" s="463"/>
      <c r="AZ7" s="463"/>
      <c r="BA7" s="463">
        <f>SUM(BC18:BC24)</f>
        <v>4073.7142284566703</v>
      </c>
      <c r="BB7" s="463"/>
      <c r="BC7" s="463"/>
      <c r="BD7" s="463"/>
      <c r="BE7" s="463"/>
      <c r="BF7" s="463"/>
      <c r="BG7" s="463">
        <f>SUM(BI18:BI24)</f>
        <v>4073.7142284566703</v>
      </c>
      <c r="BH7" s="463"/>
      <c r="BI7" s="463"/>
      <c r="BJ7" s="463"/>
      <c r="BK7" s="463"/>
      <c r="BL7" s="463"/>
      <c r="BM7" s="463">
        <f>SUM(BO18:BO24)</f>
        <v>904.4835065349763</v>
      </c>
      <c r="BN7" s="463"/>
      <c r="BO7" s="463"/>
      <c r="BP7" s="463"/>
      <c r="BQ7" s="463"/>
      <c r="BR7" s="463"/>
      <c r="BS7" s="463">
        <f>SUM(BU18:BU24)</f>
        <v>1775.3656652646953</v>
      </c>
      <c r="BT7" s="463"/>
      <c r="BU7" s="463"/>
      <c r="BV7" s="463"/>
      <c r="BW7" s="463"/>
      <c r="BX7" s="463"/>
      <c r="BY7" s="463">
        <f>SUM(CA18:CA24)</f>
        <v>1775.3656652646953</v>
      </c>
      <c r="BZ7" s="463"/>
      <c r="CA7" s="463"/>
      <c r="CB7" s="463"/>
      <c r="CC7" s="463"/>
      <c r="CD7" s="463"/>
      <c r="CE7" s="463">
        <f>SUM(CG18:CG24)</f>
        <v>1775.3656652646953</v>
      </c>
      <c r="CF7" s="463"/>
      <c r="CG7" s="463"/>
      <c r="CH7" s="463"/>
      <c r="CI7" s="463"/>
      <c r="CJ7" s="463"/>
      <c r="CK7" s="463">
        <f>SUM(CM18:CM24)</f>
        <v>1393.8650566569991</v>
      </c>
      <c r="CL7" s="463"/>
      <c r="CM7" s="463"/>
      <c r="CN7" s="463"/>
      <c r="CO7" s="463"/>
      <c r="CP7" s="463"/>
      <c r="CQ7" s="463">
        <f>SUM(CS18:CS24)</f>
        <v>1393.8650566569991</v>
      </c>
      <c r="CR7" s="463"/>
      <c r="CS7" s="463"/>
      <c r="CT7" s="463"/>
      <c r="CU7" s="463"/>
      <c r="CV7" s="463"/>
      <c r="CW7" s="463">
        <f>SUM(CY18:CY24)</f>
        <v>1393.8650566569991</v>
      </c>
      <c r="CX7" s="463"/>
      <c r="CY7" s="463"/>
      <c r="CZ7" s="463"/>
      <c r="DA7" s="463"/>
      <c r="DB7" s="463"/>
      <c r="DC7" s="463">
        <f>SUM(DE18:DE24)</f>
        <v>1393.8650566569991</v>
      </c>
      <c r="DD7" s="463"/>
      <c r="DE7" s="463"/>
      <c r="DF7" s="463"/>
      <c r="DG7" s="463"/>
      <c r="DH7" s="463"/>
      <c r="DI7" s="463">
        <f>SUM(DK18:DK24)</f>
        <v>1393.8650566569991</v>
      </c>
      <c r="DJ7" s="463"/>
      <c r="DK7" s="463"/>
      <c r="DL7" s="463"/>
      <c r="DM7" s="463"/>
      <c r="DN7" s="463"/>
      <c r="DO7" s="463">
        <f>SUM(DQ18:DQ24)</f>
        <v>1.8216379120248329</v>
      </c>
      <c r="DP7" s="463"/>
      <c r="DQ7" s="463"/>
      <c r="DR7" s="463"/>
      <c r="DS7" s="463"/>
      <c r="DT7" s="463"/>
    </row>
    <row r="8" spans="1:124" x14ac:dyDescent="0.35">
      <c r="B8" s="14"/>
      <c r="C8" s="178" t="s">
        <v>28</v>
      </c>
      <c r="D8" s="14" t="s">
        <v>29</v>
      </c>
      <c r="E8" s="534">
        <f>SUM(H$18:H$24)</f>
        <v>432.42569047389247</v>
      </c>
      <c r="F8" s="535"/>
      <c r="G8" s="535"/>
      <c r="H8" s="535"/>
      <c r="I8" s="535"/>
      <c r="J8" s="536"/>
      <c r="K8" s="454">
        <f>SUM(N$18:N$24)</f>
        <v>443.5359379467692</v>
      </c>
      <c r="L8" s="454"/>
      <c r="M8" s="454"/>
      <c r="N8" s="454"/>
      <c r="O8" s="454"/>
      <c r="P8" s="454"/>
      <c r="Q8" s="454">
        <f>SUM(T$18:T$24)</f>
        <v>446.40858003191664</v>
      </c>
      <c r="R8" s="454"/>
      <c r="S8" s="454"/>
      <c r="T8" s="454"/>
      <c r="U8" s="454"/>
      <c r="V8" s="454"/>
      <c r="W8" s="454">
        <f>SUM(Z$18:Z$24)</f>
        <v>824.90204232168674</v>
      </c>
      <c r="X8" s="454"/>
      <c r="Y8" s="454"/>
      <c r="Z8" s="454"/>
      <c r="AA8" s="454"/>
      <c r="AB8" s="454"/>
      <c r="AC8" s="454">
        <f>SUM(AF$18:AF$24)</f>
        <v>378.3169355371715</v>
      </c>
      <c r="AD8" s="454"/>
      <c r="AE8" s="454"/>
      <c r="AF8" s="454"/>
      <c r="AG8" s="454"/>
      <c r="AH8" s="454"/>
      <c r="AI8" s="454">
        <f>SUM(AL$18:AL$24)</f>
        <v>307.84371874247614</v>
      </c>
      <c r="AJ8" s="454"/>
      <c r="AK8" s="454"/>
      <c r="AL8" s="454"/>
      <c r="AM8" s="454"/>
      <c r="AN8" s="454"/>
      <c r="AO8" s="454">
        <f>SUM(AR$18:AR$24)</f>
        <v>304.41604287745776</v>
      </c>
      <c r="AP8" s="454"/>
      <c r="AQ8" s="454"/>
      <c r="AR8" s="454"/>
      <c r="AS8" s="454"/>
      <c r="AT8" s="454"/>
      <c r="AU8" s="454">
        <f>SUM(AX$18:AX$24)</f>
        <v>271.99047617416272</v>
      </c>
      <c r="AV8" s="454"/>
      <c r="AW8" s="454"/>
      <c r="AX8" s="454"/>
      <c r="AY8" s="454"/>
      <c r="AZ8" s="454"/>
      <c r="BA8" s="454">
        <f>SUM(BD$18:BD$24)</f>
        <v>278.74699327096181</v>
      </c>
      <c r="BB8" s="454"/>
      <c r="BC8" s="454"/>
      <c r="BD8" s="454"/>
      <c r="BE8" s="454"/>
      <c r="BF8" s="454"/>
      <c r="BG8" s="454">
        <f>SUM(BJ$18:BJ$24)</f>
        <v>280.07625885642176</v>
      </c>
      <c r="BH8" s="454"/>
      <c r="BI8" s="454"/>
      <c r="BJ8" s="454"/>
      <c r="BK8" s="454"/>
      <c r="BL8" s="454"/>
      <c r="BM8" s="454">
        <f>SUM(BP$18:BP$24)</f>
        <v>830.58707110395835</v>
      </c>
      <c r="BN8" s="454"/>
      <c r="BO8" s="454"/>
      <c r="BP8" s="454"/>
      <c r="BQ8" s="454"/>
      <c r="BR8" s="454"/>
      <c r="BS8" s="454">
        <f>SUM(BV$18:BV$24)</f>
        <v>1569.959701284416</v>
      </c>
      <c r="BT8" s="454"/>
      <c r="BU8" s="454"/>
      <c r="BV8" s="454"/>
      <c r="BW8" s="454"/>
      <c r="BX8" s="454"/>
      <c r="BY8" s="454">
        <f>SUM(CB$18:CB$24)</f>
        <v>447.09708156470475</v>
      </c>
      <c r="BZ8" s="454"/>
      <c r="CA8" s="454"/>
      <c r="CB8" s="454"/>
      <c r="CC8" s="454"/>
      <c r="CD8" s="454"/>
      <c r="CE8" s="454">
        <f>SUM(CH$18:CH$24)</f>
        <v>374.63537427103233</v>
      </c>
      <c r="CF8" s="454"/>
      <c r="CG8" s="454"/>
      <c r="CH8" s="454"/>
      <c r="CI8" s="454"/>
      <c r="CJ8" s="454"/>
      <c r="CK8" s="454">
        <f>SUM(CN$18:CN$24)</f>
        <v>122.42117390037104</v>
      </c>
      <c r="CL8" s="454"/>
      <c r="CM8" s="454"/>
      <c r="CN8" s="454"/>
      <c r="CO8" s="454"/>
      <c r="CP8" s="454"/>
      <c r="CQ8" s="454">
        <f>SUM(CT$18:CT$24)</f>
        <v>92.453576709282814</v>
      </c>
      <c r="CR8" s="454"/>
      <c r="CS8" s="454"/>
      <c r="CT8" s="454"/>
      <c r="CU8" s="454"/>
      <c r="CV8" s="454"/>
      <c r="CW8" s="454">
        <f>SUM(CZ$18:CZ$24)</f>
        <v>79.587529088064628</v>
      </c>
      <c r="CX8" s="454"/>
      <c r="CY8" s="454"/>
      <c r="CZ8" s="454"/>
      <c r="DA8" s="454"/>
      <c r="DB8" s="454"/>
      <c r="DC8" s="454">
        <f>SUM(DF$18:DF$24)</f>
        <v>77.908580641364495</v>
      </c>
      <c r="DD8" s="454"/>
      <c r="DE8" s="454"/>
      <c r="DF8" s="454"/>
      <c r="DG8" s="454"/>
      <c r="DH8" s="454"/>
      <c r="DI8" s="454">
        <f>SUM(DL$18:DL$24)</f>
        <v>78.187124011551688</v>
      </c>
      <c r="DJ8" s="454"/>
      <c r="DK8" s="454"/>
      <c r="DL8" s="454"/>
      <c r="DM8" s="454"/>
      <c r="DN8" s="454"/>
      <c r="DO8" s="454">
        <f>SUM(DR$18:DR$24)</f>
        <v>0.19115182818489121</v>
      </c>
      <c r="DP8" s="454"/>
      <c r="DQ8" s="454"/>
      <c r="DR8" s="454"/>
      <c r="DS8" s="454"/>
      <c r="DT8" s="454"/>
    </row>
    <row r="9" spans="1:124" x14ac:dyDescent="0.35">
      <c r="B9" s="14"/>
      <c r="C9" s="178" t="s">
        <v>2</v>
      </c>
      <c r="D9" s="14" t="s">
        <v>3</v>
      </c>
      <c r="E9" s="534">
        <f>SUM(I$18:I$24)</f>
        <v>9802.0804711586607</v>
      </c>
      <c r="F9" s="535"/>
      <c r="G9" s="535"/>
      <c r="H9" s="535"/>
      <c r="I9" s="535"/>
      <c r="J9" s="536"/>
      <c r="K9" s="454">
        <f>SUM(O$18:O$24)</f>
        <v>9801.510396630898</v>
      </c>
      <c r="L9" s="454"/>
      <c r="M9" s="454"/>
      <c r="N9" s="454"/>
      <c r="O9" s="454"/>
      <c r="P9" s="454"/>
      <c r="Q9" s="454">
        <f>SUM(U$18:U$24)</f>
        <v>9801.510396630898</v>
      </c>
      <c r="R9" s="454"/>
      <c r="S9" s="454"/>
      <c r="T9" s="454"/>
      <c r="U9" s="454"/>
      <c r="V9" s="454"/>
      <c r="W9" s="454">
        <f>SUM(AA$18:AA$24)</f>
        <v>17977.887835924874</v>
      </c>
      <c r="X9" s="454"/>
      <c r="Y9" s="454"/>
      <c r="Z9" s="454"/>
      <c r="AA9" s="454"/>
      <c r="AB9" s="454"/>
      <c r="AC9" s="454">
        <f>SUM(AG$18:AG$24)</f>
        <v>17977.887835924874</v>
      </c>
      <c r="AD9" s="454"/>
      <c r="AE9" s="454"/>
      <c r="AF9" s="454"/>
      <c r="AG9" s="454"/>
      <c r="AH9" s="454"/>
      <c r="AI9" s="454">
        <f>SUM(AM$18:AM$24)</f>
        <v>17977.887835924874</v>
      </c>
      <c r="AJ9" s="454"/>
      <c r="AK9" s="454"/>
      <c r="AL9" s="454"/>
      <c r="AM9" s="454"/>
      <c r="AN9" s="454"/>
      <c r="AO9" s="454">
        <f>SUM(AS$18:AS$24)</f>
        <v>17977.887835924874</v>
      </c>
      <c r="AP9" s="454"/>
      <c r="AQ9" s="454"/>
      <c r="AR9" s="454"/>
      <c r="AS9" s="454"/>
      <c r="AT9" s="454"/>
      <c r="AU9" s="454">
        <f>SUM(AY$18:AY$24)</f>
        <v>17972.697831154044</v>
      </c>
      <c r="AV9" s="454"/>
      <c r="AW9" s="454"/>
      <c r="AX9" s="454"/>
      <c r="AY9" s="454"/>
      <c r="AZ9" s="454"/>
      <c r="BA9" s="454">
        <f>SUM(BE$18:BE$24)</f>
        <v>17972.697831154044</v>
      </c>
      <c r="BB9" s="454"/>
      <c r="BC9" s="454"/>
      <c r="BD9" s="454"/>
      <c r="BE9" s="454"/>
      <c r="BF9" s="454"/>
      <c r="BG9" s="454">
        <f>SUM(BK$18:BK$24)</f>
        <v>17972.697831154044</v>
      </c>
      <c r="BH9" s="454"/>
      <c r="BI9" s="454"/>
      <c r="BJ9" s="454"/>
      <c r="BK9" s="454"/>
      <c r="BL9" s="454"/>
      <c r="BM9" s="454">
        <f>SUM(BQ$18:BQ$24)</f>
        <v>6209.2439006526001</v>
      </c>
      <c r="BN9" s="454"/>
      <c r="BO9" s="454"/>
      <c r="BP9" s="454"/>
      <c r="BQ9" s="454"/>
      <c r="BR9" s="454"/>
      <c r="BS9" s="454">
        <f>SUM(BW$18:BW$24)</f>
        <v>8176.3774392939749</v>
      </c>
      <c r="BT9" s="454"/>
      <c r="BU9" s="454"/>
      <c r="BV9" s="454"/>
      <c r="BW9" s="454"/>
      <c r="BX9" s="454"/>
      <c r="BY9" s="454">
        <f>SUM(CC$18:CC$24)</f>
        <v>8176.3774392939749</v>
      </c>
      <c r="BZ9" s="454"/>
      <c r="CA9" s="454"/>
      <c r="CB9" s="454"/>
      <c r="CC9" s="454"/>
      <c r="CD9" s="454"/>
      <c r="CE9" s="454">
        <f>SUM(CI$18:CI$24)</f>
        <v>8176.3774392939749</v>
      </c>
      <c r="CF9" s="454"/>
      <c r="CG9" s="454"/>
      <c r="CH9" s="454"/>
      <c r="CI9" s="454"/>
      <c r="CJ9" s="454"/>
      <c r="CK9" s="454">
        <f>SUM(CO$18:CO$24)</f>
        <v>3587.0764912074692</v>
      </c>
      <c r="CL9" s="454"/>
      <c r="CM9" s="454"/>
      <c r="CN9" s="454"/>
      <c r="CO9" s="454"/>
      <c r="CP9" s="454"/>
      <c r="CQ9" s="454">
        <f>SUM(CU$18:CU$24)</f>
        <v>3587.0764912074692</v>
      </c>
      <c r="CR9" s="454"/>
      <c r="CS9" s="454"/>
      <c r="CT9" s="454"/>
      <c r="CU9" s="454"/>
      <c r="CV9" s="454"/>
      <c r="CW9" s="454">
        <f>SUM(DA$18:DA$24)</f>
        <v>3587.0764912074692</v>
      </c>
      <c r="CX9" s="454"/>
      <c r="CY9" s="454"/>
      <c r="CZ9" s="454"/>
      <c r="DA9" s="454"/>
      <c r="DB9" s="454"/>
      <c r="DC9" s="454">
        <f>SUM(DG$18:DG$24)</f>
        <v>3587.0764912074692</v>
      </c>
      <c r="DD9" s="454"/>
      <c r="DE9" s="454"/>
      <c r="DF9" s="454"/>
      <c r="DG9" s="454"/>
      <c r="DH9" s="454"/>
      <c r="DI9" s="454">
        <f>SUM(DM$18:DM$24)</f>
        <v>3587.0764912074692</v>
      </c>
      <c r="DJ9" s="454"/>
      <c r="DK9" s="454"/>
      <c r="DL9" s="454"/>
      <c r="DM9" s="454"/>
      <c r="DN9" s="454"/>
      <c r="DO9" s="454">
        <f>SUM(DS$18:DS$24)</f>
        <v>5.1900047708272927</v>
      </c>
      <c r="DP9" s="454"/>
      <c r="DQ9" s="454"/>
      <c r="DR9" s="454"/>
      <c r="DS9" s="454"/>
      <c r="DT9" s="454"/>
    </row>
    <row r="10" spans="1:124" ht="24.75" customHeight="1" x14ac:dyDescent="0.35">
      <c r="B10" s="14"/>
      <c r="C10" s="178" t="s">
        <v>30</v>
      </c>
      <c r="D10" s="14" t="s">
        <v>31</v>
      </c>
      <c r="E10" s="534">
        <f>SUM(J$18:J$24)</f>
        <v>363.6895833882316</v>
      </c>
      <c r="F10" s="535"/>
      <c r="G10" s="535"/>
      <c r="H10" s="535"/>
      <c r="I10" s="535"/>
      <c r="J10" s="536"/>
      <c r="K10" s="454">
        <f>SUM(P$18:P$24)</f>
        <v>363.67285584927146</v>
      </c>
      <c r="L10" s="454"/>
      <c r="M10" s="454"/>
      <c r="N10" s="454"/>
      <c r="O10" s="454"/>
      <c r="P10" s="454"/>
      <c r="Q10" s="454">
        <f>SUM(V$18:V$24)</f>
        <v>363.67285584927146</v>
      </c>
      <c r="R10" s="454"/>
      <c r="S10" s="454"/>
      <c r="T10" s="454"/>
      <c r="U10" s="454"/>
      <c r="V10" s="454"/>
      <c r="W10" s="454">
        <f>SUM(AB$18:AB$24)</f>
        <v>644.37047611826847</v>
      </c>
      <c r="X10" s="454"/>
      <c r="Y10" s="454"/>
      <c r="Z10" s="454"/>
      <c r="AA10" s="454"/>
      <c r="AB10" s="454"/>
      <c r="AC10" s="454">
        <f>SUM(AH$18:AH$24)</f>
        <v>644.37047611826847</v>
      </c>
      <c r="AD10" s="454"/>
      <c r="AE10" s="454"/>
      <c r="AF10" s="454"/>
      <c r="AG10" s="454"/>
      <c r="AH10" s="454"/>
      <c r="AI10" s="454">
        <f>SUM(AN$18:AN$24)</f>
        <v>644.37047611826847</v>
      </c>
      <c r="AJ10" s="454"/>
      <c r="AK10" s="454"/>
      <c r="AL10" s="454"/>
      <c r="AM10" s="454"/>
      <c r="AN10" s="454"/>
      <c r="AO10" s="454">
        <f>SUM(AT$18:AT$24)</f>
        <v>644.37047611826847</v>
      </c>
      <c r="AP10" s="454"/>
      <c r="AQ10" s="454"/>
      <c r="AR10" s="454"/>
      <c r="AS10" s="454"/>
      <c r="AT10" s="454"/>
      <c r="AU10" s="454">
        <f>SUM(AZ$18:AZ$24)</f>
        <v>644.08246253498169</v>
      </c>
      <c r="AV10" s="454"/>
      <c r="AW10" s="454"/>
      <c r="AX10" s="454"/>
      <c r="AY10" s="454"/>
      <c r="AZ10" s="454"/>
      <c r="BA10" s="454">
        <f>SUM(BF$18:BF$24)</f>
        <v>644.08246253498169</v>
      </c>
      <c r="BB10" s="454"/>
      <c r="BC10" s="454"/>
      <c r="BD10" s="454"/>
      <c r="BE10" s="454"/>
      <c r="BF10" s="454"/>
      <c r="BG10" s="454">
        <f>SUM(BL$18:BL$24)</f>
        <v>644.08246253498169</v>
      </c>
      <c r="BH10" s="454"/>
      <c r="BI10" s="454"/>
      <c r="BJ10" s="454"/>
      <c r="BK10" s="454"/>
      <c r="BL10" s="454"/>
      <c r="BM10" s="454">
        <f>SUM(BR$18:BR$24)</f>
        <v>143.00511315739169</v>
      </c>
      <c r="BN10" s="454"/>
      <c r="BO10" s="454"/>
      <c r="BP10" s="454"/>
      <c r="BQ10" s="454"/>
      <c r="BR10" s="454"/>
      <c r="BS10" s="454">
        <f>SUM(BX$18:BX$24)</f>
        <v>280.69762026899713</v>
      </c>
      <c r="BT10" s="454"/>
      <c r="BU10" s="454"/>
      <c r="BV10" s="454"/>
      <c r="BW10" s="454"/>
      <c r="BX10" s="454"/>
      <c r="BY10" s="454">
        <f>SUM(CD$18:CD$24)</f>
        <v>280.69762026899713</v>
      </c>
      <c r="BZ10" s="454"/>
      <c r="CA10" s="454"/>
      <c r="CB10" s="454"/>
      <c r="CC10" s="454"/>
      <c r="CD10" s="454"/>
      <c r="CE10" s="454">
        <f>SUM(CJ$18:CJ$24)</f>
        <v>280.69762026899713</v>
      </c>
      <c r="CF10" s="454"/>
      <c r="CG10" s="454"/>
      <c r="CH10" s="454"/>
      <c r="CI10" s="454"/>
      <c r="CJ10" s="454"/>
      <c r="CK10" s="454">
        <f>SUM(CP$18:CP$24)</f>
        <v>220.37972910859295</v>
      </c>
      <c r="CL10" s="454"/>
      <c r="CM10" s="454"/>
      <c r="CN10" s="454"/>
      <c r="CO10" s="454"/>
      <c r="CP10" s="454"/>
      <c r="CQ10" s="454">
        <f>SUM(CV$18:CV$24)</f>
        <v>220.37972910859295</v>
      </c>
      <c r="CR10" s="454"/>
      <c r="CS10" s="454"/>
      <c r="CT10" s="454"/>
      <c r="CU10" s="454"/>
      <c r="CV10" s="454"/>
      <c r="CW10" s="454">
        <f>SUM(DB$18:DB$24)</f>
        <v>220.37972910859295</v>
      </c>
      <c r="CX10" s="454"/>
      <c r="CY10" s="454"/>
      <c r="CZ10" s="454"/>
      <c r="DA10" s="454"/>
      <c r="DB10" s="454"/>
      <c r="DC10" s="454">
        <f>SUM(DH$18:DH$24)</f>
        <v>220.37972910859295</v>
      </c>
      <c r="DD10" s="454"/>
      <c r="DE10" s="454"/>
      <c r="DF10" s="454"/>
      <c r="DG10" s="454"/>
      <c r="DH10" s="454"/>
      <c r="DI10" s="454">
        <f>SUM(DN$18:DN$24)</f>
        <v>220.37972910859295</v>
      </c>
      <c r="DJ10" s="454"/>
      <c r="DK10" s="454"/>
      <c r="DL10" s="454"/>
      <c r="DM10" s="454"/>
      <c r="DN10" s="454"/>
      <c r="DO10" s="454">
        <f>SUM(DT$18:DT$24)</f>
        <v>0.28801358328675319</v>
      </c>
      <c r="DP10" s="454"/>
      <c r="DQ10" s="454"/>
      <c r="DR10" s="454"/>
      <c r="DS10" s="454"/>
      <c r="DT10" s="454"/>
    </row>
    <row r="11" spans="1:124" x14ac:dyDescent="0.35">
      <c r="B11" s="14"/>
      <c r="C11" s="178" t="s">
        <v>18</v>
      </c>
      <c r="D11" s="14"/>
      <c r="E11" s="534">
        <f>E9/E10</f>
        <v>26.951776786785587</v>
      </c>
      <c r="F11" s="535"/>
      <c r="G11" s="535"/>
      <c r="H11" s="535"/>
      <c r="I11" s="535"/>
      <c r="J11" s="536"/>
      <c r="K11" s="454">
        <f>K9/K10</f>
        <v>26.951448916201901</v>
      </c>
      <c r="L11" s="454"/>
      <c r="M11" s="454"/>
      <c r="N11" s="454"/>
      <c r="O11" s="454"/>
      <c r="P11" s="454"/>
      <c r="Q11" s="454">
        <f>Q9/Q10</f>
        <v>26.951448916201901</v>
      </c>
      <c r="R11" s="454"/>
      <c r="S11" s="454"/>
      <c r="T11" s="454"/>
      <c r="U11" s="454"/>
      <c r="V11" s="454"/>
      <c r="W11" s="454">
        <f>W9/W10</f>
        <v>27.899924813788633</v>
      </c>
      <c r="X11" s="454"/>
      <c r="Y11" s="454"/>
      <c r="Z11" s="454"/>
      <c r="AA11" s="454"/>
      <c r="AB11" s="454"/>
      <c r="AC11" s="454">
        <f>AC9/AC10</f>
        <v>27.899924813788633</v>
      </c>
      <c r="AD11" s="454"/>
      <c r="AE11" s="454"/>
      <c r="AF11" s="454"/>
      <c r="AG11" s="454"/>
      <c r="AH11" s="454"/>
      <c r="AI11" s="454">
        <f>AI9/AI10</f>
        <v>27.899924813788633</v>
      </c>
      <c r="AJ11" s="454"/>
      <c r="AK11" s="454"/>
      <c r="AL11" s="454"/>
      <c r="AM11" s="454"/>
      <c r="AN11" s="454"/>
      <c r="AO11" s="454">
        <f>AO9/AO10</f>
        <v>27.899924813788633</v>
      </c>
      <c r="AP11" s="454"/>
      <c r="AQ11" s="454"/>
      <c r="AR11" s="454"/>
      <c r="AS11" s="454"/>
      <c r="AT11" s="454"/>
      <c r="AU11" s="454">
        <f>AU9/AU10</f>
        <v>27.904342807933393</v>
      </c>
      <c r="AV11" s="454"/>
      <c r="AW11" s="454"/>
      <c r="AX11" s="454"/>
      <c r="AY11" s="454"/>
      <c r="AZ11" s="454"/>
      <c r="BA11" s="454">
        <f>BA9/BA10</f>
        <v>27.904342807933393</v>
      </c>
      <c r="BB11" s="454"/>
      <c r="BC11" s="454"/>
      <c r="BD11" s="454"/>
      <c r="BE11" s="454"/>
      <c r="BF11" s="454"/>
      <c r="BG11" s="454">
        <f>BG9/BG10</f>
        <v>27.904342807933393</v>
      </c>
      <c r="BH11" s="454"/>
      <c r="BI11" s="454"/>
      <c r="BJ11" s="454"/>
      <c r="BK11" s="454"/>
      <c r="BL11" s="454"/>
      <c r="BM11" s="454">
        <f>BM9/BM10</f>
        <v>43.419733487562048</v>
      </c>
      <c r="BN11" s="454"/>
      <c r="BO11" s="454"/>
      <c r="BP11" s="454"/>
      <c r="BQ11" s="454"/>
      <c r="BR11" s="454"/>
      <c r="BS11" s="454">
        <f>BS9/BS10</f>
        <v>29.128773629995219</v>
      </c>
      <c r="BT11" s="454"/>
      <c r="BU11" s="454"/>
      <c r="BV11" s="454"/>
      <c r="BW11" s="454"/>
      <c r="BX11" s="454"/>
      <c r="BY11" s="454">
        <f>BY9/BY10</f>
        <v>29.128773629995219</v>
      </c>
      <c r="BZ11" s="454"/>
      <c r="CA11" s="454"/>
      <c r="CB11" s="454"/>
      <c r="CC11" s="454"/>
      <c r="CD11" s="454"/>
      <c r="CE11" s="454">
        <f>CE9/CE10</f>
        <v>29.128773629995219</v>
      </c>
      <c r="CF11" s="454"/>
      <c r="CG11" s="454"/>
      <c r="CH11" s="454"/>
      <c r="CI11" s="454"/>
      <c r="CJ11" s="454"/>
      <c r="CK11" s="454">
        <f>CK9/CK10</f>
        <v>16.276798713369519</v>
      </c>
      <c r="CL11" s="454"/>
      <c r="CM11" s="454"/>
      <c r="CN11" s="454"/>
      <c r="CO11" s="454"/>
      <c r="CP11" s="454"/>
      <c r="CQ11" s="454">
        <f>CQ9/CQ10</f>
        <v>16.276798713369519</v>
      </c>
      <c r="CR11" s="454"/>
      <c r="CS11" s="454"/>
      <c r="CT11" s="454"/>
      <c r="CU11" s="454"/>
      <c r="CV11" s="454"/>
      <c r="CW11" s="454">
        <f>CW9/CW10</f>
        <v>16.276798713369519</v>
      </c>
      <c r="CX11" s="454"/>
      <c r="CY11" s="454"/>
      <c r="CZ11" s="454"/>
      <c r="DA11" s="454"/>
      <c r="DB11" s="454"/>
      <c r="DC11" s="454">
        <f>DC9/DC10</f>
        <v>16.276798713369519</v>
      </c>
      <c r="DD11" s="454"/>
      <c r="DE11" s="454"/>
      <c r="DF11" s="454"/>
      <c r="DG11" s="454"/>
      <c r="DH11" s="454"/>
      <c r="DI11" s="454">
        <f>DI9/DI10</f>
        <v>16.276798713369519</v>
      </c>
      <c r="DJ11" s="454"/>
      <c r="DK11" s="454"/>
      <c r="DL11" s="454"/>
      <c r="DM11" s="454"/>
      <c r="DN11" s="454"/>
      <c r="DO11" s="454">
        <f>DO9/DO10</f>
        <v>18.02</v>
      </c>
      <c r="DP11" s="454"/>
      <c r="DQ11" s="454"/>
      <c r="DR11" s="454"/>
      <c r="DS11" s="454"/>
      <c r="DT11" s="454"/>
    </row>
    <row r="12" spans="1:124" x14ac:dyDescent="0.35">
      <c r="B12" s="14"/>
      <c r="C12" s="178" t="s">
        <v>22</v>
      </c>
      <c r="D12" s="14" t="s">
        <v>23</v>
      </c>
      <c r="E12" s="543">
        <f>((E4+14.7)*(E8*60))/(10.73*E10*(460+E5))</f>
        <v>0.99980339092408055</v>
      </c>
      <c r="F12" s="544"/>
      <c r="G12" s="544"/>
      <c r="H12" s="544"/>
      <c r="I12" s="544"/>
      <c r="J12" s="545"/>
      <c r="K12" s="455">
        <f>((K4+14.7)*(K8*60))/(10.73*K10*(460+K5))</f>
        <v>0.99980339092408033</v>
      </c>
      <c r="L12" s="455"/>
      <c r="M12" s="455"/>
      <c r="N12" s="455"/>
      <c r="O12" s="455"/>
      <c r="P12" s="455"/>
      <c r="Q12" s="455">
        <f>((Q4+14.7)*(Q8*60))/(10.73*Q10*(460+Q5))</f>
        <v>0.99980339092408033</v>
      </c>
      <c r="R12" s="455"/>
      <c r="S12" s="455"/>
      <c r="T12" s="455"/>
      <c r="U12" s="455"/>
      <c r="V12" s="455"/>
      <c r="W12" s="454">
        <f>((W4+14.7)*(W8*60))/(10.73*W10*(460+W5))</f>
        <v>0.99980339092408066</v>
      </c>
      <c r="X12" s="454"/>
      <c r="Y12" s="454"/>
      <c r="Z12" s="454"/>
      <c r="AA12" s="454"/>
      <c r="AB12" s="454"/>
      <c r="AC12" s="455">
        <f>((AC4+14.7)*(AC8*60))/(10.73*AC10*(460+AC5))</f>
        <v>0.99980339092408033</v>
      </c>
      <c r="AD12" s="455"/>
      <c r="AE12" s="455"/>
      <c r="AF12" s="455"/>
      <c r="AG12" s="455"/>
      <c r="AH12" s="455"/>
      <c r="AI12" s="455">
        <f>((AI4+14.7)*(AI8*60))/(10.73*AI10*(460+AI5))</f>
        <v>0.99980339092408055</v>
      </c>
      <c r="AJ12" s="455"/>
      <c r="AK12" s="455"/>
      <c r="AL12" s="455"/>
      <c r="AM12" s="455"/>
      <c r="AN12" s="455"/>
      <c r="AO12" s="455">
        <f>((AO4+14.7)*(AO8*60))/(10.73*AO10*(460+AO5))</f>
        <v>0.99980339092408055</v>
      </c>
      <c r="AP12" s="455"/>
      <c r="AQ12" s="455"/>
      <c r="AR12" s="455"/>
      <c r="AS12" s="455"/>
      <c r="AT12" s="455"/>
      <c r="AU12" s="455">
        <f>((AU4+14.7)*(AU8*60))/(10.73*AU10*(460+AU5))</f>
        <v>0.99980339092408055</v>
      </c>
      <c r="AV12" s="455"/>
      <c r="AW12" s="455"/>
      <c r="AX12" s="455"/>
      <c r="AY12" s="455"/>
      <c r="AZ12" s="455"/>
      <c r="BA12" s="455">
        <f>((BA4+14.7)*(BA8*60))/(10.73*BA10*(460+BA5))</f>
        <v>0.99980339092408066</v>
      </c>
      <c r="BB12" s="455"/>
      <c r="BC12" s="455"/>
      <c r="BD12" s="455"/>
      <c r="BE12" s="455"/>
      <c r="BF12" s="455"/>
      <c r="BG12" s="455">
        <f>((BG4+14.7)*(BG8*60))/(10.73*BG10*(460+BG5))</f>
        <v>0.99980339092408033</v>
      </c>
      <c r="BH12" s="455"/>
      <c r="BI12" s="455"/>
      <c r="BJ12" s="455"/>
      <c r="BK12" s="455"/>
      <c r="BL12" s="455"/>
      <c r="BM12" s="455">
        <f>((BM4+14.7)*(BM8*60))/(10.73*BM10*(460+BM5))</f>
        <v>0.99980339092408044</v>
      </c>
      <c r="BN12" s="455"/>
      <c r="BO12" s="455"/>
      <c r="BP12" s="455"/>
      <c r="BQ12" s="455"/>
      <c r="BR12" s="455"/>
      <c r="BS12" s="455">
        <f>((BS4+14.7)*(BS8*60))/(10.73*BS10*(460+BS5))</f>
        <v>0.99980339092408044</v>
      </c>
      <c r="BT12" s="455"/>
      <c r="BU12" s="455"/>
      <c r="BV12" s="455"/>
      <c r="BW12" s="455"/>
      <c r="BX12" s="455"/>
      <c r="BY12" s="455">
        <f>((BY4+14.7)*(BY8*60))/(10.73*BY10*(460+BY5))</f>
        <v>0.99980339092408044</v>
      </c>
      <c r="BZ12" s="455"/>
      <c r="CA12" s="455"/>
      <c r="CB12" s="455"/>
      <c r="CC12" s="455"/>
      <c r="CD12" s="455"/>
      <c r="CE12" s="455">
        <f>((CE4+14.7)*(CE8*60))/(10.73*CE10*(460+CE5))</f>
        <v>0.99980339092408044</v>
      </c>
      <c r="CF12" s="455"/>
      <c r="CG12" s="455"/>
      <c r="CH12" s="455"/>
      <c r="CI12" s="455"/>
      <c r="CJ12" s="455"/>
      <c r="CK12" s="455">
        <f>((CK4+14.7)*(CK8*60))/(10.73*CK10*(460+CK5))</f>
        <v>0.99980339092408033</v>
      </c>
      <c r="CL12" s="455"/>
      <c r="CM12" s="455"/>
      <c r="CN12" s="455"/>
      <c r="CO12" s="455"/>
      <c r="CP12" s="455"/>
      <c r="CQ12" s="455">
        <f>((CQ4+14.7)*(CQ8*60))/(10.73*CQ10*(460+CQ5))</f>
        <v>0.99980339092408044</v>
      </c>
      <c r="CR12" s="455"/>
      <c r="CS12" s="455"/>
      <c r="CT12" s="455"/>
      <c r="CU12" s="455"/>
      <c r="CV12" s="455"/>
      <c r="CW12" s="455">
        <f>((CW4+14.7)*(CW8*60))/(10.73*CW10*(460+CW5))</f>
        <v>0.99980339092408044</v>
      </c>
      <c r="CX12" s="455"/>
      <c r="CY12" s="455"/>
      <c r="CZ12" s="455"/>
      <c r="DA12" s="455"/>
      <c r="DB12" s="455"/>
      <c r="DC12" s="455">
        <f>((DC4+14.7)*(DC8*60))/(10.73*DC10*(460+DC5))</f>
        <v>0.99980339092408055</v>
      </c>
      <c r="DD12" s="455"/>
      <c r="DE12" s="455"/>
      <c r="DF12" s="455"/>
      <c r="DG12" s="455"/>
      <c r="DH12" s="455"/>
      <c r="DI12" s="455">
        <f>((DI4+14.7)*(DI8*60))/(10.73*DI10*(460+DI5))</f>
        <v>0.99980339092408022</v>
      </c>
      <c r="DJ12" s="455"/>
      <c r="DK12" s="455"/>
      <c r="DL12" s="455"/>
      <c r="DM12" s="455"/>
      <c r="DN12" s="455"/>
      <c r="DO12" s="455">
        <f>((DO4+14.7)*(DO8*60))/(10.73*DO10*(460+DO5))</f>
        <v>0.99980339092408044</v>
      </c>
      <c r="DP12" s="455"/>
      <c r="DQ12" s="455"/>
      <c r="DR12" s="455"/>
      <c r="DS12" s="455"/>
      <c r="DT12" s="455"/>
    </row>
    <row r="13" spans="1:124" ht="15.75" customHeight="1" x14ac:dyDescent="0.35">
      <c r="B13" s="14"/>
      <c r="C13" s="178" t="s">
        <v>20</v>
      </c>
      <c r="D13" s="14" t="s">
        <v>21</v>
      </c>
      <c r="E13" s="476">
        <f>E11*(E4+14.7)/((1545/144)*(E5+460)*E12)</f>
        <v>0.37782375152342468</v>
      </c>
      <c r="F13" s="477"/>
      <c r="G13" s="477"/>
      <c r="H13" s="477"/>
      <c r="I13" s="477"/>
      <c r="J13" s="478"/>
      <c r="K13" s="456">
        <f>K11*(K4+14.7)/((1545/144)*(K5+460)*K12)</f>
        <v>0.36833812251189052</v>
      </c>
      <c r="L13" s="456"/>
      <c r="M13" s="456"/>
      <c r="N13" s="456"/>
      <c r="O13" s="456"/>
      <c r="P13" s="456"/>
      <c r="Q13" s="456">
        <f>Q11*(Q4+14.7)/((1545/144)*(Q5+460)*Q12)</f>
        <v>0.36596786432326833</v>
      </c>
      <c r="R13" s="456"/>
      <c r="S13" s="456"/>
      <c r="T13" s="456"/>
      <c r="U13" s="456"/>
      <c r="V13" s="456"/>
      <c r="W13" s="454">
        <f>W11*(W4+14.7)/((1545/144)*(W5+460)*W12)</f>
        <v>0.36326099452416943</v>
      </c>
      <c r="X13" s="454"/>
      <c r="Y13" s="454"/>
      <c r="Z13" s="454"/>
      <c r="AA13" s="454"/>
      <c r="AB13" s="454"/>
      <c r="AC13" s="456">
        <f>AC11*(AC4+14.7)/((1545/144)*(AC5+460)*AC12)</f>
        <v>0.79207328070924266</v>
      </c>
      <c r="AD13" s="456"/>
      <c r="AE13" s="456"/>
      <c r="AF13" s="456"/>
      <c r="AG13" s="456"/>
      <c r="AH13" s="456"/>
      <c r="AI13" s="456">
        <f>AI11*(AI4+14.7)/((1545/144)*(AI5+460)*AI12)</f>
        <v>0.97339889702108207</v>
      </c>
      <c r="AJ13" s="456"/>
      <c r="AK13" s="456"/>
      <c r="AL13" s="456"/>
      <c r="AM13" s="456"/>
      <c r="AN13" s="456"/>
      <c r="AO13" s="456">
        <f>AO11*(AO4+14.7)/((1545/144)*(AO5+460)*AO12)</f>
        <v>0.98435921262999937</v>
      </c>
      <c r="AP13" s="456"/>
      <c r="AQ13" s="456"/>
      <c r="AR13" s="456"/>
      <c r="AS13" s="456"/>
      <c r="AT13" s="456"/>
      <c r="AU13" s="456">
        <f>AU11*(AU4+14.7)/((1545/144)*(AU5+460)*AU12)</f>
        <v>1.1013923490799229</v>
      </c>
      <c r="AV13" s="456"/>
      <c r="AW13" s="456"/>
      <c r="AX13" s="456"/>
      <c r="AY13" s="456"/>
      <c r="AZ13" s="456"/>
      <c r="BA13" s="456">
        <f>BA11*(BA4+14.7)/((1545/144)*(BA5+460)*BA12)</f>
        <v>1.0746958234976414</v>
      </c>
      <c r="BB13" s="456"/>
      <c r="BC13" s="456"/>
      <c r="BD13" s="456"/>
      <c r="BE13" s="456"/>
      <c r="BF13" s="456"/>
      <c r="BG13" s="456">
        <f>BG11*(BG4+14.7)/((1545/144)*(BG5+460)*BG12)</f>
        <v>1.0695952263286923</v>
      </c>
      <c r="BH13" s="456"/>
      <c r="BI13" s="456"/>
      <c r="BJ13" s="456"/>
      <c r="BK13" s="456"/>
      <c r="BL13" s="456"/>
      <c r="BM13" s="456">
        <f>BM11*(BM4+14.7)/((1545/144)*(BM5+460)*BM12)</f>
        <v>0.1246051615790662</v>
      </c>
      <c r="BN13" s="456"/>
      <c r="BO13" s="456"/>
      <c r="BP13" s="456"/>
      <c r="BQ13" s="456"/>
      <c r="BR13" s="456"/>
      <c r="BS13" s="456">
        <f>BS11*(BS4+14.7)/((1545/144)*(BS5+460)*BS12)</f>
        <v>8.6807031745741448E-2</v>
      </c>
      <c r="BT13" s="456"/>
      <c r="BU13" s="456"/>
      <c r="BV13" s="456"/>
      <c r="BW13" s="456"/>
      <c r="BX13" s="456"/>
      <c r="BY13" s="456">
        <f>BY11*(BY4+14.7)/((1545/144)*(BY5+460)*BY12)</f>
        <v>0.30481867864576484</v>
      </c>
      <c r="BZ13" s="456"/>
      <c r="CA13" s="456"/>
      <c r="CB13" s="456"/>
      <c r="CC13" s="456"/>
      <c r="CD13" s="456"/>
      <c r="CE13" s="456">
        <f>CE11*(CE4+14.7)/((1545/144)*(CE5+460)*CE12)</f>
        <v>0.36377649039179055</v>
      </c>
      <c r="CF13" s="456"/>
      <c r="CG13" s="456"/>
      <c r="CH13" s="456"/>
      <c r="CI13" s="456"/>
      <c r="CJ13" s="456"/>
      <c r="CK13" s="456">
        <f>CK11*(CK4+14.7)/((1545/144)*(CK5+460)*CK12)</f>
        <v>0.4883897919502263</v>
      </c>
      <c r="CL13" s="456"/>
      <c r="CM13" s="456"/>
      <c r="CN13" s="456"/>
      <c r="CO13" s="456"/>
      <c r="CP13" s="456"/>
      <c r="CQ13" s="456">
        <f>CQ11*(CQ4+14.7)/((1545/144)*(CQ5+460)*CQ12)</f>
        <v>0.64669484707454838</v>
      </c>
      <c r="CR13" s="456"/>
      <c r="CS13" s="456"/>
      <c r="CT13" s="456"/>
      <c r="CU13" s="456"/>
      <c r="CV13" s="456"/>
      <c r="CW13" s="456">
        <f>CW11*(CW4+14.7)/((1545/144)*(CW5+460)*CW12)</f>
        <v>0.75123894831999516</v>
      </c>
      <c r="CX13" s="456"/>
      <c r="CY13" s="456"/>
      <c r="CZ13" s="456"/>
      <c r="DA13" s="456"/>
      <c r="DB13" s="456"/>
      <c r="DC13" s="456">
        <f>DC11*(DC4+14.7)/((1545/144)*(DC5+460)*DC12)</f>
        <v>0.7674283263705155</v>
      </c>
      <c r="DD13" s="456"/>
      <c r="DE13" s="456"/>
      <c r="DF13" s="456"/>
      <c r="DG13" s="456"/>
      <c r="DH13" s="456"/>
      <c r="DI13" s="456">
        <f>DI11*(DI4+14.7)/((1545/144)*(DI5+460)*DI12)</f>
        <v>0.76469434587044249</v>
      </c>
      <c r="DJ13" s="456"/>
      <c r="DK13" s="456"/>
      <c r="DL13" s="456"/>
      <c r="DM13" s="456"/>
      <c r="DN13" s="456"/>
      <c r="DO13" s="456">
        <f>DO11*(DO4+14.7)/((1545/144)*(DO5+460)*DO12)</f>
        <v>0.45255543087399852</v>
      </c>
      <c r="DP13" s="456"/>
      <c r="DQ13" s="456"/>
      <c r="DR13" s="456"/>
      <c r="DS13" s="456"/>
      <c r="DT13" s="456"/>
    </row>
    <row r="14" spans="1:124" ht="15.75" customHeight="1" x14ac:dyDescent="0.35">
      <c r="B14" s="14"/>
      <c r="C14" s="178" t="s">
        <v>146</v>
      </c>
      <c r="D14" s="14" t="s">
        <v>148</v>
      </c>
      <c r="E14" s="476">
        <f>6.1121*EXP(17.502*E6/(240.97+E6))*0.1*0.145038</f>
        <v>0.36303494335651243</v>
      </c>
      <c r="F14" s="477"/>
      <c r="G14" s="477"/>
      <c r="H14" s="477"/>
      <c r="I14" s="477"/>
      <c r="J14" s="478"/>
      <c r="K14" s="456">
        <f>6.1121*EXP(17.502*K6/(240.97+K6))*0.1*0.145038</f>
        <v>0.36303494335651243</v>
      </c>
      <c r="L14" s="456"/>
      <c r="M14" s="456"/>
      <c r="N14" s="456"/>
      <c r="O14" s="456"/>
      <c r="P14" s="456"/>
      <c r="Q14" s="456">
        <f>6.1121*EXP(17.502*Q6/(240.97+Q6))*0.1*0.145038</f>
        <v>0.36303494335651243</v>
      </c>
      <c r="R14" s="456"/>
      <c r="S14" s="456"/>
      <c r="T14" s="456"/>
      <c r="U14" s="456"/>
      <c r="V14" s="456"/>
      <c r="W14" s="455">
        <f>6.1121*EXP(17.502*W6/(240.97+W6))*0.1*0.145038</f>
        <v>0.76092557937247018</v>
      </c>
      <c r="X14" s="455"/>
      <c r="Y14" s="455"/>
      <c r="Z14" s="455"/>
      <c r="AA14" s="455"/>
      <c r="AB14" s="455"/>
      <c r="AC14" s="456">
        <f>6.1121*EXP(17.502*AC6/(240.97+AC6))*0.1*0.145038</f>
        <v>28.248848429930408</v>
      </c>
      <c r="AD14" s="456"/>
      <c r="AE14" s="456"/>
      <c r="AF14" s="456"/>
      <c r="AG14" s="456"/>
      <c r="AH14" s="456"/>
      <c r="AI14" s="456">
        <f>6.1121*EXP(17.502*AI6/(240.97+AI6))*0.1*0.145038</f>
        <v>1.3145583193618415</v>
      </c>
      <c r="AJ14" s="456"/>
      <c r="AK14" s="456"/>
      <c r="AL14" s="456"/>
      <c r="AM14" s="456"/>
      <c r="AN14" s="456"/>
      <c r="AO14" s="456">
        <f>6.1121*EXP(17.502*AO6/(240.97+AO6))*0.1*0.145038</f>
        <v>1.009025316692022</v>
      </c>
      <c r="AP14" s="456"/>
      <c r="AQ14" s="456"/>
      <c r="AR14" s="456"/>
      <c r="AS14" s="456"/>
      <c r="AT14" s="456"/>
      <c r="AU14" s="456">
        <f>6.1121*EXP(17.502*AU6/(240.97+AU6))*0.1*0.145038</f>
        <v>0.12171004337503714</v>
      </c>
      <c r="AV14" s="456"/>
      <c r="AW14" s="456"/>
      <c r="AX14" s="456"/>
      <c r="AY14" s="456"/>
      <c r="AZ14" s="456"/>
      <c r="BA14" s="456">
        <f>6.1121*EXP(17.502*BA6/(240.97+BA6))*0.1*0.145038</f>
        <v>0.17804837538503848</v>
      </c>
      <c r="BB14" s="456"/>
      <c r="BC14" s="456"/>
      <c r="BD14" s="456"/>
      <c r="BE14" s="456"/>
      <c r="BF14" s="456"/>
      <c r="BG14" s="456">
        <f>6.1121*EXP(17.502*BG6/(240.97+BG6))*0.1*0.145038</f>
        <v>0.17804837538503848</v>
      </c>
      <c r="BH14" s="456"/>
      <c r="BI14" s="456"/>
      <c r="BJ14" s="456"/>
      <c r="BK14" s="456"/>
      <c r="BL14" s="456"/>
      <c r="BM14" s="456">
        <f>6.1121*EXP(17.502*BM6/(240.97+BM6))*0.1*0.145038</f>
        <v>0.17804837538503848</v>
      </c>
      <c r="BN14" s="456"/>
      <c r="BO14" s="456"/>
      <c r="BP14" s="456"/>
      <c r="BQ14" s="456"/>
      <c r="BR14" s="456"/>
      <c r="BS14" s="456">
        <f>6.1121*EXP(17.502*BS6/(240.97+BS6))*0.1*0.145038</f>
        <v>0.2789418004432403</v>
      </c>
      <c r="BT14" s="456"/>
      <c r="BU14" s="456"/>
      <c r="BV14" s="456"/>
      <c r="BW14" s="456"/>
      <c r="BX14" s="456"/>
      <c r="BY14" s="456">
        <f>6.1121*EXP(17.502*BY6/(240.97+BY6))*0.1*0.145038</f>
        <v>30.91069183974048</v>
      </c>
      <c r="BZ14" s="456"/>
      <c r="CA14" s="456"/>
      <c r="CB14" s="456"/>
      <c r="CC14" s="456"/>
      <c r="CD14" s="456"/>
      <c r="CE14" s="456">
        <f>6.1121*EXP(17.502*CE6/(240.97+CE6))*0.1*0.145038</f>
        <v>1.6970491530776135</v>
      </c>
      <c r="CF14" s="456"/>
      <c r="CG14" s="456"/>
      <c r="CH14" s="456"/>
      <c r="CI14" s="456"/>
      <c r="CJ14" s="456"/>
      <c r="CK14" s="456">
        <f>6.1121*EXP(17.502*CK6/(240.97+CK6))*0.1*0.145038</f>
        <v>0.18962661874980477</v>
      </c>
      <c r="CL14" s="456"/>
      <c r="CM14" s="456"/>
      <c r="CN14" s="456"/>
      <c r="CO14" s="456"/>
      <c r="CP14" s="456"/>
      <c r="CQ14" s="456">
        <f>6.1121*EXP(17.502*CQ6/(240.97+CQ6))*0.1*0.145038</f>
        <v>13.856947852927505</v>
      </c>
      <c r="CR14" s="456"/>
      <c r="CS14" s="456"/>
      <c r="CT14" s="456"/>
      <c r="CU14" s="456"/>
      <c r="CV14" s="456"/>
      <c r="CW14" s="456">
        <f>6.1121*EXP(17.502*CW6/(240.97+CW6))*0.1*0.145038</f>
        <v>1.3145583193618415</v>
      </c>
      <c r="CX14" s="456"/>
      <c r="CY14" s="456"/>
      <c r="CZ14" s="456"/>
      <c r="DA14" s="456"/>
      <c r="DB14" s="456"/>
      <c r="DC14" s="456">
        <f>6.1121*EXP(17.502*DC6/(240.97+DC6))*0.1*0.145038</f>
        <v>0.81597106133360509</v>
      </c>
      <c r="DD14" s="456"/>
      <c r="DE14" s="456"/>
      <c r="DF14" s="456"/>
      <c r="DG14" s="456"/>
      <c r="DH14" s="456"/>
      <c r="DI14" s="456">
        <f>6.1121*EXP(17.502*DI6/(240.97+DI6))*0.1*0.145038</f>
        <v>0.81597106133360509</v>
      </c>
      <c r="DJ14" s="456"/>
      <c r="DK14" s="456"/>
      <c r="DL14" s="456"/>
      <c r="DM14" s="456"/>
      <c r="DN14" s="456"/>
      <c r="DO14" s="456">
        <f>6.1121*EXP(17.502*DO6/(240.97+DO6))*0.1*0.145038</f>
        <v>0.12171004337503714</v>
      </c>
      <c r="DP14" s="456"/>
      <c r="DQ14" s="456"/>
      <c r="DR14" s="456"/>
      <c r="DS14" s="456"/>
      <c r="DT14" s="456"/>
    </row>
    <row r="15" spans="1:124" ht="15" customHeight="1" x14ac:dyDescent="0.35">
      <c r="B15" s="14"/>
      <c r="C15" s="178" t="s">
        <v>147</v>
      </c>
      <c r="D15" s="14" t="s">
        <v>149</v>
      </c>
      <c r="E15" s="482">
        <f>(E23)*(E4+14.7)/E14</f>
        <v>27.877992746827747</v>
      </c>
      <c r="F15" s="483"/>
      <c r="G15" s="483"/>
      <c r="H15" s="483"/>
      <c r="I15" s="483"/>
      <c r="J15" s="484"/>
      <c r="K15" s="457">
        <f>(K23)*(K4+14.7)/K14</f>
        <v>27.179669630333194</v>
      </c>
      <c r="L15" s="457"/>
      <c r="M15" s="457"/>
      <c r="N15" s="457"/>
      <c r="O15" s="457"/>
      <c r="P15" s="457"/>
      <c r="Q15" s="457">
        <f>(Q23)*(Q4+14.7)/Q14</f>
        <v>27.004768281360651</v>
      </c>
      <c r="R15" s="457"/>
      <c r="S15" s="457"/>
      <c r="T15" s="457"/>
      <c r="U15" s="457"/>
      <c r="V15" s="457"/>
      <c r="W15" s="455">
        <f>(W23)*(W4+14.7)/W14</f>
        <v>10.364823864800689</v>
      </c>
      <c r="X15" s="455"/>
      <c r="Y15" s="455"/>
      <c r="Z15" s="455"/>
      <c r="AA15" s="455"/>
      <c r="AB15" s="455"/>
      <c r="AC15" s="457">
        <f>(AC23)*(AC4+14.7)/AC14</f>
        <v>0.77645824436943289</v>
      </c>
      <c r="AD15" s="457"/>
      <c r="AE15" s="457"/>
      <c r="AF15" s="457"/>
      <c r="AG15" s="457"/>
      <c r="AH15" s="457"/>
      <c r="AI15" s="457">
        <f>(AI23)*(AI4+14.7)/AI14</f>
        <v>16.607775814861352</v>
      </c>
      <c r="AJ15" s="457"/>
      <c r="AK15" s="457"/>
      <c r="AL15" s="457"/>
      <c r="AM15" s="457"/>
      <c r="AN15" s="457"/>
      <c r="AO15" s="457">
        <f>(AO23)*(AO4+14.7)/AO14</f>
        <v>21.535364980654094</v>
      </c>
      <c r="AP15" s="457"/>
      <c r="AQ15" s="457"/>
      <c r="AR15" s="457"/>
      <c r="AS15" s="457"/>
      <c r="AT15" s="457"/>
      <c r="AU15" s="457">
        <f>(AU23)*(AU4+14.7)/AU14</f>
        <v>99.99729167074679</v>
      </c>
      <c r="AV15" s="457"/>
      <c r="AW15" s="457"/>
      <c r="AX15" s="457"/>
      <c r="AY15" s="457"/>
      <c r="AZ15" s="457"/>
      <c r="BA15" s="457">
        <f>(BA23)*(BA4+14.7)/BA14</f>
        <v>68.033108886443273</v>
      </c>
      <c r="BB15" s="457"/>
      <c r="BC15" s="457"/>
      <c r="BD15" s="457"/>
      <c r="BE15" s="457"/>
      <c r="BF15" s="457"/>
      <c r="BG15" s="457">
        <f>(BG23)*(BG4+14.7)/BG14</f>
        <v>67.710218004210503</v>
      </c>
      <c r="BH15" s="457"/>
      <c r="BI15" s="457"/>
      <c r="BJ15" s="457"/>
      <c r="BK15" s="457"/>
      <c r="BL15" s="457"/>
      <c r="BM15" s="457">
        <f>(BM23)*(BM4+14.7)/BM14</f>
        <v>8.6920804674279104</v>
      </c>
      <c r="BN15" s="457"/>
      <c r="BO15" s="457"/>
      <c r="BP15" s="457"/>
      <c r="BQ15" s="457"/>
      <c r="BR15" s="457"/>
      <c r="BS15" s="457">
        <f>(BS23)*(BS4+14.7)/BS14</f>
        <v>4.1903941871606909</v>
      </c>
      <c r="BT15" s="457"/>
      <c r="BU15" s="457"/>
      <c r="BV15" s="457"/>
      <c r="BW15" s="457"/>
      <c r="BX15" s="457"/>
      <c r="BY15" s="457">
        <f>(BY23)*(BY4+14.7)/BY14</f>
        <v>0.18046858082636283</v>
      </c>
      <c r="BZ15" s="457"/>
      <c r="CA15" s="457"/>
      <c r="CB15" s="457"/>
      <c r="CC15" s="457"/>
      <c r="CD15" s="457"/>
      <c r="CE15" s="457">
        <f>(CE23)*(CE4+14.7)/CE14</f>
        <v>3.2046352442081583</v>
      </c>
      <c r="CF15" s="457"/>
      <c r="CG15" s="457"/>
      <c r="CH15" s="457"/>
      <c r="CI15" s="457"/>
      <c r="CJ15" s="457"/>
      <c r="CK15" s="457">
        <f>(CK23)*(CK4+14.7)/CK14</f>
        <v>12.947061904758193</v>
      </c>
      <c r="CL15" s="457"/>
      <c r="CM15" s="457"/>
      <c r="CN15" s="457"/>
      <c r="CO15" s="457"/>
      <c r="CP15" s="457"/>
      <c r="CQ15" s="457">
        <f>(CQ23)*(CQ4+14.7)/CQ14</f>
        <v>0.30626460695467422</v>
      </c>
      <c r="CR15" s="457"/>
      <c r="CS15" s="457"/>
      <c r="CT15" s="457"/>
      <c r="CU15" s="457"/>
      <c r="CV15" s="457"/>
      <c r="CW15" s="457">
        <f>(CW23)*(CW4+14.7)/CW14</f>
        <v>3.2056999985720891</v>
      </c>
      <c r="CX15" s="457"/>
      <c r="CY15" s="457"/>
      <c r="CZ15" s="457"/>
      <c r="DA15" s="457"/>
      <c r="DB15" s="457"/>
      <c r="DC15" s="457">
        <f>(DC23)*(DC4+14.7)/DC14</f>
        <v>5.1279594528700985</v>
      </c>
      <c r="DD15" s="457"/>
      <c r="DE15" s="457"/>
      <c r="DF15" s="457"/>
      <c r="DG15" s="457"/>
      <c r="DH15" s="457"/>
      <c r="DI15" s="457">
        <f>(DI23)*(DI4+14.7)/DI14</f>
        <v>5.1096909831413129</v>
      </c>
      <c r="DJ15" s="457"/>
      <c r="DK15" s="457"/>
      <c r="DL15" s="457"/>
      <c r="DM15" s="457"/>
      <c r="DN15" s="457"/>
      <c r="DO15" s="457">
        <f>(DO23)*(DO4+14.7)/DO14</f>
        <v>110672.87157637074</v>
      </c>
      <c r="DP15" s="457"/>
      <c r="DQ15" s="457"/>
      <c r="DR15" s="457"/>
      <c r="DS15" s="457"/>
      <c r="DT15" s="457"/>
    </row>
    <row r="16" spans="1:124" ht="15" customHeight="1" x14ac:dyDescent="0.35">
      <c r="B16" s="14"/>
      <c r="C16" s="178" t="s">
        <v>159</v>
      </c>
      <c r="D16" s="14" t="s">
        <v>3</v>
      </c>
      <c r="E16" s="333"/>
      <c r="F16" s="333"/>
      <c r="G16" s="333"/>
      <c r="H16" s="333"/>
      <c r="I16" s="333"/>
      <c r="J16" s="13"/>
      <c r="K16" s="440" t="str">
        <f>IF((I23-O23)&gt;1,"Condensate Removed","")</f>
        <v/>
      </c>
      <c r="L16" s="440"/>
      <c r="M16" s="440"/>
      <c r="N16" s="14" t="str">
        <f>IF((I23-O23)&gt;1,+(I23-O23),"")</f>
        <v/>
      </c>
      <c r="O16" s="14" t="str">
        <f>IF((I23-O23)&gt;1,"lb/hr","")</f>
        <v/>
      </c>
      <c r="P16" s="13"/>
      <c r="Q16" s="440" t="str">
        <f>IF((O23-U23)&gt;1,"Condensate Removed","")</f>
        <v/>
      </c>
      <c r="R16" s="440"/>
      <c r="S16" s="440"/>
      <c r="T16" s="14" t="str">
        <f>IF((O23-U23)&gt;1,+(O23-U23),"")</f>
        <v/>
      </c>
      <c r="U16" s="14" t="str">
        <f>IF((O23-U23)&gt;1,"lb/hr","")</f>
        <v/>
      </c>
      <c r="V16" s="13"/>
      <c r="W16" s="440" t="str">
        <f>IF((O23-AA23)&gt;1,"Condensate Removed","")</f>
        <v/>
      </c>
      <c r="X16" s="440"/>
      <c r="Y16" s="440"/>
      <c r="Z16" s="14" t="str">
        <f>IF((O23-AA23)&gt;1,+(O23-AA23),"")</f>
        <v/>
      </c>
      <c r="AA16" s="14" t="str">
        <f>IF((O23-AA23)&gt;1,"lb/hr","")</f>
        <v/>
      </c>
      <c r="AB16" s="13"/>
      <c r="AC16" s="440" t="str">
        <f>IF((U23-AG23)&gt;1,"Condensate Removed","")</f>
        <v/>
      </c>
      <c r="AD16" s="440"/>
      <c r="AE16" s="440"/>
      <c r="AF16" s="14" t="str">
        <f>IF((U23-AG23)&gt;1,+(U23-AG23),"")</f>
        <v/>
      </c>
      <c r="AG16" s="14" t="str">
        <f>IF((U23-AG23)&gt;1,"lb/hr","")</f>
        <v/>
      </c>
      <c r="AH16" s="13"/>
      <c r="AI16" s="457" t="str">
        <f>IF((AG23-AM23)&gt;1,+(AG23-AM23),"")</f>
        <v/>
      </c>
      <c r="AJ16" s="457"/>
      <c r="AK16" s="14"/>
      <c r="AL16" s="14"/>
      <c r="AM16" s="14"/>
      <c r="AN16" s="13"/>
      <c r="AO16" s="457" t="str">
        <f>IF((AM23-AS23)&gt;1,+(AM23-AS23),"")</f>
        <v/>
      </c>
      <c r="AP16" s="457"/>
      <c r="AQ16" s="14"/>
      <c r="AR16" s="14"/>
      <c r="AS16" s="14"/>
      <c r="AT16" s="13"/>
      <c r="AU16" s="457">
        <f>IF((AS23-AY23)&gt;1,+(AS23-AY23),"")</f>
        <v>5.1900047708272927</v>
      </c>
      <c r="AV16" s="457"/>
      <c r="AW16" s="14"/>
      <c r="AX16" s="14"/>
      <c r="AY16" s="14"/>
      <c r="AZ16" s="13"/>
      <c r="BA16" s="457" t="str">
        <f>IF((AY23-BE23)&gt;1,+(AY23-BE23),"")</f>
        <v/>
      </c>
      <c r="BB16" s="457"/>
      <c r="BC16" s="14"/>
      <c r="BD16" s="14"/>
      <c r="BE16" s="14"/>
      <c r="BF16" s="13"/>
      <c r="BG16" s="457" t="str">
        <f>IF((BE23-BK23)&gt;1,+(BE23-BK23),"")</f>
        <v/>
      </c>
      <c r="BH16" s="457"/>
      <c r="BI16" s="14"/>
      <c r="BJ16" s="14"/>
      <c r="BK16" s="14"/>
      <c r="BL16" s="13"/>
      <c r="BM16" s="457" t="str">
        <f>IF((BQ23-BK23)&gt;1,+(BK23-BQ23),"")</f>
        <v/>
      </c>
      <c r="BN16" s="457"/>
      <c r="BO16" s="14"/>
      <c r="BP16" s="14"/>
      <c r="BQ16" s="14"/>
      <c r="BR16" s="13"/>
      <c r="BS16" s="457" t="str">
        <f>IF((CO23-BW23)&gt;1,+(CO23-BW23),"")</f>
        <v/>
      </c>
      <c r="BT16" s="457"/>
      <c r="BU16" s="14"/>
      <c r="BV16" s="14"/>
      <c r="BW16" s="14"/>
      <c r="BX16" s="13"/>
      <c r="BY16" s="457" t="str">
        <f>IF((CU23-CC23)&gt;1,+(CU23-CC23),"")</f>
        <v/>
      </c>
      <c r="BZ16" s="457"/>
      <c r="CA16" s="14"/>
      <c r="CB16" s="14"/>
      <c r="CC16" s="14"/>
      <c r="CD16" s="13"/>
      <c r="CE16" s="457" t="str">
        <f>IF((DA23-CI23)&gt;1,+(DA23-CI23),"")</f>
        <v/>
      </c>
      <c r="CF16" s="457"/>
      <c r="CG16" s="14"/>
      <c r="CH16" s="14"/>
      <c r="CI16" s="14"/>
      <c r="CJ16" s="13"/>
      <c r="CK16" s="457" t="str">
        <f>IF((DG23-CO23)&gt;1,+(DG23-CO23),"")</f>
        <v/>
      </c>
      <c r="CL16" s="457"/>
      <c r="CM16" s="14"/>
      <c r="CN16" s="14"/>
      <c r="CO16" s="14"/>
      <c r="CP16" s="13"/>
      <c r="CQ16" s="457" t="str">
        <f>IF((DM23-CU23)&gt;1,+(DM23-CU23),"")</f>
        <v/>
      </c>
      <c r="CR16" s="457"/>
      <c r="CS16" s="14"/>
      <c r="CT16" s="14"/>
      <c r="CU16" s="14"/>
      <c r="CV16" s="13"/>
      <c r="CW16" s="457">
        <f>IF((DS23-DA23)&gt;1,+(DS23-DA23),"")</f>
        <v>4.5980297819073259</v>
      </c>
      <c r="CX16" s="457"/>
      <c r="CY16" s="14"/>
      <c r="CZ16" s="14"/>
      <c r="DA16" s="14"/>
      <c r="DB16" s="13"/>
      <c r="DC16" s="457" t="str">
        <f>IF((DY23-DG23)&gt;1,+(DY23-DG23),"")</f>
        <v/>
      </c>
      <c r="DD16" s="457"/>
      <c r="DE16" s="14"/>
      <c r="DF16" s="14"/>
      <c r="DG16" s="14"/>
      <c r="DH16" s="13"/>
      <c r="DI16" s="457" t="str">
        <f>IF((EE23-DM23)&gt;1,+(EE23-DM23),"")</f>
        <v/>
      </c>
      <c r="DJ16" s="457"/>
      <c r="DK16" s="14"/>
      <c r="DL16" s="14"/>
      <c r="DM16" s="14"/>
      <c r="DN16" s="13"/>
      <c r="DO16" s="457">
        <f>AU16</f>
        <v>5.1900047708272927</v>
      </c>
      <c r="DP16" s="457"/>
      <c r="DQ16" s="421"/>
      <c r="DR16" s="421"/>
      <c r="DS16" s="421"/>
      <c r="DT16" s="13"/>
    </row>
    <row r="17" spans="2:124" ht="58" x14ac:dyDescent="0.35">
      <c r="B17" s="14" t="s">
        <v>25</v>
      </c>
      <c r="C17" s="178" t="s">
        <v>24</v>
      </c>
      <c r="D17" s="14" t="s">
        <v>13</v>
      </c>
      <c r="E17" s="17" t="s">
        <v>139</v>
      </c>
      <c r="F17" s="181" t="s">
        <v>17</v>
      </c>
      <c r="G17" s="17" t="s">
        <v>15</v>
      </c>
      <c r="H17" s="17" t="s">
        <v>16</v>
      </c>
      <c r="I17" s="17" t="s">
        <v>17</v>
      </c>
      <c r="J17" s="182" t="s">
        <v>19</v>
      </c>
      <c r="K17" s="17" t="s">
        <v>139</v>
      </c>
      <c r="L17" s="181" t="s">
        <v>17</v>
      </c>
      <c r="M17" s="17" t="s">
        <v>15</v>
      </c>
      <c r="N17" s="17" t="s">
        <v>16</v>
      </c>
      <c r="O17" s="17" t="s">
        <v>17</v>
      </c>
      <c r="P17" s="182" t="s">
        <v>19</v>
      </c>
      <c r="Q17" s="17" t="s">
        <v>139</v>
      </c>
      <c r="R17" s="181" t="s">
        <v>15</v>
      </c>
      <c r="S17" s="17" t="s">
        <v>15</v>
      </c>
      <c r="T17" s="17" t="s">
        <v>16</v>
      </c>
      <c r="U17" s="17" t="s">
        <v>17</v>
      </c>
      <c r="V17" s="182" t="s">
        <v>19</v>
      </c>
      <c r="W17" s="17" t="s">
        <v>139</v>
      </c>
      <c r="X17" s="181" t="s">
        <v>15</v>
      </c>
      <c r="Y17" s="17" t="s">
        <v>15</v>
      </c>
      <c r="Z17" s="17" t="s">
        <v>16</v>
      </c>
      <c r="AA17" s="17" t="s">
        <v>17</v>
      </c>
      <c r="AB17" s="182" t="s">
        <v>19</v>
      </c>
      <c r="AC17" s="17" t="s">
        <v>139</v>
      </c>
      <c r="AD17" s="181" t="s">
        <v>15</v>
      </c>
      <c r="AE17" s="17" t="s">
        <v>15</v>
      </c>
      <c r="AF17" s="17" t="s">
        <v>16</v>
      </c>
      <c r="AG17" s="17" t="s">
        <v>17</v>
      </c>
      <c r="AH17" s="182" t="s">
        <v>19</v>
      </c>
      <c r="AI17" s="17" t="s">
        <v>139</v>
      </c>
      <c r="AJ17" s="181" t="s">
        <v>15</v>
      </c>
      <c r="AK17" s="17" t="s">
        <v>15</v>
      </c>
      <c r="AL17" s="17" t="s">
        <v>16</v>
      </c>
      <c r="AM17" s="17" t="s">
        <v>17</v>
      </c>
      <c r="AN17" s="182" t="s">
        <v>19</v>
      </c>
      <c r="AO17" s="17" t="s">
        <v>139</v>
      </c>
      <c r="AP17" s="181" t="s">
        <v>15</v>
      </c>
      <c r="AQ17" s="17" t="s">
        <v>15</v>
      </c>
      <c r="AR17" s="17" t="s">
        <v>16</v>
      </c>
      <c r="AS17" s="17" t="s">
        <v>17</v>
      </c>
      <c r="AT17" s="182" t="s">
        <v>19</v>
      </c>
      <c r="AU17" s="17" t="s">
        <v>139</v>
      </c>
      <c r="AV17" s="181" t="s">
        <v>15</v>
      </c>
      <c r="AW17" s="17" t="s">
        <v>15</v>
      </c>
      <c r="AX17" s="17" t="s">
        <v>16</v>
      </c>
      <c r="AY17" s="17" t="s">
        <v>17</v>
      </c>
      <c r="AZ17" s="182" t="s">
        <v>19</v>
      </c>
      <c r="BA17" s="17" t="s">
        <v>139</v>
      </c>
      <c r="BB17" s="181" t="s">
        <v>15</v>
      </c>
      <c r="BC17" s="17" t="s">
        <v>15</v>
      </c>
      <c r="BD17" s="17" t="s">
        <v>16</v>
      </c>
      <c r="BE17" s="17" t="s">
        <v>17</v>
      </c>
      <c r="BF17" s="182" t="s">
        <v>19</v>
      </c>
      <c r="BG17" s="17" t="s">
        <v>139</v>
      </c>
      <c r="BH17" s="181" t="s">
        <v>15</v>
      </c>
      <c r="BI17" s="17" t="s">
        <v>15</v>
      </c>
      <c r="BJ17" s="17" t="s">
        <v>16</v>
      </c>
      <c r="BK17" s="17" t="s">
        <v>17</v>
      </c>
      <c r="BL17" s="182" t="s">
        <v>19</v>
      </c>
      <c r="BM17" s="17" t="s">
        <v>139</v>
      </c>
      <c r="BN17" s="181" t="s">
        <v>17</v>
      </c>
      <c r="BO17" s="17" t="s">
        <v>15</v>
      </c>
      <c r="BP17" s="17" t="s">
        <v>16</v>
      </c>
      <c r="BQ17" s="17" t="s">
        <v>17</v>
      </c>
      <c r="BR17" s="182" t="s">
        <v>19</v>
      </c>
      <c r="BS17" s="17" t="s">
        <v>139</v>
      </c>
      <c r="BT17" s="181" t="s">
        <v>17</v>
      </c>
      <c r="BU17" s="17" t="s">
        <v>15</v>
      </c>
      <c r="BV17" s="17" t="s">
        <v>16</v>
      </c>
      <c r="BW17" s="17" t="s">
        <v>17</v>
      </c>
      <c r="BX17" s="182" t="s">
        <v>19</v>
      </c>
      <c r="BY17" s="17" t="s">
        <v>139</v>
      </c>
      <c r="BZ17" s="181" t="s">
        <v>17</v>
      </c>
      <c r="CA17" s="17" t="s">
        <v>15</v>
      </c>
      <c r="CB17" s="17" t="s">
        <v>16</v>
      </c>
      <c r="CC17" s="17" t="s">
        <v>17</v>
      </c>
      <c r="CD17" s="182" t="s">
        <v>19</v>
      </c>
      <c r="CE17" s="17" t="s">
        <v>139</v>
      </c>
      <c r="CF17" s="181" t="s">
        <v>17</v>
      </c>
      <c r="CG17" s="17" t="s">
        <v>15</v>
      </c>
      <c r="CH17" s="17" t="s">
        <v>16</v>
      </c>
      <c r="CI17" s="17" t="s">
        <v>17</v>
      </c>
      <c r="CJ17" s="182" t="s">
        <v>19</v>
      </c>
      <c r="CK17" s="17" t="s">
        <v>139</v>
      </c>
      <c r="CL17" s="181" t="s">
        <v>17</v>
      </c>
      <c r="CM17" s="17" t="s">
        <v>15</v>
      </c>
      <c r="CN17" s="17" t="s">
        <v>16</v>
      </c>
      <c r="CO17" s="17" t="s">
        <v>17</v>
      </c>
      <c r="CP17" s="182" t="s">
        <v>19</v>
      </c>
      <c r="CQ17" s="17" t="s">
        <v>139</v>
      </c>
      <c r="CR17" s="181" t="s">
        <v>15</v>
      </c>
      <c r="CS17" s="17" t="s">
        <v>15</v>
      </c>
      <c r="CT17" s="17" t="s">
        <v>16</v>
      </c>
      <c r="CU17" s="17" t="s">
        <v>17</v>
      </c>
      <c r="CV17" s="182" t="s">
        <v>19</v>
      </c>
      <c r="CW17" s="17" t="s">
        <v>139</v>
      </c>
      <c r="CX17" s="181" t="s">
        <v>15</v>
      </c>
      <c r="CY17" s="17" t="s">
        <v>15</v>
      </c>
      <c r="CZ17" s="17" t="s">
        <v>16</v>
      </c>
      <c r="DA17" s="17" t="s">
        <v>17</v>
      </c>
      <c r="DB17" s="182" t="s">
        <v>19</v>
      </c>
      <c r="DC17" s="17" t="s">
        <v>139</v>
      </c>
      <c r="DD17" s="181" t="s">
        <v>15</v>
      </c>
      <c r="DE17" s="17" t="s">
        <v>15</v>
      </c>
      <c r="DF17" s="17" t="s">
        <v>16</v>
      </c>
      <c r="DG17" s="17" t="s">
        <v>17</v>
      </c>
      <c r="DH17" s="182" t="s">
        <v>19</v>
      </c>
      <c r="DI17" s="17" t="s">
        <v>139</v>
      </c>
      <c r="DJ17" s="181" t="s">
        <v>15</v>
      </c>
      <c r="DK17" s="17" t="s">
        <v>15</v>
      </c>
      <c r="DL17" s="17" t="s">
        <v>16</v>
      </c>
      <c r="DM17" s="17" t="s">
        <v>17</v>
      </c>
      <c r="DN17" s="182" t="s">
        <v>19</v>
      </c>
      <c r="DO17" s="17" t="s">
        <v>139</v>
      </c>
      <c r="DP17" s="181" t="s">
        <v>15</v>
      </c>
      <c r="DQ17" s="17" t="s">
        <v>15</v>
      </c>
      <c r="DR17" s="17" t="s">
        <v>16</v>
      </c>
      <c r="DS17" s="17" t="s">
        <v>17</v>
      </c>
      <c r="DT17" s="182" t="s">
        <v>19</v>
      </c>
    </row>
    <row r="18" spans="2:124" x14ac:dyDescent="0.35">
      <c r="B18" s="183">
        <v>1</v>
      </c>
      <c r="C18" s="178" t="str">
        <f>VLOOKUP(B18,'Input Sheet'!C$9:E$126,2,FALSE)</f>
        <v>Methane (CH4)</v>
      </c>
      <c r="D18" s="14">
        <f>VLOOKUP(B18,'Input Sheet'!C$9:E$126,3,FALSE)</f>
        <v>16.04</v>
      </c>
      <c r="E18" s="338">
        <f>G18*100/E$7</f>
        <v>60.132784065912091</v>
      </c>
      <c r="F18" s="338">
        <f>HLOOKUP(F$17,G$17:J$24,+($B18+1),FALSE)</f>
        <v>3507.8946164589315</v>
      </c>
      <c r="G18" s="337">
        <f>I18*379.49/(60*$D18)</f>
        <v>1383.2199999999998</v>
      </c>
      <c r="H18" s="337">
        <f>(14.7*G18)*(460+E$5)/((460+60)*(E$4+14.7))</f>
        <v>260.0296066981951</v>
      </c>
      <c r="I18" s="337">
        <f>'Input Sheet'!H10</f>
        <v>3507.8946164589315</v>
      </c>
      <c r="J18" s="337">
        <f t="shared" ref="J18:J24" si="0">I18/$D18</f>
        <v>218.69667184906058</v>
      </c>
      <c r="K18" s="76">
        <f>M18*100/K$7</f>
        <v>60.13554994043934</v>
      </c>
      <c r="L18" s="76">
        <f t="shared" ref="L18:L24" si="1">HLOOKUP(L$17,M$17:P$24,+($B18+1),FALSE)</f>
        <v>3507.8946164589315</v>
      </c>
      <c r="M18" s="73">
        <f>O18*379.49/(60*$D18)</f>
        <v>1383.2199999999998</v>
      </c>
      <c r="N18" s="76">
        <f>(14.7*M18)*(460+K$5)/((460+60)*(K$4+14.7))</f>
        <v>266.72277546777542</v>
      </c>
      <c r="O18" s="73">
        <f>'Input Sheet'!V10</f>
        <v>3507.8946164589315</v>
      </c>
      <c r="P18" s="73">
        <f>O18/$D18</f>
        <v>218.69667184906058</v>
      </c>
      <c r="Q18" s="76">
        <f>S18*100/Q$7</f>
        <v>60.13554994043934</v>
      </c>
      <c r="R18" s="76">
        <f t="shared" ref="R18:R24" si="2">HLOOKUP(R$17,S$17:V$24,+($B18+1),FALSE)</f>
        <v>1383.2199999999998</v>
      </c>
      <c r="S18" s="73">
        <f>U18*379.49/(60*$D18)</f>
        <v>1383.2199999999998</v>
      </c>
      <c r="T18" s="73">
        <f>(14.7*S18)*(460+Q$5)/((460+60)*(Q$4+14.7))</f>
        <v>268.45025458349937</v>
      </c>
      <c r="U18" s="73">
        <f t="shared" ref="U18:U24" si="3">O18</f>
        <v>3507.8946164589315</v>
      </c>
      <c r="V18" s="73">
        <f>U18/$D18</f>
        <v>218.69667184906058</v>
      </c>
      <c r="W18" s="76">
        <f t="shared" ref="W18:W24" si="4">Y18*100/W$7</f>
        <v>56.51077684448169</v>
      </c>
      <c r="X18" s="76">
        <f t="shared" ref="X18:X24" si="5">HLOOKUP(X$17,Y$17:AB$24,+($B18+1),FALSE)</f>
        <v>2303.1169786604269</v>
      </c>
      <c r="Y18" s="73">
        <f t="shared" ref="Y18:Y24" si="6">AA18*379.49/(60*$D18)</f>
        <v>2303.1169786604269</v>
      </c>
      <c r="Z18" s="73">
        <f t="shared" ref="Z18:Z24" si="7">(14.7*Y18)*(460+W$5)/((460+60)*(W$4+14.7))</f>
        <v>466.15855232198027</v>
      </c>
      <c r="AA18" s="73">
        <f>U18+'Input Sheet'!R10</f>
        <v>5840.7857394471393</v>
      </c>
      <c r="AB18" s="73">
        <f t="shared" ref="AB18:AB24" si="8">AA18/$D18</f>
        <v>364.13876181091894</v>
      </c>
      <c r="AC18" s="76">
        <f t="shared" ref="AC18:AC24" si="9">AE18*100/AC$7</f>
        <v>56.51077684448169</v>
      </c>
      <c r="AD18" s="76">
        <f t="shared" ref="AD18:AD24" si="10">HLOOKUP(AD$17,AE$17:AH$24,+($B18+1),FALSE)</f>
        <v>2303.1169786604269</v>
      </c>
      <c r="AE18" s="73">
        <f t="shared" ref="AE18:AE24" si="11">AG18*379.49/(60*$D18)</f>
        <v>2303.1169786604269</v>
      </c>
      <c r="AF18" s="73">
        <f t="shared" ref="AF18:AF24" si="12">(14.7*AE18)*(460+AC$5)/((460+60)*(AC$4+14.7))</f>
        <v>213.78983920629261</v>
      </c>
      <c r="AG18" s="73">
        <f>AA18</f>
        <v>5840.7857394471393</v>
      </c>
      <c r="AH18" s="73">
        <f t="shared" ref="AH18:AH24" si="13">AG18/$D18</f>
        <v>364.13876181091894</v>
      </c>
      <c r="AI18" s="76">
        <f>AK18*100/AI$7</f>
        <v>56.51077684448169</v>
      </c>
      <c r="AJ18" s="76">
        <f t="shared" ref="AJ18:AJ24" si="14">HLOOKUP(AJ$17,AK$17:AN$24,+($B18+1),FALSE)</f>
        <v>2303.1169786604269</v>
      </c>
      <c r="AK18" s="73">
        <f t="shared" ref="AK18:AK24" si="15">AM18*379.49/(60*$D18)</f>
        <v>2303.1169786604269</v>
      </c>
      <c r="AL18" s="73">
        <f>(14.7*AK18)*(460+AI$5)/((460+60)*(AI$4+14.7))</f>
        <v>173.96487692831454</v>
      </c>
      <c r="AM18" s="73">
        <f>AG18</f>
        <v>5840.7857394471393</v>
      </c>
      <c r="AN18" s="73">
        <f>AM18/$D18</f>
        <v>364.13876181091894</v>
      </c>
      <c r="AO18" s="76">
        <f>AQ18*100/AO$7</f>
        <v>56.51077684448169</v>
      </c>
      <c r="AP18" s="76">
        <f t="shared" ref="AP18:AP24" si="16">HLOOKUP(AP$17,AQ$17:AT$24,+($B18+1),FALSE)</f>
        <v>2303.1169786604269</v>
      </c>
      <c r="AQ18" s="73">
        <f t="shared" ref="AQ18:AQ24" si="17">AS18*379.49/(60*$D18)</f>
        <v>2303.1169786604269</v>
      </c>
      <c r="AR18" s="73">
        <f>(14.7*AQ18)*(460+AO$5)/((460+60)*(AO$4+14.7))</f>
        <v>172.02787066928187</v>
      </c>
      <c r="AS18" s="73">
        <f>AM18</f>
        <v>5840.7857394471393</v>
      </c>
      <c r="AT18" s="73">
        <f>AS18/$D18</f>
        <v>364.13876181091894</v>
      </c>
      <c r="AU18" s="76">
        <f>AW18*100/AU$7</f>
        <v>56.536046700874365</v>
      </c>
      <c r="AV18" s="76">
        <f t="shared" ref="AV18:AV24" si="18">HLOOKUP(AV$17,AW$17:AZ$24,+($B18+1),FALSE)</f>
        <v>2303.1169786604269</v>
      </c>
      <c r="AW18" s="73">
        <f t="shared" ref="AW18:AW24" si="19">AY18*379.49/(60*$D18)</f>
        <v>2303.1169786604269</v>
      </c>
      <c r="AX18" s="73">
        <f>(14.7*AW18)*(460+AU$5)/((460+60)*(AU$4+14.7))</f>
        <v>153.77266263175517</v>
      </c>
      <c r="AY18" s="73">
        <f>AS18</f>
        <v>5840.7857394471393</v>
      </c>
      <c r="AZ18" s="73">
        <f>AY18/$D18</f>
        <v>364.13876181091894</v>
      </c>
      <c r="BA18" s="76">
        <f>BC18*100/BA$7</f>
        <v>56.536046700874365</v>
      </c>
      <c r="BB18" s="76">
        <f t="shared" ref="BB18:BB24" si="20">HLOOKUP(BB$17,BC$17:BF$24,+($B18+1),FALSE)</f>
        <v>2303.1169786604269</v>
      </c>
      <c r="BC18" s="73">
        <f t="shared" ref="BC18:BC24" si="21">BE18*379.49/(60*$D18)</f>
        <v>2303.1169786604269</v>
      </c>
      <c r="BD18" s="73">
        <f>(14.7*BC18)*(460+BA$5)/((460+60)*(BA$4+14.7))</f>
        <v>157.59253029295405</v>
      </c>
      <c r="BE18" s="73">
        <f>AY18</f>
        <v>5840.7857394471393</v>
      </c>
      <c r="BF18" s="73">
        <f>BE18/$D18</f>
        <v>364.13876181091894</v>
      </c>
      <c r="BG18" s="76">
        <f>BI18*100/BG$7</f>
        <v>56.536046700874365</v>
      </c>
      <c r="BH18" s="76">
        <f t="shared" ref="BH18:BH24" si="22">HLOOKUP(BH$17,BI$17:BL$24,+($B18+1),FALSE)</f>
        <v>2303.1169786604269</v>
      </c>
      <c r="BI18" s="73">
        <f t="shared" ref="BI18:BI24" si="23">BK18*379.49/(60*$D18)</f>
        <v>2303.1169786604269</v>
      </c>
      <c r="BJ18" s="73">
        <f>(14.7*BI18)*(460+BG$5)/((460+60)*(BG$4+14.7))</f>
        <v>158.34404450512838</v>
      </c>
      <c r="BK18" s="73">
        <f>BE18</f>
        <v>5840.7857394471393</v>
      </c>
      <c r="BL18" s="73">
        <f>BK18/$D18</f>
        <v>364.13876181091894</v>
      </c>
      <c r="BM18" s="76">
        <f t="shared" ref="BM18:BM24" si="24">BO18*100/BM$7</f>
        <v>1.5292926736707932</v>
      </c>
      <c r="BN18" s="76">
        <f t="shared" ref="BN18:BN24" si="25">HLOOKUP(BN$17,BO$17:BR$24,+($B18+1),FALSE)</f>
        <v>35.078946164589524</v>
      </c>
      <c r="BO18" s="73">
        <f t="shared" ref="BO18:BO24" si="26">BQ18*379.49/(60*$D18)</f>
        <v>13.832200000000082</v>
      </c>
      <c r="BP18" s="73">
        <f t="shared" ref="BP18:BP24" si="27">(14.7*BO18)*(460+BM$5)/((460+60)*(BM$4+14.7))</f>
        <v>12.702107226849657</v>
      </c>
      <c r="BQ18" s="184">
        <f t="shared" ref="BQ18:BQ24" si="28">BK18-CO18-BW18</f>
        <v>35.078946164589524</v>
      </c>
      <c r="BR18" s="73">
        <f t="shared" ref="BR18:BR24" si="29">BQ18/$D18</f>
        <v>2.186966718490619</v>
      </c>
      <c r="BS18" s="76">
        <f t="shared" ref="BS18:BS24" si="30">BU18*100/BS$7</f>
        <v>51.814507662187808</v>
      </c>
      <c r="BT18" s="76">
        <f t="shared" ref="BT18:BT24" si="31">HLOOKUP(BT$17,BU$17:BX$24,+($B18+1),FALSE)</f>
        <v>2332.8911229882078</v>
      </c>
      <c r="BU18" s="73">
        <f t="shared" ref="BU18:BU24" si="32">BW18*379.49/(60*$D18)</f>
        <v>919.89697866042707</v>
      </c>
      <c r="BV18" s="73">
        <f t="shared" ref="BV18:BV24" si="33">(14.7*BU18)*(460+BS$5)/((460+60)*(BS$4+14.7))</f>
        <v>813.46688971527453</v>
      </c>
      <c r="BW18" s="184">
        <f>'Input Sheet'!R10</f>
        <v>2332.8911229882078</v>
      </c>
      <c r="BX18" s="73">
        <f t="shared" ref="BX18:BX24" si="34">BW18/$D18</f>
        <v>145.44208996185836</v>
      </c>
      <c r="BY18" s="76">
        <f t="shared" ref="BY18:BY24" si="35">CA18*100/BY$7</f>
        <v>51.814507662187808</v>
      </c>
      <c r="BZ18" s="76">
        <f t="shared" ref="BZ18:BZ24" si="36">HLOOKUP(BZ$17,CA$17:CD$24,+($B18+1),FALSE)</f>
        <v>2332.8911229882078</v>
      </c>
      <c r="CA18" s="73">
        <f t="shared" ref="CA18:CA24" si="37">CC18*379.49/(60*$D18)</f>
        <v>919.89697866042707</v>
      </c>
      <c r="CB18" s="73">
        <f t="shared" ref="CB18:CB24" si="38">(14.7*CA18)*(460+BY$5)/((460+60)*(BY$4+14.7))</f>
        <v>231.66115158476202</v>
      </c>
      <c r="CC18" s="73">
        <f>BW18</f>
        <v>2332.8911229882078</v>
      </c>
      <c r="CD18" s="73">
        <f t="shared" ref="CD18:CD24" si="39">CC18/$D18</f>
        <v>145.44208996185836</v>
      </c>
      <c r="CE18" s="76">
        <f t="shared" ref="CE18:CE24" si="40">CG18*100/CE$7</f>
        <v>51.814507662187808</v>
      </c>
      <c r="CF18" s="76">
        <f t="shared" ref="CF18:CF24" si="41">HLOOKUP(CF$17,CG$17:CJ$24,+($B18+1),FALSE)</f>
        <v>2332.8911229882078</v>
      </c>
      <c r="CG18" s="73">
        <f t="shared" ref="CG18:CG24" si="42">CI18*379.49/(60*$D18)</f>
        <v>919.89697866042707</v>
      </c>
      <c r="CH18" s="73">
        <f t="shared" ref="CH18:CH24" si="43">(14.7*CG18)*(460+CE$5)/((460+60)*(CE$4+14.7))</f>
        <v>194.11547470693003</v>
      </c>
      <c r="CI18" s="73">
        <f>CC18</f>
        <v>2332.8911229882078</v>
      </c>
      <c r="CJ18" s="73">
        <f t="shared" ref="CJ18:CJ24" si="44">CI18/$D18</f>
        <v>145.44208996185836</v>
      </c>
      <c r="CK18" s="76">
        <f t="shared" ref="CK18:CK24" si="45">CM18*100/CK$7</f>
        <v>98.243929242641002</v>
      </c>
      <c r="CL18" s="76">
        <f t="shared" ref="CL18:CL24" si="46">HLOOKUP(CL$17,CM$17:CP$24,+($B18+1),FALSE)</f>
        <v>3472.815670294342</v>
      </c>
      <c r="CM18" s="73">
        <f t="shared" ref="CM18:CM24" si="47">CO18*379.49/(60*$D18)</f>
        <v>1369.3878</v>
      </c>
      <c r="CN18" s="73">
        <f t="shared" ref="CN18:CN24" si="48">(14.7*CM18)*(460+CK$5)/((460+60)*(CK$4+14.7))</f>
        <v>120.27137146469101</v>
      </c>
      <c r="CO18" s="184">
        <f>'Input Sheet'!M10</f>
        <v>3472.815670294342</v>
      </c>
      <c r="CP18" s="73">
        <f t="shared" ref="CP18:CP24" si="49">CO18/$D18</f>
        <v>216.50970513056996</v>
      </c>
      <c r="CQ18" s="76">
        <f>CS18*100/CQ$7</f>
        <v>98.243929242641002</v>
      </c>
      <c r="CR18" s="76">
        <f t="shared" ref="CR18:CR24" si="50">HLOOKUP(CR$17,CS$17:CV$24,+($B18+1),FALSE)</f>
        <v>1369.3878</v>
      </c>
      <c r="CS18" s="73">
        <f t="shared" ref="CS18:CS24" si="51">CU18*379.49/(60*$D18)</f>
        <v>1369.3878</v>
      </c>
      <c r="CT18" s="73">
        <f>(14.7*CS18)*(460+CQ$5)/((460+60)*(CQ$4+14.7))</f>
        <v>90.83002648455863</v>
      </c>
      <c r="CU18" s="73">
        <f t="shared" ref="CU18:CU24" si="52">CO18</f>
        <v>3472.815670294342</v>
      </c>
      <c r="CV18" s="73">
        <f>CU18/$D18</f>
        <v>216.50970513056996</v>
      </c>
      <c r="CW18" s="76">
        <f>CY18*100/CW$7</f>
        <v>98.243929242641002</v>
      </c>
      <c r="CX18" s="76">
        <f t="shared" ref="CX18:CX24" si="53">HLOOKUP(CX$17,CY$17:DB$24,+($B18+1),FALSE)</f>
        <v>1369.3878</v>
      </c>
      <c r="CY18" s="73">
        <f t="shared" ref="CY18:CY24" si="54">DA18*379.49/(60*$D18)</f>
        <v>1369.3878</v>
      </c>
      <c r="CZ18" s="73">
        <f>(14.7*CY18)*(460+CW$5)/((460+60)*(CW$4+14.7))</f>
        <v>78.189915763244528</v>
      </c>
      <c r="DA18" s="73">
        <f t="shared" ref="DA18:DA24" si="55">CU18</f>
        <v>3472.815670294342</v>
      </c>
      <c r="DB18" s="73">
        <f>DA18/$D18</f>
        <v>216.50970513056996</v>
      </c>
      <c r="DC18" s="76">
        <f>DE18*100/DC$7</f>
        <v>98.243929242641002</v>
      </c>
      <c r="DD18" s="76">
        <f t="shared" ref="DD18:DD24" si="56">HLOOKUP(DD$17,DE$17:DH$24,+($B18+1),FALSE)</f>
        <v>1369.3878</v>
      </c>
      <c r="DE18" s="73">
        <f t="shared" ref="DE18:DE24" si="57">DG18*379.49/(60*$D18)</f>
        <v>1369.3878</v>
      </c>
      <c r="DF18" s="73">
        <f>(14.7*DE18)*(460+DC$5)/((460+60)*(DC$4+14.7))</f>
        <v>76.540450839248024</v>
      </c>
      <c r="DG18" s="73">
        <f t="shared" ref="DG18:DG24" si="58">DA18</f>
        <v>3472.815670294342</v>
      </c>
      <c r="DH18" s="73">
        <f>DG18/$D18</f>
        <v>216.50970513056996</v>
      </c>
      <c r="DI18" s="76">
        <f>DK18*100/DI$7</f>
        <v>98.243929242641002</v>
      </c>
      <c r="DJ18" s="76">
        <f t="shared" ref="DJ18:DJ24" si="59">HLOOKUP(DJ$17,DK$17:DN$24,+($B18+1),FALSE)</f>
        <v>1369.3878</v>
      </c>
      <c r="DK18" s="73">
        <f t="shared" ref="DK18:DK24" si="60">DM18*379.49/(60*$D18)</f>
        <v>1369.3878</v>
      </c>
      <c r="DL18" s="73">
        <f>(14.7*DK18)*(460+DI$5)/((460+60)*(DI$4+14.7))</f>
        <v>76.814102790764821</v>
      </c>
      <c r="DM18" s="73">
        <f t="shared" ref="DM18:DM24" si="61">CU18</f>
        <v>3472.815670294342</v>
      </c>
      <c r="DN18" s="73">
        <f>DM18/$D18</f>
        <v>216.50970513056996</v>
      </c>
      <c r="DO18" s="427">
        <f>DQ18*100/DO$7</f>
        <v>0</v>
      </c>
      <c r="DP18" s="427">
        <f t="shared" ref="DP18:DP24" si="62">HLOOKUP(DP$17,DQ$17:DT$24,+($B18+1),FALSE)</f>
        <v>0</v>
      </c>
      <c r="DQ18" s="426">
        <f t="shared" ref="DQ18:DQ24" si="63">DS18*379.49/(60*$D18)</f>
        <v>0</v>
      </c>
      <c r="DR18" s="426">
        <f>(14.7*DQ18)*(460+DO$5)/((460+60)*(DO$4+14.7))</f>
        <v>0</v>
      </c>
      <c r="DS18" s="426">
        <v>0</v>
      </c>
      <c r="DT18" s="426">
        <f>DS18/$D18</f>
        <v>0</v>
      </c>
    </row>
    <row r="19" spans="2:124" x14ac:dyDescent="0.35">
      <c r="B19" s="183">
        <v>2</v>
      </c>
      <c r="C19" s="178" t="str">
        <f>VLOOKUP(B19,'Input Sheet'!C$9:E$126,2,FALSE)</f>
        <v>Carbon Dioxide (CO2)</v>
      </c>
      <c r="D19" s="14">
        <f>VLOOKUP(B19,'Input Sheet'!C$9:E$126,3,FALSE)</f>
        <v>44.01</v>
      </c>
      <c r="E19" s="338">
        <f t="shared" ref="E19:E24" si="64">G19*100/E$7</f>
        <v>38.335399752029765</v>
      </c>
      <c r="F19" s="338">
        <f t="shared" ref="F19:F24" si="65">HLOOKUP(F$17,G$17:J$24,+($B19+1),FALSE)</f>
        <v>6135.9558670847719</v>
      </c>
      <c r="G19" s="337">
        <f t="shared" ref="G19:G24" si="66">I19*379.49/(60*$D19)</f>
        <v>881.82</v>
      </c>
      <c r="H19" s="337">
        <f t="shared" ref="H19:H24" si="67">(14.7*G19)*(460+E$5)/((460+60)*(E$4+14.7))</f>
        <v>165.77211707364154</v>
      </c>
      <c r="I19" s="337">
        <f>'Input Sheet'!H11</f>
        <v>6135.9558670847719</v>
      </c>
      <c r="J19" s="337">
        <f t="shared" si="0"/>
        <v>139.42185564837018</v>
      </c>
      <c r="K19" s="76">
        <f t="shared" ref="K19:K24" si="68">M19*100/K$7</f>
        <v>38.337163031533834</v>
      </c>
      <c r="L19" s="76">
        <f t="shared" si="1"/>
        <v>6135.9558670847719</v>
      </c>
      <c r="M19" s="73">
        <f t="shared" ref="M19:M24" si="69">O19*379.49/(60*$D19)</f>
        <v>881.82</v>
      </c>
      <c r="N19" s="76">
        <f>(14.7*M19)*(460+K$5)/((460+60)*(K$4+14.7))</f>
        <v>170.03909563409564</v>
      </c>
      <c r="O19" s="73">
        <f>'Input Sheet'!V11</f>
        <v>6135.9558670847719</v>
      </c>
      <c r="P19" s="73">
        <f t="shared" ref="P19:P24" si="70">O19/$D19</f>
        <v>139.42185564837018</v>
      </c>
      <c r="Q19" s="76">
        <f t="shared" ref="Q19:Q24" si="71">S19*100/Q$7</f>
        <v>38.337163031533834</v>
      </c>
      <c r="R19" s="76">
        <f t="shared" si="2"/>
        <v>881.82</v>
      </c>
      <c r="S19" s="73">
        <f t="shared" ref="S19:S24" si="72">U19*379.49/(60*$D19)</f>
        <v>881.82</v>
      </c>
      <c r="T19" s="73">
        <f>(14.7*S19)*(460+Q$5)/((460+60)*(Q$4+14.7))</f>
        <v>171.14038511359107</v>
      </c>
      <c r="U19" s="73">
        <f t="shared" si="3"/>
        <v>6135.9558670847719</v>
      </c>
      <c r="V19" s="73">
        <f t="shared" ref="V19:V24" si="73">U19/$D19</f>
        <v>139.42185564837018</v>
      </c>
      <c r="W19" s="76">
        <f t="shared" si="4"/>
        <v>41.429169310472346</v>
      </c>
      <c r="X19" s="76">
        <f t="shared" si="5"/>
        <v>1688.4606543869127</v>
      </c>
      <c r="Y19" s="73">
        <f t="shared" si="6"/>
        <v>1688.4606543869127</v>
      </c>
      <c r="Z19" s="73">
        <f t="shared" si="7"/>
        <v>341.75006375899579</v>
      </c>
      <c r="AA19" s="73">
        <f>U19+'Input Sheet'!R11</f>
        <v>11748.792337015682</v>
      </c>
      <c r="AB19" s="73">
        <f t="shared" si="8"/>
        <v>266.9573355377342</v>
      </c>
      <c r="AC19" s="76">
        <f t="shared" si="9"/>
        <v>41.429169310472346</v>
      </c>
      <c r="AD19" s="76">
        <f t="shared" si="10"/>
        <v>1688.4606543869127</v>
      </c>
      <c r="AE19" s="73">
        <f t="shared" si="11"/>
        <v>1688.4606543869127</v>
      </c>
      <c r="AF19" s="73">
        <f t="shared" si="12"/>
        <v>156.73356375388528</v>
      </c>
      <c r="AG19" s="73">
        <f t="shared" ref="AG19:AG24" si="74">AA19</f>
        <v>11748.792337015682</v>
      </c>
      <c r="AH19" s="73">
        <f t="shared" si="13"/>
        <v>266.9573355377342</v>
      </c>
      <c r="AI19" s="76">
        <f t="shared" ref="AI19:AI24" si="75">AK19*100/AI$7</f>
        <v>41.429169310472346</v>
      </c>
      <c r="AJ19" s="76">
        <f>HLOOKUP(AJ$17,AK$17:AN$24,+($B19+1),FALSE)</f>
        <v>1688.4606543869127</v>
      </c>
      <c r="AK19" s="73">
        <f t="shared" si="15"/>
        <v>1688.4606543869127</v>
      </c>
      <c r="AL19" s="73">
        <f>(14.7*AK19)*(460+AI$5)/((460+60)*(AI$4+14.7))</f>
        <v>127.53709544947472</v>
      </c>
      <c r="AM19" s="268">
        <f t="shared" ref="AM19:AM24" si="76">AG19</f>
        <v>11748.792337015682</v>
      </c>
      <c r="AN19" s="73">
        <f t="shared" ref="AN19:AN24" si="77">AM19/$D19</f>
        <v>266.9573355377342</v>
      </c>
      <c r="AO19" s="76">
        <f t="shared" ref="AO19:AO24" si="78">AQ19*100/AO$7</f>
        <v>41.429169310472346</v>
      </c>
      <c r="AP19" s="76">
        <f t="shared" si="16"/>
        <v>1688.4606543869127</v>
      </c>
      <c r="AQ19" s="73">
        <f t="shared" si="17"/>
        <v>1688.4606543869127</v>
      </c>
      <c r="AR19" s="73">
        <f>(14.7*AQ19)*(460+AO$5)/((460+60)*(AO$4+14.7))</f>
        <v>126.11703781194207</v>
      </c>
      <c r="AS19" s="73">
        <f>AM19</f>
        <v>11748.792337015682</v>
      </c>
      <c r="AT19" s="73">
        <f t="shared" ref="AT19:AT24" si="79">AS19/$D19</f>
        <v>266.9573355377342</v>
      </c>
      <c r="AU19" s="76">
        <f t="shared" ref="AU19:AU24" si="80">AW19*100/AU$7</f>
        <v>41.447695142488854</v>
      </c>
      <c r="AV19" s="76">
        <f t="shared" si="18"/>
        <v>1688.4606543869127</v>
      </c>
      <c r="AW19" s="73">
        <f t="shared" si="19"/>
        <v>1688.4606543869127</v>
      </c>
      <c r="AX19" s="73">
        <f>(14.7*AW19)*(460+AU$5)/((460+60)*(AU$4+14.7))</f>
        <v>112.73378338127073</v>
      </c>
      <c r="AY19" s="73">
        <f t="shared" ref="AY19:AY24" si="81">AS19</f>
        <v>11748.792337015682</v>
      </c>
      <c r="AZ19" s="73">
        <f t="shared" ref="AZ19:AZ24" si="82">AY19/$D19</f>
        <v>266.9573355377342</v>
      </c>
      <c r="BA19" s="76">
        <f t="shared" ref="BA19:BA24" si="83">BC19*100/BA$7</f>
        <v>41.447695142488854</v>
      </c>
      <c r="BB19" s="76">
        <f t="shared" si="20"/>
        <v>1688.4606543869127</v>
      </c>
      <c r="BC19" s="73">
        <f t="shared" si="21"/>
        <v>1688.4606543869127</v>
      </c>
      <c r="BD19" s="73">
        <f>(14.7*BC19)*(460+BA$5)/((460+60)*(BA$4+14.7))</f>
        <v>115.53420398980217</v>
      </c>
      <c r="BE19" s="73">
        <f t="shared" ref="BE19:BE24" si="84">AY19</f>
        <v>11748.792337015682</v>
      </c>
      <c r="BF19" s="73">
        <f t="shared" ref="BF19:BF24" si="85">BE19/$D19</f>
        <v>266.9573355377342</v>
      </c>
      <c r="BG19" s="76">
        <f t="shared" ref="BG19:BG24" si="86">BI19*100/BG$7</f>
        <v>41.447695142488854</v>
      </c>
      <c r="BH19" s="76">
        <f t="shared" si="22"/>
        <v>1688.4606543869127</v>
      </c>
      <c r="BI19" s="73">
        <f t="shared" si="23"/>
        <v>1688.4606543869127</v>
      </c>
      <c r="BJ19" s="73">
        <f>(14.7*BI19)*(460+BG$5)/((460+60)*(BG$4+14.7))</f>
        <v>116.08515393729765</v>
      </c>
      <c r="BK19" s="73">
        <f t="shared" ref="BK19:BK24" si="87">BE19</f>
        <v>11748.792337015682</v>
      </c>
      <c r="BL19" s="73">
        <f t="shared" ref="BL19:BL24" si="88">BK19/$D19</f>
        <v>266.9573355377342</v>
      </c>
      <c r="BM19" s="76">
        <f t="shared" si="24"/>
        <v>97.263054326979784</v>
      </c>
      <c r="BN19" s="76">
        <f t="shared" si="25"/>
        <v>6121.4011110368501</v>
      </c>
      <c r="BO19" s="73">
        <f t="shared" si="26"/>
        <v>879.72828433968584</v>
      </c>
      <c r="BP19" s="73">
        <f t="shared" si="27"/>
        <v>807.85435420071337</v>
      </c>
      <c r="BQ19" s="184">
        <f t="shared" si="28"/>
        <v>6121.4011110368501</v>
      </c>
      <c r="BR19" s="73">
        <f t="shared" si="29"/>
        <v>139.09114090063281</v>
      </c>
      <c r="BS19" s="76">
        <f t="shared" si="30"/>
        <v>45.435183870509718</v>
      </c>
      <c r="BT19" s="76">
        <f t="shared" si="31"/>
        <v>5612.8364699309095</v>
      </c>
      <c r="BU19" s="73">
        <f t="shared" si="32"/>
        <v>806.64065438691239</v>
      </c>
      <c r="BV19" s="73">
        <f t="shared" si="33"/>
        <v>713.31407697147949</v>
      </c>
      <c r="BW19" s="184">
        <f>'Input Sheet'!R11</f>
        <v>5612.8364699309095</v>
      </c>
      <c r="BX19" s="73">
        <f t="shared" si="34"/>
        <v>127.535479889364</v>
      </c>
      <c r="BY19" s="76">
        <f t="shared" si="35"/>
        <v>45.435183870509718</v>
      </c>
      <c r="BZ19" s="76">
        <f t="shared" si="36"/>
        <v>5612.8364699309095</v>
      </c>
      <c r="CA19" s="73">
        <f t="shared" si="37"/>
        <v>806.64065438691239</v>
      </c>
      <c r="CB19" s="73">
        <f t="shared" si="38"/>
        <v>203.13938108860643</v>
      </c>
      <c r="CC19" s="73">
        <f t="shared" ref="CC19:CC24" si="89">BW19</f>
        <v>5612.8364699309095</v>
      </c>
      <c r="CD19" s="73">
        <f t="shared" si="39"/>
        <v>127.535479889364</v>
      </c>
      <c r="CE19" s="76">
        <f t="shared" si="40"/>
        <v>45.435183870509718</v>
      </c>
      <c r="CF19" s="76">
        <f t="shared" si="41"/>
        <v>5612.8364699309095</v>
      </c>
      <c r="CG19" s="73">
        <f t="shared" si="42"/>
        <v>806.64065438691239</v>
      </c>
      <c r="CH19" s="73">
        <f t="shared" si="43"/>
        <v>170.21627114401579</v>
      </c>
      <c r="CI19" s="73">
        <f t="shared" ref="CI19:CI24" si="90">CC19</f>
        <v>5612.8364699309095</v>
      </c>
      <c r="CJ19" s="73">
        <f t="shared" si="44"/>
        <v>127.535479889364</v>
      </c>
      <c r="CK19" s="76">
        <f t="shared" si="45"/>
        <v>0.15006586543830169</v>
      </c>
      <c r="CL19" s="76">
        <f t="shared" si="46"/>
        <v>14.554756047922748</v>
      </c>
      <c r="CM19" s="73">
        <f t="shared" si="47"/>
        <v>2.0917156603143998</v>
      </c>
      <c r="CN19" s="73">
        <f t="shared" si="48"/>
        <v>0.18371239409332013</v>
      </c>
      <c r="CO19" s="184">
        <f>'Input Sheet'!M11</f>
        <v>14.554756047922748</v>
      </c>
      <c r="CP19" s="73">
        <f t="shared" si="49"/>
        <v>0.3307147477373949</v>
      </c>
      <c r="CQ19" s="76">
        <f t="shared" ref="CQ19:CQ24" si="91">CS19*100/CQ$7</f>
        <v>0.15006586543830169</v>
      </c>
      <c r="CR19" s="76">
        <f t="shared" si="50"/>
        <v>2.0917156603143998</v>
      </c>
      <c r="CS19" s="73">
        <f t="shared" si="51"/>
        <v>2.0917156603143998</v>
      </c>
      <c r="CT19" s="73">
        <f>(14.7*CS19)*(460+CQ$5)/((460+60)*(CQ$4+14.7))</f>
        <v>0.13874126001744938</v>
      </c>
      <c r="CU19" s="73">
        <f t="shared" si="52"/>
        <v>14.554756047922748</v>
      </c>
      <c r="CV19" s="73">
        <f t="shared" ref="CV19:CV24" si="92">CU19/$D19</f>
        <v>0.3307147477373949</v>
      </c>
      <c r="CW19" s="76">
        <f t="shared" ref="CW19:CW24" si="93">CY19*100/CW$7</f>
        <v>0.15006586543830169</v>
      </c>
      <c r="CX19" s="76">
        <f t="shared" si="53"/>
        <v>2.0917156603143998</v>
      </c>
      <c r="CY19" s="73">
        <f t="shared" si="54"/>
        <v>2.0917156603143998</v>
      </c>
      <c r="CZ19" s="73">
        <f>(14.7*CY19)*(460+CW$5)/((460+60)*(CW$4+14.7))</f>
        <v>0.11943371430696427</v>
      </c>
      <c r="DA19" s="73">
        <f t="shared" si="55"/>
        <v>14.554756047922748</v>
      </c>
      <c r="DB19" s="73">
        <f t="shared" ref="DB19:DB24" si="94">DA19/$D19</f>
        <v>0.3307147477373949</v>
      </c>
      <c r="DC19" s="76">
        <f t="shared" ref="DC19:DC24" si="95">DE19*100/DC$7</f>
        <v>0.15006586543830169</v>
      </c>
      <c r="DD19" s="76">
        <f t="shared" si="56"/>
        <v>2.0917156603143998</v>
      </c>
      <c r="DE19" s="73">
        <f t="shared" si="57"/>
        <v>2.0917156603143998</v>
      </c>
      <c r="DF19" s="73">
        <f>(14.7*DE19)*(460+DC$5)/((460+60)*(DC$4+14.7))</f>
        <v>0.11691418579016079</v>
      </c>
      <c r="DG19" s="73">
        <f t="shared" si="58"/>
        <v>14.554756047922748</v>
      </c>
      <c r="DH19" s="73">
        <f t="shared" ref="DH19:DH24" si="96">DG19/$D19</f>
        <v>0.3307147477373949</v>
      </c>
      <c r="DI19" s="76">
        <f t="shared" ref="DI19:DI24" si="97">DK19*100/DI$7</f>
        <v>0.15006586543830169</v>
      </c>
      <c r="DJ19" s="76">
        <f t="shared" si="59"/>
        <v>2.0917156603143998</v>
      </c>
      <c r="DK19" s="73">
        <f t="shared" si="60"/>
        <v>2.0917156603143998</v>
      </c>
      <c r="DL19" s="73">
        <f>(14.7*DK19)*(460+DI$5)/((460+60)*(DI$4+14.7))</f>
        <v>0.11733218430925324</v>
      </c>
      <c r="DM19" s="73">
        <f t="shared" si="61"/>
        <v>14.554756047922748</v>
      </c>
      <c r="DN19" s="73">
        <f t="shared" ref="DN19:DN24" si="98">DM19/$D19</f>
        <v>0.3307147477373949</v>
      </c>
      <c r="DO19" s="427">
        <f t="shared" ref="DO19:DO24" si="99">DQ19*100/DO$7</f>
        <v>0</v>
      </c>
      <c r="DP19" s="427">
        <f t="shared" si="62"/>
        <v>0</v>
      </c>
      <c r="DQ19" s="426">
        <f t="shared" si="63"/>
        <v>0</v>
      </c>
      <c r="DR19" s="426">
        <f>(14.7*DQ19)*(460+DO$5)/((460+60)*(DO$4+14.7))</f>
        <v>0</v>
      </c>
      <c r="DS19" s="426">
        <v>0</v>
      </c>
      <c r="DT19" s="426">
        <f t="shared" ref="DT19:DT24" si="100">DS19/$D19</f>
        <v>0</v>
      </c>
    </row>
    <row r="20" spans="2:124" x14ac:dyDescent="0.35">
      <c r="B20" s="183">
        <v>3</v>
      </c>
      <c r="C20" s="178" t="str">
        <f>VLOOKUP(B20,'Input Sheet'!C$9:E$126,2,FALSE)</f>
        <v>Nitrogen (N2)</v>
      </c>
      <c r="D20" s="14">
        <f>VLOOKUP(B20,'Input Sheet'!C$9:E$126,3,FALSE)</f>
        <v>28.013999999999999</v>
      </c>
      <c r="E20" s="338">
        <f t="shared" si="64"/>
        <v>0.93988721353437588</v>
      </c>
      <c r="F20" s="338">
        <f t="shared" si="65"/>
        <v>95.759468760705147</v>
      </c>
      <c r="G20" s="337">
        <f t="shared" si="66"/>
        <v>21.619999999999997</v>
      </c>
      <c r="H20" s="337">
        <f t="shared" si="67"/>
        <v>4.064313772801853</v>
      </c>
      <c r="I20" s="337">
        <f>'Input Sheet'!H12</f>
        <v>95.759468760705147</v>
      </c>
      <c r="J20" s="337">
        <f t="shared" si="0"/>
        <v>3.4182718912224299</v>
      </c>
      <c r="K20" s="76">
        <f t="shared" si="68"/>
        <v>0.93993044469592579</v>
      </c>
      <c r="L20" s="76">
        <f t="shared" si="1"/>
        <v>95.759468760705147</v>
      </c>
      <c r="M20" s="73">
        <f t="shared" si="69"/>
        <v>21.619999999999997</v>
      </c>
      <c r="N20" s="76">
        <f t="shared" ref="N20:N24" si="101">(14.7*M20)*(460+K$5)/((460+60)*(K$4+14.7))</f>
        <v>4.1689293139293131</v>
      </c>
      <c r="O20" s="73">
        <f>'Input Sheet'!V12</f>
        <v>95.759468760705147</v>
      </c>
      <c r="P20" s="73">
        <f t="shared" si="70"/>
        <v>3.4182718912224299</v>
      </c>
      <c r="Q20" s="76">
        <f t="shared" si="71"/>
        <v>0.93993044469592579</v>
      </c>
      <c r="R20" s="76">
        <f t="shared" si="2"/>
        <v>21.619999999999997</v>
      </c>
      <c r="S20" s="73">
        <f t="shared" si="72"/>
        <v>21.619999999999997</v>
      </c>
      <c r="T20" s="185">
        <f t="shared" ref="T20:T24" si="102">(14.7*S20)*(460+Q$5)/((460+60)*(Q$4+14.7))</f>
        <v>4.1959301514547622</v>
      </c>
      <c r="U20" s="73">
        <f t="shared" si="3"/>
        <v>95.759468760705147</v>
      </c>
      <c r="V20" s="73">
        <f t="shared" si="73"/>
        <v>3.4182718912224299</v>
      </c>
      <c r="W20" s="76">
        <f t="shared" si="4"/>
        <v>1.0618766924323708</v>
      </c>
      <c r="X20" s="76">
        <f t="shared" si="5"/>
        <v>43.277165456690874</v>
      </c>
      <c r="Y20" s="73">
        <f t="shared" si="6"/>
        <v>43.277165456690874</v>
      </c>
      <c r="Z20" s="185">
        <f t="shared" si="7"/>
        <v>8.759442522812602</v>
      </c>
      <c r="AA20" s="73">
        <f>U20+'Input Sheet'!R12</f>
        <v>191.68355104541433</v>
      </c>
      <c r="AB20" s="73">
        <f t="shared" si="8"/>
        <v>6.8424198988153897</v>
      </c>
      <c r="AC20" s="76">
        <f t="shared" si="9"/>
        <v>1.0618766924323708</v>
      </c>
      <c r="AD20" s="76">
        <f t="shared" si="10"/>
        <v>43.277165456690874</v>
      </c>
      <c r="AE20" s="73">
        <f t="shared" si="11"/>
        <v>43.277165456690874</v>
      </c>
      <c r="AF20" s="185">
        <f t="shared" si="12"/>
        <v>4.017259361993621</v>
      </c>
      <c r="AG20" s="73">
        <f t="shared" si="74"/>
        <v>191.68355104541433</v>
      </c>
      <c r="AH20" s="73">
        <f t="shared" si="13"/>
        <v>6.8424198988153897</v>
      </c>
      <c r="AI20" s="76">
        <f t="shared" si="75"/>
        <v>1.0618766924323708</v>
      </c>
      <c r="AJ20" s="76">
        <f t="shared" si="14"/>
        <v>43.277165456690874</v>
      </c>
      <c r="AK20" s="73">
        <f t="shared" si="15"/>
        <v>43.277165456690874</v>
      </c>
      <c r="AL20" s="185">
        <f t="shared" ref="AL20:AL24" si="103">(14.7*AK20)*(460+AI$5)/((460+60)*(AI$4+14.7))</f>
        <v>3.268920698443416</v>
      </c>
      <c r="AM20" s="268">
        <f t="shared" si="76"/>
        <v>191.68355104541433</v>
      </c>
      <c r="AN20" s="73">
        <f t="shared" si="77"/>
        <v>6.8424198988153897</v>
      </c>
      <c r="AO20" s="76">
        <f t="shared" si="78"/>
        <v>1.0618766924323708</v>
      </c>
      <c r="AP20" s="76">
        <f t="shared" si="16"/>
        <v>43.277165456690874</v>
      </c>
      <c r="AQ20" s="73">
        <f t="shared" si="17"/>
        <v>43.277165456690874</v>
      </c>
      <c r="AR20" s="185">
        <f t="shared" ref="AR20:AR24" si="104">(14.7*AQ20)*(460+AO$5)/((460+60)*(AO$4+14.7))</f>
        <v>3.2325230073406561</v>
      </c>
      <c r="AS20" s="73">
        <f t="shared" ref="AS20:AS24" si="105">AM20</f>
        <v>191.68355104541433</v>
      </c>
      <c r="AT20" s="73">
        <f t="shared" si="79"/>
        <v>6.8424198988153897</v>
      </c>
      <c r="AU20" s="76">
        <f t="shared" si="80"/>
        <v>1.062351530561005</v>
      </c>
      <c r="AV20" s="76">
        <f t="shared" si="18"/>
        <v>43.277165456690874</v>
      </c>
      <c r="AW20" s="73">
        <f t="shared" si="19"/>
        <v>43.277165456690874</v>
      </c>
      <c r="AX20" s="185">
        <f t="shared" ref="AX20:AX24" si="106">(14.7*AW20)*(460+AU$5)/((460+60)*(AU$4+14.7))</f>
        <v>2.8894949866163828</v>
      </c>
      <c r="AY20" s="73">
        <f t="shared" si="81"/>
        <v>191.68355104541433</v>
      </c>
      <c r="AZ20" s="73">
        <f t="shared" si="82"/>
        <v>6.8424198988153897</v>
      </c>
      <c r="BA20" s="76">
        <f t="shared" si="83"/>
        <v>1.062351530561005</v>
      </c>
      <c r="BB20" s="76">
        <f t="shared" si="20"/>
        <v>43.277165456690874</v>
      </c>
      <c r="BC20" s="73">
        <f t="shared" si="21"/>
        <v>43.277165456690874</v>
      </c>
      <c r="BD20" s="185">
        <f t="shared" ref="BD20:BD24" si="107">(14.7*BC20)*(460+BA$5)/((460+60)*(BA$4+14.7))</f>
        <v>2.9612729494068439</v>
      </c>
      <c r="BE20" s="73">
        <f t="shared" si="84"/>
        <v>191.68355104541433</v>
      </c>
      <c r="BF20" s="73">
        <f t="shared" si="85"/>
        <v>6.8424198988153897</v>
      </c>
      <c r="BG20" s="76">
        <f t="shared" si="86"/>
        <v>1.062351530561005</v>
      </c>
      <c r="BH20" s="76">
        <f t="shared" si="22"/>
        <v>43.277165456690874</v>
      </c>
      <c r="BI20" s="73">
        <f t="shared" si="23"/>
        <v>43.277165456690874</v>
      </c>
      <c r="BJ20" s="185">
        <f t="shared" ref="BJ20:BJ24" si="108">(14.7*BI20)*(460+BG$5)/((460+60)*(BG$4+14.7))</f>
        <v>2.9753944226991988</v>
      </c>
      <c r="BK20" s="73">
        <f t="shared" si="87"/>
        <v>191.68355104541433</v>
      </c>
      <c r="BL20" s="73">
        <f t="shared" si="88"/>
        <v>6.8424198988153897</v>
      </c>
      <c r="BM20" s="76">
        <f t="shared" si="24"/>
        <v>9.3123987497616037E-2</v>
      </c>
      <c r="BN20" s="76">
        <f t="shared" si="25"/>
        <v>3.7306821924257179</v>
      </c>
      <c r="BO20" s="73">
        <f t="shared" si="26"/>
        <v>0.84229110754363046</v>
      </c>
      <c r="BP20" s="185">
        <f t="shared" si="27"/>
        <v>0.77347580025166551</v>
      </c>
      <c r="BQ20" s="184">
        <f t="shared" si="28"/>
        <v>3.7306821924257179</v>
      </c>
      <c r="BR20" s="73">
        <f t="shared" si="29"/>
        <v>0.13317206369764112</v>
      </c>
      <c r="BS20" s="76">
        <f t="shared" si="30"/>
        <v>1.2198706937064672</v>
      </c>
      <c r="BT20" s="76">
        <f t="shared" si="31"/>
        <v>95.924082284709172</v>
      </c>
      <c r="BU20" s="73">
        <f t="shared" si="32"/>
        <v>21.657165456690873</v>
      </c>
      <c r="BV20" s="185">
        <f t="shared" si="33"/>
        <v>19.151478298970186</v>
      </c>
      <c r="BW20" s="184">
        <f>'Input Sheet'!R12</f>
        <v>95.924082284709172</v>
      </c>
      <c r="BX20" s="73">
        <f t="shared" si="34"/>
        <v>3.4241480075929598</v>
      </c>
      <c r="BY20" s="76">
        <f t="shared" si="35"/>
        <v>1.2198706937064672</v>
      </c>
      <c r="BZ20" s="76">
        <f t="shared" si="36"/>
        <v>95.924082284709172</v>
      </c>
      <c r="CA20" s="73">
        <f t="shared" si="37"/>
        <v>21.657165456690873</v>
      </c>
      <c r="CB20" s="185">
        <f t="shared" si="38"/>
        <v>5.454006270424733</v>
      </c>
      <c r="CC20" s="73">
        <f t="shared" si="89"/>
        <v>95.924082284709172</v>
      </c>
      <c r="CD20" s="73">
        <f t="shared" si="39"/>
        <v>3.4241480075929598</v>
      </c>
      <c r="CE20" s="76">
        <f t="shared" si="40"/>
        <v>1.2198706937064672</v>
      </c>
      <c r="CF20" s="76">
        <f t="shared" si="41"/>
        <v>95.924082284709172</v>
      </c>
      <c r="CG20" s="73">
        <f t="shared" si="42"/>
        <v>21.657165456690873</v>
      </c>
      <c r="CH20" s="185">
        <f t="shared" si="43"/>
        <v>4.5700671389898622</v>
      </c>
      <c r="CI20" s="73">
        <f t="shared" si="90"/>
        <v>95.924082284709172</v>
      </c>
      <c r="CJ20" s="73">
        <f t="shared" si="44"/>
        <v>3.4241480075929598</v>
      </c>
      <c r="CK20" s="76">
        <f t="shared" si="45"/>
        <v>1.4906542633537971</v>
      </c>
      <c r="CL20" s="76">
        <f t="shared" si="46"/>
        <v>92.028786568279443</v>
      </c>
      <c r="CM20" s="73">
        <f t="shared" si="47"/>
        <v>20.777708892456374</v>
      </c>
      <c r="CN20" s="185">
        <f t="shared" si="48"/>
        <v>1.8248764479936472</v>
      </c>
      <c r="CO20" s="184">
        <f>'Input Sheet'!M12</f>
        <v>92.028786568279443</v>
      </c>
      <c r="CP20" s="73">
        <f t="shared" si="49"/>
        <v>3.2850998275247894</v>
      </c>
      <c r="CQ20" s="76">
        <f t="shared" si="91"/>
        <v>1.4906542633537971</v>
      </c>
      <c r="CR20" s="76">
        <f t="shared" si="50"/>
        <v>20.777708892456374</v>
      </c>
      <c r="CS20" s="73">
        <f t="shared" si="51"/>
        <v>20.777708892456374</v>
      </c>
      <c r="CT20" s="185">
        <f t="shared" ref="CT20:CT24" si="109">(14.7*CS20)*(460+CQ$5)/((460+60)*(CQ$4+14.7))</f>
        <v>1.3781631828399976</v>
      </c>
      <c r="CU20" s="73">
        <f t="shared" si="52"/>
        <v>92.028786568279443</v>
      </c>
      <c r="CV20" s="73">
        <f t="shared" si="92"/>
        <v>3.2850998275247894</v>
      </c>
      <c r="CW20" s="76">
        <f t="shared" si="93"/>
        <v>1.4906542633537971</v>
      </c>
      <c r="CX20" s="76">
        <f t="shared" si="53"/>
        <v>20.777708892456374</v>
      </c>
      <c r="CY20" s="73">
        <f t="shared" si="54"/>
        <v>20.777708892456374</v>
      </c>
      <c r="CZ20" s="185">
        <f t="shared" ref="CZ20:CZ24" si="110">(14.7*CY20)*(460+CW$5)/((460+60)*(CW$4+14.7))</f>
        <v>1.1863748954491788</v>
      </c>
      <c r="DA20" s="73">
        <f t="shared" si="55"/>
        <v>92.028786568279443</v>
      </c>
      <c r="DB20" s="73">
        <f t="shared" si="94"/>
        <v>3.2850998275247894</v>
      </c>
      <c r="DC20" s="76">
        <f t="shared" si="95"/>
        <v>1.4906542633537971</v>
      </c>
      <c r="DD20" s="76">
        <f t="shared" si="56"/>
        <v>20.777708892456374</v>
      </c>
      <c r="DE20" s="73">
        <f t="shared" si="57"/>
        <v>20.777708892456374</v>
      </c>
      <c r="DF20" s="185">
        <f t="shared" ref="DF20:DF24" si="111">(14.7*DE20)*(460+DC$5)/((460+60)*(DC$4+14.7))</f>
        <v>1.1613475788489309</v>
      </c>
      <c r="DG20" s="73">
        <f t="shared" si="58"/>
        <v>92.028786568279443</v>
      </c>
      <c r="DH20" s="73">
        <f t="shared" si="96"/>
        <v>3.2850998275247894</v>
      </c>
      <c r="DI20" s="76">
        <f t="shared" si="97"/>
        <v>1.4906542633537971</v>
      </c>
      <c r="DJ20" s="76">
        <f t="shared" si="59"/>
        <v>20.777708892456374</v>
      </c>
      <c r="DK20" s="73">
        <f t="shared" si="60"/>
        <v>20.777708892456374</v>
      </c>
      <c r="DL20" s="185">
        <f t="shared" ref="DL20:DL24" si="112">(14.7*DK20)*(460+DI$5)/((460+60)*(DI$4+14.7))</f>
        <v>1.1654996974719158</v>
      </c>
      <c r="DM20" s="73">
        <f t="shared" si="61"/>
        <v>92.028786568279443</v>
      </c>
      <c r="DN20" s="73">
        <f t="shared" si="98"/>
        <v>3.2850998275247894</v>
      </c>
      <c r="DO20" s="427">
        <f t="shared" si="99"/>
        <v>0</v>
      </c>
      <c r="DP20" s="427">
        <f t="shared" si="62"/>
        <v>0</v>
      </c>
      <c r="DQ20" s="426">
        <f t="shared" si="63"/>
        <v>0</v>
      </c>
      <c r="DR20" s="428">
        <f t="shared" ref="DR20:DR24" si="113">(14.7*DQ20)*(460+DO$5)/((460+60)*(DO$4+14.7))</f>
        <v>0</v>
      </c>
      <c r="DS20" s="426">
        <v>0</v>
      </c>
      <c r="DT20" s="426">
        <f t="shared" si="100"/>
        <v>0</v>
      </c>
    </row>
    <row r="21" spans="2:124" x14ac:dyDescent="0.35">
      <c r="B21" s="183">
        <v>4</v>
      </c>
      <c r="C21" s="178" t="str">
        <f>VLOOKUP(B21,'Input Sheet'!C$9:E$126,2,FALSE)</f>
        <v>Oxygen (O2)</v>
      </c>
      <c r="D21" s="14">
        <f>VLOOKUP(B21,'Input Sheet'!C$9:E$126,3,FALSE)</f>
        <v>32</v>
      </c>
      <c r="E21" s="338">
        <f t="shared" si="64"/>
        <v>0.45994480662320536</v>
      </c>
      <c r="F21" s="338">
        <f t="shared" si="65"/>
        <v>53.528683232759754</v>
      </c>
      <c r="G21" s="337">
        <f t="shared" si="66"/>
        <v>10.58</v>
      </c>
      <c r="H21" s="337">
        <f t="shared" si="67"/>
        <v>1.9889195058392044</v>
      </c>
      <c r="I21" s="337">
        <f>'Input Sheet'!H13</f>
        <v>53.528683232759754</v>
      </c>
      <c r="J21" s="337">
        <f t="shared" si="0"/>
        <v>1.6727713510237423</v>
      </c>
      <c r="K21" s="76">
        <f t="shared" si="68"/>
        <v>0.45996596229800635</v>
      </c>
      <c r="L21" s="76">
        <f t="shared" si="1"/>
        <v>53.528683232759754</v>
      </c>
      <c r="M21" s="73">
        <f t="shared" si="69"/>
        <v>10.58</v>
      </c>
      <c r="N21" s="76">
        <f t="shared" si="101"/>
        <v>2.0401143451143446</v>
      </c>
      <c r="O21" s="73">
        <f>'Input Sheet'!V13</f>
        <v>53.528683232759754</v>
      </c>
      <c r="P21" s="73">
        <f t="shared" si="70"/>
        <v>1.6727713510237423</v>
      </c>
      <c r="Q21" s="76">
        <f t="shared" si="71"/>
        <v>0.45996596229800635</v>
      </c>
      <c r="R21" s="76">
        <f t="shared" si="2"/>
        <v>10.58</v>
      </c>
      <c r="S21" s="73">
        <f t="shared" si="72"/>
        <v>10.58</v>
      </c>
      <c r="T21" s="185">
        <f t="shared" si="102"/>
        <v>2.0533275209246709</v>
      </c>
      <c r="U21" s="73">
        <f>O21</f>
        <v>53.528683232759754</v>
      </c>
      <c r="V21" s="73">
        <f t="shared" si="73"/>
        <v>1.6727713510237423</v>
      </c>
      <c r="W21" s="76">
        <f t="shared" si="4"/>
        <v>0.8955286530379728</v>
      </c>
      <c r="X21" s="76">
        <f t="shared" si="5"/>
        <v>36.49759144817105</v>
      </c>
      <c r="Y21" s="73">
        <f t="shared" si="6"/>
        <v>36.49759144817105</v>
      </c>
      <c r="Z21" s="185">
        <f t="shared" si="7"/>
        <v>7.3872341484861286</v>
      </c>
      <c r="AA21" s="73">
        <f>U21+'Input Sheet'!R13</f>
        <v>184.65671185140164</v>
      </c>
      <c r="AB21" s="73">
        <f t="shared" si="8"/>
        <v>5.7705222453563012</v>
      </c>
      <c r="AC21" s="76">
        <f t="shared" si="9"/>
        <v>0.8955286530379728</v>
      </c>
      <c r="AD21" s="76">
        <f t="shared" si="10"/>
        <v>36.49759144817105</v>
      </c>
      <c r="AE21" s="73">
        <f t="shared" si="11"/>
        <v>36.49759144817105</v>
      </c>
      <c r="AF21" s="185">
        <f t="shared" si="12"/>
        <v>3.3879365570305668</v>
      </c>
      <c r="AG21" s="73">
        <f t="shared" si="74"/>
        <v>184.65671185140164</v>
      </c>
      <c r="AH21" s="73">
        <f t="shared" si="13"/>
        <v>5.7705222453563012</v>
      </c>
      <c r="AI21" s="76">
        <f t="shared" si="75"/>
        <v>0.8955286530379728</v>
      </c>
      <c r="AJ21" s="76">
        <f t="shared" si="14"/>
        <v>36.49759144817105</v>
      </c>
      <c r="AK21" s="73">
        <f t="shared" si="15"/>
        <v>36.49759144817105</v>
      </c>
      <c r="AL21" s="185">
        <f t="shared" si="103"/>
        <v>2.7568287079165015</v>
      </c>
      <c r="AM21" s="268">
        <f t="shared" si="76"/>
        <v>184.65671185140164</v>
      </c>
      <c r="AN21" s="73">
        <f t="shared" si="77"/>
        <v>5.7705222453563012</v>
      </c>
      <c r="AO21" s="76">
        <f t="shared" si="78"/>
        <v>0.8955286530379728</v>
      </c>
      <c r="AP21" s="76">
        <f t="shared" si="16"/>
        <v>36.49759144817105</v>
      </c>
      <c r="AQ21" s="73">
        <f t="shared" si="17"/>
        <v>36.49759144817105</v>
      </c>
      <c r="AR21" s="185">
        <f t="shared" si="104"/>
        <v>2.7261328884119949</v>
      </c>
      <c r="AS21" s="73">
        <f t="shared" si="105"/>
        <v>184.65671185140164</v>
      </c>
      <c r="AT21" s="73">
        <f t="shared" si="79"/>
        <v>5.7705222453563012</v>
      </c>
      <c r="AU21" s="76">
        <f t="shared" si="80"/>
        <v>0.89592910551308336</v>
      </c>
      <c r="AV21" s="76">
        <f t="shared" si="18"/>
        <v>36.49759144817105</v>
      </c>
      <c r="AW21" s="73">
        <f t="shared" si="19"/>
        <v>36.49759144817105</v>
      </c>
      <c r="AX21" s="185">
        <f t="shared" si="106"/>
        <v>2.4368418402679515</v>
      </c>
      <c r="AY21" s="73">
        <f t="shared" si="81"/>
        <v>184.65671185140164</v>
      </c>
      <c r="AZ21" s="73">
        <f t="shared" si="82"/>
        <v>5.7705222453563012</v>
      </c>
      <c r="BA21" s="76">
        <f t="shared" si="83"/>
        <v>0.89592910551308336</v>
      </c>
      <c r="BB21" s="76">
        <f t="shared" si="20"/>
        <v>36.49759144817105</v>
      </c>
      <c r="BC21" s="73">
        <f t="shared" si="21"/>
        <v>36.49759144817105</v>
      </c>
      <c r="BD21" s="185">
        <f t="shared" si="107"/>
        <v>2.4973754434571425</v>
      </c>
      <c r="BE21" s="73">
        <f t="shared" si="84"/>
        <v>184.65671185140164</v>
      </c>
      <c r="BF21" s="73">
        <f t="shared" si="85"/>
        <v>5.7705222453563012</v>
      </c>
      <c r="BG21" s="76">
        <f t="shared" si="86"/>
        <v>0.89592910551308336</v>
      </c>
      <c r="BH21" s="76">
        <f t="shared" si="22"/>
        <v>36.49759144817105</v>
      </c>
      <c r="BI21" s="73">
        <f t="shared" si="23"/>
        <v>36.49759144817105</v>
      </c>
      <c r="BJ21" s="185">
        <f t="shared" si="108"/>
        <v>2.5092847207268476</v>
      </c>
      <c r="BK21" s="73">
        <f t="shared" si="87"/>
        <v>184.65671185140164</v>
      </c>
      <c r="BL21" s="73">
        <f t="shared" si="88"/>
        <v>5.7705222453563012</v>
      </c>
      <c r="BM21" s="76">
        <f t="shared" si="24"/>
        <v>1.0155544934492986</v>
      </c>
      <c r="BN21" s="76">
        <f t="shared" si="25"/>
        <v>46.473435281028657</v>
      </c>
      <c r="BO21" s="73">
        <f t="shared" si="26"/>
        <v>9.185522893123732</v>
      </c>
      <c r="BP21" s="185">
        <f t="shared" si="27"/>
        <v>8.4350643226051716</v>
      </c>
      <c r="BQ21" s="184">
        <f t="shared" si="28"/>
        <v>46.473435281028657</v>
      </c>
      <c r="BR21" s="73">
        <f t="shared" si="29"/>
        <v>1.4522948525321455</v>
      </c>
      <c r="BS21" s="76">
        <f t="shared" si="30"/>
        <v>1.4598452564028215</v>
      </c>
      <c r="BT21" s="76">
        <f t="shared" si="31"/>
        <v>131.12802861864188</v>
      </c>
      <c r="BU21" s="73">
        <f t="shared" si="32"/>
        <v>25.917591448171045</v>
      </c>
      <c r="BV21" s="185">
        <f t="shared" si="33"/>
        <v>22.918982226636448</v>
      </c>
      <c r="BW21" s="184">
        <f>'Input Sheet'!R13</f>
        <v>131.12802861864188</v>
      </c>
      <c r="BX21" s="73">
        <f t="shared" si="34"/>
        <v>4.0977508943325587</v>
      </c>
      <c r="BY21" s="76">
        <f t="shared" si="35"/>
        <v>1.4598452564028215</v>
      </c>
      <c r="BZ21" s="76">
        <f t="shared" si="36"/>
        <v>131.12802861864188</v>
      </c>
      <c r="CA21" s="73">
        <f t="shared" si="37"/>
        <v>25.917591448171045</v>
      </c>
      <c r="CB21" s="185">
        <f t="shared" si="38"/>
        <v>6.5269255367377959</v>
      </c>
      <c r="CC21" s="73">
        <f t="shared" si="89"/>
        <v>131.12802861864188</v>
      </c>
      <c r="CD21" s="73">
        <f t="shared" si="39"/>
        <v>4.0977508943325587</v>
      </c>
      <c r="CE21" s="76">
        <f t="shared" si="40"/>
        <v>1.4598452564028215</v>
      </c>
      <c r="CF21" s="76">
        <f t="shared" si="41"/>
        <v>131.12802861864188</v>
      </c>
      <c r="CG21" s="73">
        <f t="shared" si="42"/>
        <v>25.917591448171045</v>
      </c>
      <c r="CH21" s="185">
        <f t="shared" si="43"/>
        <v>5.4690967401026214</v>
      </c>
      <c r="CI21" s="73">
        <f>CC21</f>
        <v>131.12802861864188</v>
      </c>
      <c r="CJ21" s="73">
        <f t="shared" si="44"/>
        <v>4.0977508943325587</v>
      </c>
      <c r="CK21" s="76">
        <f t="shared" si="45"/>
        <v>0.10004391029220111</v>
      </c>
      <c r="CL21" s="76">
        <f t="shared" si="46"/>
        <v>7.05524795173109</v>
      </c>
      <c r="CM21" s="73">
        <f t="shared" si="47"/>
        <v>1.3944771068762662</v>
      </c>
      <c r="CN21" s="185">
        <f t="shared" si="48"/>
        <v>0.12247492939554674</v>
      </c>
      <c r="CO21" s="184">
        <f>'Input Sheet'!M13</f>
        <v>7.05524795173109</v>
      </c>
      <c r="CP21" s="73">
        <f t="shared" si="49"/>
        <v>0.22047649849159656</v>
      </c>
      <c r="CQ21" s="76">
        <f t="shared" si="91"/>
        <v>0.10004391029220111</v>
      </c>
      <c r="CR21" s="76">
        <f t="shared" si="50"/>
        <v>1.3944771068762662</v>
      </c>
      <c r="CS21" s="73">
        <f t="shared" si="51"/>
        <v>1.3944771068762662</v>
      </c>
      <c r="CT21" s="185">
        <f t="shared" si="109"/>
        <v>9.2494173344966249E-2</v>
      </c>
      <c r="CU21" s="73">
        <f t="shared" si="52"/>
        <v>7.05524795173109</v>
      </c>
      <c r="CV21" s="73">
        <f t="shared" si="92"/>
        <v>0.22047649849159656</v>
      </c>
      <c r="CW21" s="76">
        <f t="shared" si="93"/>
        <v>0.10004391029220111</v>
      </c>
      <c r="CX21" s="76">
        <f t="shared" si="53"/>
        <v>1.3944771068762662</v>
      </c>
      <c r="CY21" s="73">
        <f t="shared" si="54"/>
        <v>1.3944771068762662</v>
      </c>
      <c r="CZ21" s="185">
        <f t="shared" si="110"/>
        <v>7.9622476204642842E-2</v>
      </c>
      <c r="DA21" s="73">
        <f t="shared" si="55"/>
        <v>7.05524795173109</v>
      </c>
      <c r="DB21" s="73">
        <f t="shared" si="94"/>
        <v>0.22047649849159656</v>
      </c>
      <c r="DC21" s="76">
        <f t="shared" si="95"/>
        <v>0.10004391029220111</v>
      </c>
      <c r="DD21" s="76">
        <f t="shared" si="56"/>
        <v>1.3944771068762662</v>
      </c>
      <c r="DE21" s="73">
        <f t="shared" si="57"/>
        <v>1.3944771068762662</v>
      </c>
      <c r="DF21" s="185">
        <f t="shared" si="111"/>
        <v>7.7942790526773845E-2</v>
      </c>
      <c r="DG21" s="73">
        <f>DA21</f>
        <v>7.05524795173109</v>
      </c>
      <c r="DH21" s="73">
        <f t="shared" si="96"/>
        <v>0.22047649849159656</v>
      </c>
      <c r="DI21" s="76">
        <f t="shared" si="97"/>
        <v>0.10004391029220111</v>
      </c>
      <c r="DJ21" s="76">
        <f t="shared" si="59"/>
        <v>1.3944771068762662</v>
      </c>
      <c r="DK21" s="73">
        <f t="shared" si="60"/>
        <v>1.3944771068762662</v>
      </c>
      <c r="DL21" s="185">
        <f t="shared" si="112"/>
        <v>7.8221456206168813E-2</v>
      </c>
      <c r="DM21" s="73">
        <f>CU21</f>
        <v>7.05524795173109</v>
      </c>
      <c r="DN21" s="73">
        <f t="shared" si="98"/>
        <v>0.22047649849159656</v>
      </c>
      <c r="DO21" s="427">
        <f t="shared" si="99"/>
        <v>0</v>
      </c>
      <c r="DP21" s="427">
        <f t="shared" si="62"/>
        <v>0</v>
      </c>
      <c r="DQ21" s="426">
        <f t="shared" si="63"/>
        <v>0</v>
      </c>
      <c r="DR21" s="428">
        <f t="shared" si="113"/>
        <v>0</v>
      </c>
      <c r="DS21" s="426">
        <v>0</v>
      </c>
      <c r="DT21" s="426">
        <f t="shared" si="100"/>
        <v>0</v>
      </c>
    </row>
    <row r="22" spans="2:124" x14ac:dyDescent="0.35">
      <c r="B22" s="183">
        <v>5</v>
      </c>
      <c r="C22" s="178" t="str">
        <f>VLOOKUP(B22,'Input Sheet'!C$9:E$126,2,FALSE)</f>
        <v>Hydrogen Sulfide (H2S)</v>
      </c>
      <c r="D22" s="14">
        <f>VLOOKUP(B22,'Input Sheet'!C$9:E$126,3,FALSE)</f>
        <v>34.08</v>
      </c>
      <c r="E22" s="338">
        <f t="shared" si="64"/>
        <v>4.9994000719913627E-3</v>
      </c>
      <c r="F22" s="338">
        <f t="shared" si="65"/>
        <v>0.61965269177053406</v>
      </c>
      <c r="G22" s="337">
        <f t="shared" si="66"/>
        <v>0.11499999999999999</v>
      </c>
      <c r="H22" s="337">
        <f t="shared" si="67"/>
        <v>2.1618690280860917E-2</v>
      </c>
      <c r="I22" s="337">
        <f>'Input Sheet'!H14</f>
        <v>0.61965269177053406</v>
      </c>
      <c r="J22" s="337">
        <f t="shared" si="0"/>
        <v>1.818229729373633E-2</v>
      </c>
      <c r="K22" s="76">
        <f t="shared" si="68"/>
        <v>4.0001839844650607E-4</v>
      </c>
      <c r="L22" s="76">
        <f t="shared" si="1"/>
        <v>4.9578164007483709E-2</v>
      </c>
      <c r="M22" s="73">
        <f t="shared" si="69"/>
        <v>9.2011039999999981E-3</v>
      </c>
      <c r="N22" s="76">
        <f t="shared" si="101"/>
        <v>1.774225355509355E-3</v>
      </c>
      <c r="O22" s="73">
        <f>'Input Sheet'!V14</f>
        <v>4.9578164007483709E-2</v>
      </c>
      <c r="P22" s="73">
        <f t="shared" si="70"/>
        <v>1.4547583335529257E-3</v>
      </c>
      <c r="Q22" s="76">
        <f t="shared" si="71"/>
        <v>4.0001839844650607E-4</v>
      </c>
      <c r="R22" s="76">
        <f t="shared" si="2"/>
        <v>9.2011039999999981E-3</v>
      </c>
      <c r="S22" s="73">
        <f t="shared" si="72"/>
        <v>9.2011039999999981E-3</v>
      </c>
      <c r="T22" s="185">
        <f t="shared" si="102"/>
        <v>1.7857164523714622E-3</v>
      </c>
      <c r="U22" s="73">
        <f t="shared" si="3"/>
        <v>4.9578164007483709E-2</v>
      </c>
      <c r="V22" s="73">
        <f t="shared" si="73"/>
        <v>1.4547583335529257E-3</v>
      </c>
      <c r="W22" s="76">
        <f t="shared" si="4"/>
        <v>4.8710573602162201E-4</v>
      </c>
      <c r="X22" s="76">
        <f t="shared" si="5"/>
        <v>1.9852168978700423E-2</v>
      </c>
      <c r="Y22" s="73">
        <f t="shared" si="6"/>
        <v>1.9852168978700423E-2</v>
      </c>
      <c r="Z22" s="185">
        <f t="shared" si="7"/>
        <v>4.0181451647084438E-3</v>
      </c>
      <c r="AA22" s="73">
        <f>U22+'Input Sheet'!R14</f>
        <v>0.1069691299576975</v>
      </c>
      <c r="AB22" s="73">
        <f t="shared" si="8"/>
        <v>3.1387655504019219E-3</v>
      </c>
      <c r="AC22" s="76">
        <f t="shared" si="9"/>
        <v>4.8710573602162201E-4</v>
      </c>
      <c r="AD22" s="76">
        <f t="shared" si="10"/>
        <v>1.9852168978700423E-2</v>
      </c>
      <c r="AE22" s="73">
        <f t="shared" si="11"/>
        <v>1.9852168978700423E-2</v>
      </c>
      <c r="AF22" s="185">
        <f t="shared" si="12"/>
        <v>1.8428034933427844E-3</v>
      </c>
      <c r="AG22" s="73">
        <f t="shared" si="74"/>
        <v>0.1069691299576975</v>
      </c>
      <c r="AH22" s="73">
        <f t="shared" si="13"/>
        <v>3.1387655504019219E-3</v>
      </c>
      <c r="AI22" s="76">
        <f t="shared" si="75"/>
        <v>4.8710573602162201E-4</v>
      </c>
      <c r="AJ22" s="76">
        <f t="shared" si="14"/>
        <v>1.9852168978700423E-2</v>
      </c>
      <c r="AK22" s="73">
        <f t="shared" si="15"/>
        <v>1.9852168978700423E-2</v>
      </c>
      <c r="AL22" s="185">
        <f t="shared" si="103"/>
        <v>1.4995244119768705E-3</v>
      </c>
      <c r="AM22" s="268">
        <f t="shared" si="76"/>
        <v>0.1069691299576975</v>
      </c>
      <c r="AN22" s="73">
        <f t="shared" si="77"/>
        <v>3.1387655504019219E-3</v>
      </c>
      <c r="AO22" s="76">
        <f t="shared" si="78"/>
        <v>4.8710573602162201E-4</v>
      </c>
      <c r="AP22" s="76">
        <f t="shared" si="16"/>
        <v>1.9852168978700423E-2</v>
      </c>
      <c r="AQ22" s="73">
        <f t="shared" si="17"/>
        <v>1.9852168978700423E-2</v>
      </c>
      <c r="AR22" s="185">
        <f t="shared" si="104"/>
        <v>1.4828280062261371E-3</v>
      </c>
      <c r="AS22" s="73">
        <f t="shared" si="105"/>
        <v>0.1069691299576975</v>
      </c>
      <c r="AT22" s="73">
        <f t="shared" si="79"/>
        <v>3.1387655504019219E-3</v>
      </c>
      <c r="AU22" s="76">
        <f t="shared" si="80"/>
        <v>4.8732355451014126E-4</v>
      </c>
      <c r="AV22" s="76">
        <f t="shared" si="18"/>
        <v>1.9852168978700423E-2</v>
      </c>
      <c r="AW22" s="73">
        <f t="shared" si="19"/>
        <v>1.9852168978700423E-2</v>
      </c>
      <c r="AX22" s="185">
        <f t="shared" si="106"/>
        <v>1.3254736564209887E-3</v>
      </c>
      <c r="AY22" s="73">
        <f t="shared" si="81"/>
        <v>0.1069691299576975</v>
      </c>
      <c r="AZ22" s="73">
        <f t="shared" si="82"/>
        <v>3.1387655504019219E-3</v>
      </c>
      <c r="BA22" s="76">
        <f t="shared" si="83"/>
        <v>4.8732355451014126E-4</v>
      </c>
      <c r="BB22" s="76">
        <f t="shared" si="20"/>
        <v>1.9852168978700423E-2</v>
      </c>
      <c r="BC22" s="73">
        <f t="shared" si="21"/>
        <v>1.9852168978700423E-2</v>
      </c>
      <c r="BD22" s="185">
        <f t="shared" si="107"/>
        <v>1.3583997556981951E-3</v>
      </c>
      <c r="BE22" s="73">
        <f t="shared" si="84"/>
        <v>0.1069691299576975</v>
      </c>
      <c r="BF22" s="73">
        <f t="shared" si="85"/>
        <v>3.1387655504019219E-3</v>
      </c>
      <c r="BG22" s="76">
        <f t="shared" si="86"/>
        <v>4.8732355451014126E-4</v>
      </c>
      <c r="BH22" s="76">
        <f t="shared" si="22"/>
        <v>1.9852168978700423E-2</v>
      </c>
      <c r="BI22" s="73">
        <f t="shared" si="23"/>
        <v>1.9852168978700423E-2</v>
      </c>
      <c r="BJ22" s="185">
        <f t="shared" si="108"/>
        <v>1.3648775799981389E-3</v>
      </c>
      <c r="BK22" s="73">
        <f t="shared" si="87"/>
        <v>0.1069691299576975</v>
      </c>
      <c r="BL22" s="73">
        <f t="shared" si="88"/>
        <v>3.1387655504019219E-3</v>
      </c>
      <c r="BM22" s="76">
        <f t="shared" si="24"/>
        <v>4.0058171833062838E-4</v>
      </c>
      <c r="BN22" s="76">
        <f t="shared" si="25"/>
        <v>1.9522807733109257E-2</v>
      </c>
      <c r="BO22" s="73">
        <f t="shared" si="26"/>
        <v>3.6231955724949296E-3</v>
      </c>
      <c r="BP22" s="185">
        <f t="shared" si="27"/>
        <v>3.3271799616602753E-3</v>
      </c>
      <c r="BQ22" s="184">
        <f t="shared" si="28"/>
        <v>1.9522807733109257E-2</v>
      </c>
      <c r="BR22" s="73">
        <f t="shared" si="29"/>
        <v>5.7285233958653922E-4</v>
      </c>
      <c r="BS22" s="76">
        <f t="shared" si="30"/>
        <v>5.9993640674088546E-4</v>
      </c>
      <c r="BT22" s="76">
        <f t="shared" si="31"/>
        <v>5.7390965950213799E-2</v>
      </c>
      <c r="BU22" s="73">
        <f t="shared" si="32"/>
        <v>1.0651064978700428E-2</v>
      </c>
      <c r="BV22" s="185">
        <f t="shared" si="33"/>
        <v>9.4187598191656629E-3</v>
      </c>
      <c r="BW22" s="184">
        <f>'Input Sheet'!R14</f>
        <v>5.7390965950213799E-2</v>
      </c>
      <c r="BX22" s="73">
        <f t="shared" si="34"/>
        <v>1.6840072168489966E-3</v>
      </c>
      <c r="BY22" s="76">
        <f t="shared" si="35"/>
        <v>5.9993640674088546E-4</v>
      </c>
      <c r="BZ22" s="76">
        <f t="shared" si="36"/>
        <v>5.7390965950213799E-2</v>
      </c>
      <c r="CA22" s="73">
        <f t="shared" si="37"/>
        <v>1.0651064978700428E-2</v>
      </c>
      <c r="CB22" s="185">
        <f t="shared" si="38"/>
        <v>2.682298165782655E-3</v>
      </c>
      <c r="CC22" s="73">
        <f t="shared" si="89"/>
        <v>5.7390965950213799E-2</v>
      </c>
      <c r="CD22" s="73">
        <f t="shared" si="39"/>
        <v>1.6840072168489966E-3</v>
      </c>
      <c r="CE22" s="76">
        <f t="shared" si="40"/>
        <v>5.9993640674088546E-4</v>
      </c>
      <c r="CF22" s="76">
        <f t="shared" si="41"/>
        <v>5.7390965950213799E-2</v>
      </c>
      <c r="CG22" s="73">
        <f t="shared" si="42"/>
        <v>1.0651064978700428E-2</v>
      </c>
      <c r="CH22" s="185">
        <f t="shared" si="43"/>
        <v>2.2475740027818989E-3</v>
      </c>
      <c r="CI22" s="73">
        <f t="shared" si="90"/>
        <v>5.7390965950213799E-2</v>
      </c>
      <c r="CJ22" s="73">
        <f t="shared" si="44"/>
        <v>1.6840072168489966E-3</v>
      </c>
      <c r="CK22" s="76">
        <f t="shared" si="45"/>
        <v>4.0017564116880447E-4</v>
      </c>
      <c r="CL22" s="76">
        <f t="shared" si="46"/>
        <v>3.0055356274374445E-2</v>
      </c>
      <c r="CM22" s="73">
        <f t="shared" si="47"/>
        <v>5.5779084275050664E-3</v>
      </c>
      <c r="CN22" s="185">
        <f t="shared" si="48"/>
        <v>4.8989971758218716E-4</v>
      </c>
      <c r="CO22" s="184">
        <f>'Input Sheet'!M14</f>
        <v>3.0055356274374445E-2</v>
      </c>
      <c r="CP22" s="73">
        <f t="shared" si="49"/>
        <v>8.819059939663863E-4</v>
      </c>
      <c r="CQ22" s="76">
        <f t="shared" si="91"/>
        <v>4.0017564116880447E-4</v>
      </c>
      <c r="CR22" s="76">
        <f t="shared" si="50"/>
        <v>5.5779084275050664E-3</v>
      </c>
      <c r="CS22" s="73">
        <f t="shared" si="51"/>
        <v>5.5779084275050664E-3</v>
      </c>
      <c r="CT22" s="185">
        <f t="shared" si="109"/>
        <v>3.6997669337986513E-4</v>
      </c>
      <c r="CU22" s="73">
        <f t="shared" si="52"/>
        <v>3.0055356274374445E-2</v>
      </c>
      <c r="CV22" s="73">
        <f t="shared" si="92"/>
        <v>8.819059939663863E-4</v>
      </c>
      <c r="CW22" s="76">
        <f t="shared" si="93"/>
        <v>4.0017564116880447E-4</v>
      </c>
      <c r="CX22" s="76">
        <f t="shared" si="53"/>
        <v>5.5779084275050664E-3</v>
      </c>
      <c r="CY22" s="73">
        <f t="shared" si="54"/>
        <v>5.5779084275050664E-3</v>
      </c>
      <c r="CZ22" s="185">
        <f t="shared" si="110"/>
        <v>3.1848990481857145E-4</v>
      </c>
      <c r="DA22" s="73">
        <f t="shared" si="55"/>
        <v>3.0055356274374445E-2</v>
      </c>
      <c r="DB22" s="73">
        <f t="shared" si="94"/>
        <v>8.819059939663863E-4</v>
      </c>
      <c r="DC22" s="76">
        <f t="shared" si="95"/>
        <v>4.0017564116880447E-4</v>
      </c>
      <c r="DD22" s="76">
        <f t="shared" si="56"/>
        <v>5.5779084275050664E-3</v>
      </c>
      <c r="DE22" s="73">
        <f t="shared" si="57"/>
        <v>5.5779084275050664E-3</v>
      </c>
      <c r="DF22" s="185">
        <f t="shared" si="111"/>
        <v>3.1177116210709551E-4</v>
      </c>
      <c r="DG22" s="73">
        <f t="shared" si="58"/>
        <v>3.0055356274374445E-2</v>
      </c>
      <c r="DH22" s="73">
        <f t="shared" si="96"/>
        <v>8.819059939663863E-4</v>
      </c>
      <c r="DI22" s="76">
        <f t="shared" si="97"/>
        <v>4.0017564116880447E-4</v>
      </c>
      <c r="DJ22" s="76">
        <f t="shared" si="59"/>
        <v>5.5779084275050664E-3</v>
      </c>
      <c r="DK22" s="73">
        <f t="shared" si="60"/>
        <v>5.5779084275050664E-3</v>
      </c>
      <c r="DL22" s="185">
        <f t="shared" si="112"/>
        <v>3.1288582482467535E-4</v>
      </c>
      <c r="DM22" s="73">
        <f t="shared" si="61"/>
        <v>3.0055356274374445E-2</v>
      </c>
      <c r="DN22" s="73">
        <f t="shared" si="98"/>
        <v>8.819059939663863E-4</v>
      </c>
      <c r="DO22" s="427">
        <f t="shared" si="99"/>
        <v>0</v>
      </c>
      <c r="DP22" s="427">
        <f t="shared" si="62"/>
        <v>0</v>
      </c>
      <c r="DQ22" s="426">
        <f t="shared" si="63"/>
        <v>0</v>
      </c>
      <c r="DR22" s="428">
        <f t="shared" si="113"/>
        <v>0</v>
      </c>
      <c r="DS22" s="426">
        <v>0</v>
      </c>
      <c r="DT22" s="426">
        <f t="shared" si="100"/>
        <v>0</v>
      </c>
    </row>
    <row r="23" spans="2:124" x14ac:dyDescent="0.35">
      <c r="B23" s="183">
        <v>6</v>
      </c>
      <c r="C23" s="178" t="str">
        <f>VLOOKUP(B23,'Input Sheet'!C$9:E$126,2,FALSE)</f>
        <v>Water (H2O)</v>
      </c>
      <c r="D23" s="14">
        <f>VLOOKUP(B23,'Input Sheet'!C$9:E$126,3,FALSE)</f>
        <v>18.02</v>
      </c>
      <c r="E23" s="338">
        <f t="shared" si="64"/>
        <v>0.12698476182858062</v>
      </c>
      <c r="F23" s="338">
        <f t="shared" si="65"/>
        <v>8.3221829297214693</v>
      </c>
      <c r="G23" s="337">
        <f t="shared" si="66"/>
        <v>2.9210000000000003</v>
      </c>
      <c r="H23" s="337">
        <f t="shared" si="67"/>
        <v>0.54911473313386749</v>
      </c>
      <c r="I23" s="337">
        <f>'Input Sheet'!H15</f>
        <v>8.3221829297214693</v>
      </c>
      <c r="J23" s="337">
        <f t="shared" si="0"/>
        <v>0.46183035126090288</v>
      </c>
      <c r="K23" s="76">
        <f t="shared" si="68"/>
        <v>0.12699060263444958</v>
      </c>
      <c r="L23" s="76">
        <f t="shared" si="1"/>
        <v>8.3221829297214693</v>
      </c>
      <c r="M23" s="73">
        <f t="shared" si="69"/>
        <v>2.9210000000000003</v>
      </c>
      <c r="N23" s="76">
        <f t="shared" si="101"/>
        <v>0.56324896049896056</v>
      </c>
      <c r="O23" s="73">
        <f>'Input Sheet'!V15</f>
        <v>8.3221829297214693</v>
      </c>
      <c r="P23" s="73">
        <f t="shared" si="70"/>
        <v>0.46183035126090288</v>
      </c>
      <c r="Q23" s="76">
        <f t="shared" si="71"/>
        <v>0.12699060263444958</v>
      </c>
      <c r="R23" s="76">
        <f t="shared" si="2"/>
        <v>2.9210000000000003</v>
      </c>
      <c r="S23" s="73">
        <f t="shared" si="72"/>
        <v>2.9210000000000003</v>
      </c>
      <c r="T23" s="185">
        <f t="shared" si="102"/>
        <v>0.5668969459944202</v>
      </c>
      <c r="U23" s="73">
        <f t="shared" si="3"/>
        <v>8.3221829297214693</v>
      </c>
      <c r="V23" s="73">
        <f t="shared" si="73"/>
        <v>0.46183035126090288</v>
      </c>
      <c r="W23" s="76">
        <f t="shared" si="4"/>
        <v>0.10216139383959934</v>
      </c>
      <c r="X23" s="76">
        <f t="shared" si="5"/>
        <v>4.1636242475150498</v>
      </c>
      <c r="Y23" s="73">
        <f t="shared" si="6"/>
        <v>4.1636242475150498</v>
      </c>
      <c r="Z23" s="185">
        <f t="shared" si="7"/>
        <v>0.84273142424715686</v>
      </c>
      <c r="AA23" s="73">
        <f>U23+'Input Sheet'!R15</f>
        <v>11.862527435277009</v>
      </c>
      <c r="AB23" s="73">
        <f t="shared" si="8"/>
        <v>0.65829785989328571</v>
      </c>
      <c r="AC23" s="76">
        <f t="shared" si="9"/>
        <v>0.10216139383959934</v>
      </c>
      <c r="AD23" s="76">
        <f t="shared" si="10"/>
        <v>4.1636242475150498</v>
      </c>
      <c r="AE23" s="73">
        <f t="shared" si="11"/>
        <v>4.1636242475150498</v>
      </c>
      <c r="AF23" s="185">
        <f t="shared" si="12"/>
        <v>0.38649385447603285</v>
      </c>
      <c r="AG23" s="73">
        <f t="shared" si="74"/>
        <v>11.862527435277009</v>
      </c>
      <c r="AH23" s="73">
        <f t="shared" si="13"/>
        <v>0.65829785989328571</v>
      </c>
      <c r="AI23" s="76">
        <f t="shared" si="75"/>
        <v>0.10216139383959934</v>
      </c>
      <c r="AJ23" s="76">
        <f t="shared" si="14"/>
        <v>4.1636242475150498</v>
      </c>
      <c r="AK23" s="73">
        <f t="shared" si="15"/>
        <v>4.1636242475150498</v>
      </c>
      <c r="AL23" s="185">
        <f t="shared" si="103"/>
        <v>0.31449743391496954</v>
      </c>
      <c r="AM23" s="268">
        <f t="shared" si="76"/>
        <v>11.862527435277009</v>
      </c>
      <c r="AN23" s="73">
        <f t="shared" si="77"/>
        <v>0.65829785989328571</v>
      </c>
      <c r="AO23" s="76">
        <f t="shared" si="78"/>
        <v>0.10216139383959934</v>
      </c>
      <c r="AP23" s="76">
        <f t="shared" si="16"/>
        <v>4.1636242475150498</v>
      </c>
      <c r="AQ23" s="73">
        <f t="shared" si="17"/>
        <v>4.1636242475150498</v>
      </c>
      <c r="AR23" s="185">
        <f t="shared" si="104"/>
        <v>0.31099567247496318</v>
      </c>
      <c r="AS23" s="73">
        <f>AM23</f>
        <v>11.862527435277009</v>
      </c>
      <c r="AT23" s="73">
        <f t="shared" si="79"/>
        <v>0.65829785989328571</v>
      </c>
      <c r="AU23" s="76">
        <f t="shared" si="80"/>
        <v>5.7490197008185327E-2</v>
      </c>
      <c r="AV23" s="76">
        <f t="shared" si="18"/>
        <v>2.3419863354902168</v>
      </c>
      <c r="AW23" s="73">
        <f t="shared" si="19"/>
        <v>2.3419863354902168</v>
      </c>
      <c r="AX23" s="185">
        <f t="shared" si="106"/>
        <v>0.15636786059602753</v>
      </c>
      <c r="AY23" s="73">
        <v>6.6725226644497164</v>
      </c>
      <c r="AZ23" s="73">
        <f t="shared" si="82"/>
        <v>0.37028427660653257</v>
      </c>
      <c r="BA23" s="76">
        <f t="shared" si="83"/>
        <v>5.7490197008185327E-2</v>
      </c>
      <c r="BB23" s="76">
        <f t="shared" si="20"/>
        <v>2.3419863354902168</v>
      </c>
      <c r="BC23" s="73">
        <f t="shared" si="21"/>
        <v>2.3419863354902168</v>
      </c>
      <c r="BD23" s="185">
        <f t="shared" si="107"/>
        <v>0.16025219558586906</v>
      </c>
      <c r="BE23" s="73">
        <f t="shared" si="84"/>
        <v>6.6725226644497164</v>
      </c>
      <c r="BF23" s="73">
        <f t="shared" si="85"/>
        <v>0.37028427660653257</v>
      </c>
      <c r="BG23" s="76">
        <f t="shared" si="86"/>
        <v>5.7490197008185327E-2</v>
      </c>
      <c r="BH23" s="76">
        <f t="shared" si="22"/>
        <v>2.3419863354902168</v>
      </c>
      <c r="BI23" s="73">
        <f t="shared" si="23"/>
        <v>2.3419863354902168</v>
      </c>
      <c r="BJ23" s="185">
        <f t="shared" si="108"/>
        <v>0.16101639298971201</v>
      </c>
      <c r="BK23" s="73">
        <f t="shared" si="87"/>
        <v>6.6725226644497164</v>
      </c>
      <c r="BL23" s="73">
        <f t="shared" si="88"/>
        <v>0.37028427660653257</v>
      </c>
      <c r="BM23" s="76">
        <f t="shared" si="24"/>
        <v>9.8573936684176133E-2</v>
      </c>
      <c r="BN23" s="76">
        <f t="shared" si="25"/>
        <v>2.5402031699742094</v>
      </c>
      <c r="BO23" s="73">
        <f t="shared" si="26"/>
        <v>0.89158499905060362</v>
      </c>
      <c r="BP23" s="185">
        <f t="shared" si="27"/>
        <v>0.81874237357696888</v>
      </c>
      <c r="BQ23" s="184">
        <f t="shared" si="28"/>
        <v>2.5402031699742094</v>
      </c>
      <c r="BR23" s="73">
        <f t="shared" si="29"/>
        <v>0.14096576969890173</v>
      </c>
      <c r="BS23" s="76">
        <f t="shared" si="30"/>
        <v>6.9992580786436623E-2</v>
      </c>
      <c r="BT23" s="76">
        <f t="shared" si="31"/>
        <v>3.5403445055555403</v>
      </c>
      <c r="BU23" s="73">
        <f t="shared" si="32"/>
        <v>1.24262424751505</v>
      </c>
      <c r="BV23" s="185">
        <f t="shared" si="33"/>
        <v>1.0988553122359941</v>
      </c>
      <c r="BW23" s="184">
        <f>'Input Sheet'!R15</f>
        <v>3.5403445055555403</v>
      </c>
      <c r="BX23" s="73">
        <f t="shared" si="34"/>
        <v>0.19646750863238294</v>
      </c>
      <c r="BY23" s="76">
        <f t="shared" si="35"/>
        <v>6.9992580786436623E-2</v>
      </c>
      <c r="BZ23" s="76">
        <f t="shared" si="36"/>
        <v>3.5403445055555403</v>
      </c>
      <c r="CA23" s="73">
        <f t="shared" si="37"/>
        <v>1.24262424751505</v>
      </c>
      <c r="CB23" s="185">
        <f t="shared" si="38"/>
        <v>0.31293478600797642</v>
      </c>
      <c r="CC23" s="73">
        <f t="shared" si="89"/>
        <v>3.5403445055555403</v>
      </c>
      <c r="CD23" s="73">
        <f t="shared" si="39"/>
        <v>0.19646750863238294</v>
      </c>
      <c r="CE23" s="76">
        <f t="shared" si="40"/>
        <v>6.9992580786436623E-2</v>
      </c>
      <c r="CF23" s="76">
        <f t="shared" si="41"/>
        <v>3.5403445055555403</v>
      </c>
      <c r="CG23" s="73">
        <f t="shared" si="42"/>
        <v>1.24262424751505</v>
      </c>
      <c r="CH23" s="185">
        <f t="shared" si="43"/>
        <v>0.26221696699122155</v>
      </c>
      <c r="CI23" s="73">
        <f t="shared" si="90"/>
        <v>3.5403445055555403</v>
      </c>
      <c r="CJ23" s="73">
        <f t="shared" si="44"/>
        <v>0.19646750863238294</v>
      </c>
      <c r="CK23" s="76">
        <f t="shared" si="45"/>
        <v>1.4906542633537967E-2</v>
      </c>
      <c r="CL23" s="76">
        <f t="shared" si="46"/>
        <v>0.59197498891996703</v>
      </c>
      <c r="CM23" s="73">
        <f t="shared" si="47"/>
        <v>0.2077770889245637</v>
      </c>
      <c r="CN23" s="185">
        <f t="shared" si="48"/>
        <v>1.8248764479936466E-2</v>
      </c>
      <c r="CO23" s="184">
        <f>'Input Sheet'!M15</f>
        <v>0.59197498891996703</v>
      </c>
      <c r="CP23" s="73">
        <f t="shared" si="49"/>
        <v>3.2850998275247893E-2</v>
      </c>
      <c r="CQ23" s="76">
        <f t="shared" si="91"/>
        <v>1.4906542633537967E-2</v>
      </c>
      <c r="CR23" s="76">
        <f t="shared" si="50"/>
        <v>0.2077770889245637</v>
      </c>
      <c r="CS23" s="73">
        <f t="shared" si="51"/>
        <v>0.2077770889245637</v>
      </c>
      <c r="CT23" s="185">
        <f t="shared" si="109"/>
        <v>1.3781631828399973E-2</v>
      </c>
      <c r="CU23" s="73">
        <f t="shared" si="52"/>
        <v>0.59197498891996703</v>
      </c>
      <c r="CV23" s="73">
        <f t="shared" si="92"/>
        <v>3.2850998275247893E-2</v>
      </c>
      <c r="CW23" s="76">
        <f t="shared" si="93"/>
        <v>1.4906542633537967E-2</v>
      </c>
      <c r="CX23" s="76">
        <f t="shared" si="53"/>
        <v>0.2077770889245637</v>
      </c>
      <c r="CY23" s="73">
        <f t="shared" si="54"/>
        <v>0.2077770889245637</v>
      </c>
      <c r="CZ23" s="185">
        <f t="shared" si="110"/>
        <v>1.1863748954491783E-2</v>
      </c>
      <c r="DA23" s="73">
        <f t="shared" si="55"/>
        <v>0.59197498891996703</v>
      </c>
      <c r="DB23" s="73">
        <f t="shared" si="94"/>
        <v>3.2850998275247893E-2</v>
      </c>
      <c r="DC23" s="76">
        <f t="shared" si="95"/>
        <v>1.4906542633537967E-2</v>
      </c>
      <c r="DD23" s="76">
        <f t="shared" si="56"/>
        <v>0.2077770889245637</v>
      </c>
      <c r="DE23" s="73">
        <f t="shared" si="57"/>
        <v>0.2077770889245637</v>
      </c>
      <c r="DF23" s="185">
        <f t="shared" si="111"/>
        <v>1.1613475788489305E-2</v>
      </c>
      <c r="DG23" s="73">
        <f t="shared" si="58"/>
        <v>0.59197498891996703</v>
      </c>
      <c r="DH23" s="73">
        <f t="shared" si="96"/>
        <v>3.2850998275247893E-2</v>
      </c>
      <c r="DI23" s="76">
        <f t="shared" si="97"/>
        <v>1.4906542633537967E-2</v>
      </c>
      <c r="DJ23" s="76">
        <f t="shared" si="59"/>
        <v>0.2077770889245637</v>
      </c>
      <c r="DK23" s="73">
        <f t="shared" si="60"/>
        <v>0.2077770889245637</v>
      </c>
      <c r="DL23" s="185">
        <f t="shared" si="112"/>
        <v>1.1654996974719155E-2</v>
      </c>
      <c r="DM23" s="73">
        <f t="shared" si="61"/>
        <v>0.59197498891996703</v>
      </c>
      <c r="DN23" s="73">
        <f t="shared" si="98"/>
        <v>3.2850998275247893E-2</v>
      </c>
      <c r="DO23" s="427">
        <f t="shared" si="99"/>
        <v>100</v>
      </c>
      <c r="DP23" s="427">
        <f t="shared" si="62"/>
        <v>1.8216379120248329</v>
      </c>
      <c r="DQ23" s="426">
        <f t="shared" si="63"/>
        <v>1.8216379120248329</v>
      </c>
      <c r="DR23" s="428">
        <f t="shared" si="113"/>
        <v>0.19115182818489121</v>
      </c>
      <c r="DS23" s="426">
        <f>DO16</f>
        <v>5.1900047708272927</v>
      </c>
      <c r="DT23" s="426">
        <f t="shared" si="100"/>
        <v>0.28801358328675319</v>
      </c>
    </row>
    <row r="24" spans="2:124" x14ac:dyDescent="0.35">
      <c r="B24" s="183">
        <v>7</v>
      </c>
      <c r="C24" s="178" t="str">
        <f>VLOOKUP(B24,'Input Sheet'!C$9:E$126,2,FALSE)</f>
        <v>Hydrogen (H2)</v>
      </c>
      <c r="D24" s="14">
        <f>VLOOKUP(B24,'Input Sheet'!C$9:E$126,3,FALSE)</f>
        <v>2</v>
      </c>
      <c r="E24" s="338">
        <f t="shared" si="64"/>
        <v>0</v>
      </c>
      <c r="F24" s="338">
        <f t="shared" si="65"/>
        <v>0</v>
      </c>
      <c r="G24" s="337">
        <f t="shared" si="66"/>
        <v>0</v>
      </c>
      <c r="H24" s="337">
        <f t="shared" si="67"/>
        <v>0</v>
      </c>
      <c r="I24" s="337">
        <f>'Input Sheet'!H16</f>
        <v>0</v>
      </c>
      <c r="J24" s="337">
        <f t="shared" si="0"/>
        <v>0</v>
      </c>
      <c r="K24" s="76">
        <f t="shared" si="68"/>
        <v>0</v>
      </c>
      <c r="L24" s="76">
        <f t="shared" si="1"/>
        <v>0</v>
      </c>
      <c r="M24" s="73">
        <f t="shared" si="69"/>
        <v>0</v>
      </c>
      <c r="N24" s="76">
        <f t="shared" si="101"/>
        <v>0</v>
      </c>
      <c r="O24" s="73">
        <f>'Input Sheet'!V16</f>
        <v>0</v>
      </c>
      <c r="P24" s="73">
        <f t="shared" si="70"/>
        <v>0</v>
      </c>
      <c r="Q24" s="76">
        <f t="shared" si="71"/>
        <v>0</v>
      </c>
      <c r="R24" s="76">
        <f t="shared" si="2"/>
        <v>0</v>
      </c>
      <c r="S24" s="73">
        <f t="shared" si="72"/>
        <v>0</v>
      </c>
      <c r="T24" s="185">
        <f t="shared" si="102"/>
        <v>0</v>
      </c>
      <c r="U24" s="73">
        <f t="shared" si="3"/>
        <v>0</v>
      </c>
      <c r="V24" s="73">
        <f t="shared" si="73"/>
        <v>0</v>
      </c>
      <c r="W24" s="76">
        <f t="shared" si="4"/>
        <v>0</v>
      </c>
      <c r="X24" s="76">
        <f t="shared" si="5"/>
        <v>0</v>
      </c>
      <c r="Y24" s="73">
        <f t="shared" si="6"/>
        <v>0</v>
      </c>
      <c r="Z24" s="185">
        <f t="shared" si="7"/>
        <v>0</v>
      </c>
      <c r="AA24" s="73">
        <f>U24+'Input Sheet'!R16</f>
        <v>0</v>
      </c>
      <c r="AB24" s="73">
        <f t="shared" si="8"/>
        <v>0</v>
      </c>
      <c r="AC24" s="76">
        <f t="shared" si="9"/>
        <v>0</v>
      </c>
      <c r="AD24" s="76">
        <f t="shared" si="10"/>
        <v>0</v>
      </c>
      <c r="AE24" s="73">
        <f t="shared" si="11"/>
        <v>0</v>
      </c>
      <c r="AF24" s="185">
        <f t="shared" si="12"/>
        <v>0</v>
      </c>
      <c r="AG24" s="73">
        <f t="shared" si="74"/>
        <v>0</v>
      </c>
      <c r="AH24" s="73">
        <f t="shared" si="13"/>
        <v>0</v>
      </c>
      <c r="AI24" s="76">
        <f t="shared" si="75"/>
        <v>0</v>
      </c>
      <c r="AJ24" s="76">
        <f t="shared" si="14"/>
        <v>0</v>
      </c>
      <c r="AK24" s="73">
        <f t="shared" si="15"/>
        <v>0</v>
      </c>
      <c r="AL24" s="185">
        <f t="shared" si="103"/>
        <v>0</v>
      </c>
      <c r="AM24" s="268">
        <f t="shared" si="76"/>
        <v>0</v>
      </c>
      <c r="AN24" s="73">
        <f t="shared" si="77"/>
        <v>0</v>
      </c>
      <c r="AO24" s="76">
        <f t="shared" si="78"/>
        <v>0</v>
      </c>
      <c r="AP24" s="76">
        <f t="shared" si="16"/>
        <v>0</v>
      </c>
      <c r="AQ24" s="73">
        <f t="shared" si="17"/>
        <v>0</v>
      </c>
      <c r="AR24" s="185">
        <f t="shared" si="104"/>
        <v>0</v>
      </c>
      <c r="AS24" s="73">
        <f t="shared" si="105"/>
        <v>0</v>
      </c>
      <c r="AT24" s="73">
        <f t="shared" si="79"/>
        <v>0</v>
      </c>
      <c r="AU24" s="76">
        <f t="shared" si="80"/>
        <v>0</v>
      </c>
      <c r="AV24" s="76">
        <f t="shared" si="18"/>
        <v>0</v>
      </c>
      <c r="AW24" s="73">
        <f t="shared" si="19"/>
        <v>0</v>
      </c>
      <c r="AX24" s="185">
        <f t="shared" si="106"/>
        <v>0</v>
      </c>
      <c r="AY24" s="73">
        <f t="shared" si="81"/>
        <v>0</v>
      </c>
      <c r="AZ24" s="73">
        <f t="shared" si="82"/>
        <v>0</v>
      </c>
      <c r="BA24" s="76">
        <f t="shared" si="83"/>
        <v>0</v>
      </c>
      <c r="BB24" s="76">
        <f t="shared" si="20"/>
        <v>0</v>
      </c>
      <c r="BC24" s="73">
        <f t="shared" si="21"/>
        <v>0</v>
      </c>
      <c r="BD24" s="185">
        <f t="shared" si="107"/>
        <v>0</v>
      </c>
      <c r="BE24" s="73">
        <f t="shared" si="84"/>
        <v>0</v>
      </c>
      <c r="BF24" s="73">
        <f t="shared" si="85"/>
        <v>0</v>
      </c>
      <c r="BG24" s="76">
        <f t="shared" si="86"/>
        <v>0</v>
      </c>
      <c r="BH24" s="76">
        <f t="shared" si="22"/>
        <v>0</v>
      </c>
      <c r="BI24" s="73">
        <f t="shared" si="23"/>
        <v>0</v>
      </c>
      <c r="BJ24" s="185">
        <f t="shared" si="108"/>
        <v>0</v>
      </c>
      <c r="BK24" s="73">
        <f t="shared" si="87"/>
        <v>0</v>
      </c>
      <c r="BL24" s="73">
        <f t="shared" si="88"/>
        <v>0</v>
      </c>
      <c r="BM24" s="76">
        <f t="shared" si="24"/>
        <v>0</v>
      </c>
      <c r="BN24" s="76">
        <f t="shared" si="25"/>
        <v>0</v>
      </c>
      <c r="BO24" s="73">
        <f t="shared" si="26"/>
        <v>0</v>
      </c>
      <c r="BP24" s="185">
        <f t="shared" si="27"/>
        <v>0</v>
      </c>
      <c r="BQ24" s="184">
        <f t="shared" si="28"/>
        <v>0</v>
      </c>
      <c r="BR24" s="73">
        <f t="shared" si="29"/>
        <v>0</v>
      </c>
      <c r="BS24" s="76">
        <f t="shared" si="30"/>
        <v>0</v>
      </c>
      <c r="BT24" s="76">
        <f t="shared" si="31"/>
        <v>0</v>
      </c>
      <c r="BU24" s="73">
        <f t="shared" si="32"/>
        <v>0</v>
      </c>
      <c r="BV24" s="185">
        <f t="shared" si="33"/>
        <v>0</v>
      </c>
      <c r="BW24" s="184">
        <f>'Input Sheet'!R16</f>
        <v>0</v>
      </c>
      <c r="BX24" s="73">
        <f t="shared" si="34"/>
        <v>0</v>
      </c>
      <c r="BY24" s="76">
        <f t="shared" si="35"/>
        <v>0</v>
      </c>
      <c r="BZ24" s="76">
        <f t="shared" si="36"/>
        <v>0</v>
      </c>
      <c r="CA24" s="73">
        <f t="shared" si="37"/>
        <v>0</v>
      </c>
      <c r="CB24" s="185">
        <f t="shared" si="38"/>
        <v>0</v>
      </c>
      <c r="CC24" s="73">
        <f t="shared" si="89"/>
        <v>0</v>
      </c>
      <c r="CD24" s="73">
        <f t="shared" si="39"/>
        <v>0</v>
      </c>
      <c r="CE24" s="76">
        <f t="shared" si="40"/>
        <v>0</v>
      </c>
      <c r="CF24" s="76">
        <f t="shared" si="41"/>
        <v>0</v>
      </c>
      <c r="CG24" s="73">
        <f t="shared" si="42"/>
        <v>0</v>
      </c>
      <c r="CH24" s="185">
        <f t="shared" si="43"/>
        <v>0</v>
      </c>
      <c r="CI24" s="73">
        <f t="shared" si="90"/>
        <v>0</v>
      </c>
      <c r="CJ24" s="73">
        <f t="shared" si="44"/>
        <v>0</v>
      </c>
      <c r="CK24" s="76">
        <f t="shared" si="45"/>
        <v>0</v>
      </c>
      <c r="CL24" s="76">
        <f t="shared" si="46"/>
        <v>0</v>
      </c>
      <c r="CM24" s="73">
        <f t="shared" si="47"/>
        <v>0</v>
      </c>
      <c r="CN24" s="185">
        <f t="shared" si="48"/>
        <v>0</v>
      </c>
      <c r="CO24" s="184">
        <f>'Input Sheet'!M16</f>
        <v>0</v>
      </c>
      <c r="CP24" s="73">
        <f t="shared" si="49"/>
        <v>0</v>
      </c>
      <c r="CQ24" s="76">
        <f t="shared" si="91"/>
        <v>0</v>
      </c>
      <c r="CR24" s="76">
        <f t="shared" si="50"/>
        <v>0</v>
      </c>
      <c r="CS24" s="73">
        <f t="shared" si="51"/>
        <v>0</v>
      </c>
      <c r="CT24" s="185">
        <f t="shared" si="109"/>
        <v>0</v>
      </c>
      <c r="CU24" s="73">
        <f t="shared" si="52"/>
        <v>0</v>
      </c>
      <c r="CV24" s="73">
        <f t="shared" si="92"/>
        <v>0</v>
      </c>
      <c r="CW24" s="76">
        <f t="shared" si="93"/>
        <v>0</v>
      </c>
      <c r="CX24" s="76">
        <f t="shared" si="53"/>
        <v>0</v>
      </c>
      <c r="CY24" s="73">
        <f t="shared" si="54"/>
        <v>0</v>
      </c>
      <c r="CZ24" s="185">
        <f t="shared" si="110"/>
        <v>0</v>
      </c>
      <c r="DA24" s="73">
        <f t="shared" si="55"/>
        <v>0</v>
      </c>
      <c r="DB24" s="73">
        <f t="shared" si="94"/>
        <v>0</v>
      </c>
      <c r="DC24" s="76">
        <f t="shared" si="95"/>
        <v>0</v>
      </c>
      <c r="DD24" s="76">
        <f t="shared" si="56"/>
        <v>0</v>
      </c>
      <c r="DE24" s="73">
        <f t="shared" si="57"/>
        <v>0</v>
      </c>
      <c r="DF24" s="185">
        <f t="shared" si="111"/>
        <v>0</v>
      </c>
      <c r="DG24" s="73">
        <f t="shared" si="58"/>
        <v>0</v>
      </c>
      <c r="DH24" s="73">
        <f t="shared" si="96"/>
        <v>0</v>
      </c>
      <c r="DI24" s="76">
        <f t="shared" si="97"/>
        <v>0</v>
      </c>
      <c r="DJ24" s="76">
        <f t="shared" si="59"/>
        <v>0</v>
      </c>
      <c r="DK24" s="73">
        <f t="shared" si="60"/>
        <v>0</v>
      </c>
      <c r="DL24" s="185">
        <f t="shared" si="112"/>
        <v>0</v>
      </c>
      <c r="DM24" s="73">
        <f t="shared" si="61"/>
        <v>0</v>
      </c>
      <c r="DN24" s="73">
        <f t="shared" si="98"/>
        <v>0</v>
      </c>
      <c r="DO24" s="427">
        <f t="shared" si="99"/>
        <v>0</v>
      </c>
      <c r="DP24" s="427">
        <f t="shared" si="62"/>
        <v>0</v>
      </c>
      <c r="DQ24" s="426">
        <f t="shared" si="63"/>
        <v>0</v>
      </c>
      <c r="DR24" s="428">
        <f t="shared" si="113"/>
        <v>0</v>
      </c>
      <c r="DS24" s="426">
        <v>0</v>
      </c>
      <c r="DT24" s="426">
        <f t="shared" si="100"/>
        <v>0</v>
      </c>
    </row>
    <row r="25" spans="2:124" x14ac:dyDescent="0.35">
      <c r="B25" s="15"/>
      <c r="C25" s="178"/>
      <c r="D25" s="14"/>
      <c r="E25" s="186"/>
      <c r="F25" s="186"/>
      <c r="G25" s="337"/>
      <c r="H25" s="339"/>
      <c r="I25" s="337"/>
      <c r="J25" s="337"/>
      <c r="K25" s="186"/>
      <c r="L25" s="186"/>
      <c r="M25" s="73"/>
      <c r="N25" s="185"/>
      <c r="O25" s="73"/>
      <c r="P25" s="73"/>
      <c r="Q25" s="186"/>
      <c r="R25" s="186"/>
      <c r="S25" s="73"/>
      <c r="T25" s="185"/>
      <c r="U25" s="73"/>
      <c r="V25" s="73"/>
      <c r="W25" s="186"/>
      <c r="X25" s="186"/>
      <c r="Y25" s="73"/>
      <c r="Z25" s="185"/>
      <c r="AA25" s="73"/>
      <c r="AB25" s="73"/>
      <c r="AC25" s="186"/>
      <c r="AD25" s="186"/>
      <c r="AE25" s="73"/>
      <c r="AF25" s="185"/>
      <c r="AG25" s="73"/>
      <c r="AH25" s="73"/>
      <c r="AI25" s="186"/>
      <c r="AJ25" s="186"/>
      <c r="AK25" s="73"/>
      <c r="AL25" s="185"/>
      <c r="AM25" s="73"/>
      <c r="AN25" s="73"/>
      <c r="AO25" s="186"/>
      <c r="AP25" s="186"/>
      <c r="AQ25" s="73"/>
      <c r="AR25" s="185"/>
      <c r="AS25" s="73"/>
      <c r="AT25" s="73"/>
      <c r="AU25" s="186"/>
      <c r="AV25" s="186"/>
      <c r="AW25" s="73"/>
      <c r="AX25" s="185"/>
      <c r="AY25" s="73"/>
      <c r="AZ25" s="73"/>
      <c r="BA25" s="186"/>
      <c r="BB25" s="186"/>
      <c r="BC25" s="73"/>
      <c r="BD25" s="185"/>
      <c r="BE25" s="73"/>
      <c r="BF25" s="73"/>
      <c r="BG25" s="186"/>
      <c r="BH25" s="186"/>
      <c r="BI25" s="73"/>
      <c r="BJ25" s="185"/>
      <c r="BK25" s="73"/>
      <c r="BL25" s="73"/>
      <c r="BM25" s="186"/>
      <c r="BN25" s="186"/>
      <c r="BO25" s="73"/>
      <c r="BP25" s="185"/>
      <c r="BQ25" s="73"/>
      <c r="BR25" s="73"/>
      <c r="BS25" s="186"/>
      <c r="BT25" s="186"/>
      <c r="BU25" s="73"/>
      <c r="BV25" s="185"/>
      <c r="BW25" s="73"/>
      <c r="BX25" s="73"/>
      <c r="BY25" s="186"/>
      <c r="BZ25" s="186"/>
      <c r="CA25" s="73"/>
      <c r="CB25" s="185"/>
      <c r="CC25" s="73"/>
      <c r="CD25" s="73"/>
      <c r="CE25" s="186"/>
      <c r="CF25" s="186"/>
      <c r="CG25" s="73"/>
      <c r="CH25" s="185"/>
      <c r="CI25" s="73"/>
      <c r="CJ25" s="73"/>
      <c r="CK25" s="186"/>
      <c r="CL25" s="186"/>
      <c r="CM25" s="73"/>
      <c r="CN25" s="185"/>
      <c r="CO25" s="73"/>
      <c r="CP25" s="73"/>
      <c r="CQ25" s="186"/>
      <c r="CR25" s="186"/>
      <c r="CS25" s="73"/>
      <c r="CT25" s="185"/>
      <c r="CU25" s="73"/>
      <c r="CV25" s="73"/>
      <c r="CW25" s="186"/>
      <c r="CX25" s="186"/>
      <c r="CY25" s="73"/>
      <c r="CZ25" s="185"/>
      <c r="DA25" s="73"/>
      <c r="DB25" s="73"/>
      <c r="DC25" s="186"/>
      <c r="DD25" s="186"/>
      <c r="DE25" s="73"/>
      <c r="DF25" s="185"/>
      <c r="DG25" s="73"/>
      <c r="DH25" s="73"/>
      <c r="DI25" s="186"/>
      <c r="DJ25" s="186"/>
      <c r="DK25" s="73"/>
      <c r="DL25" s="185"/>
      <c r="DM25" s="73"/>
      <c r="DN25" s="73"/>
      <c r="DO25" s="186"/>
      <c r="DP25" s="186"/>
      <c r="DQ25" s="426"/>
      <c r="DR25" s="428"/>
      <c r="DS25" s="426"/>
      <c r="DT25" s="426"/>
    </row>
    <row r="26" spans="2:124" x14ac:dyDescent="0.35">
      <c r="B26" s="15"/>
      <c r="C26" s="178" t="s">
        <v>503</v>
      </c>
      <c r="D26" s="14"/>
      <c r="E26" s="186"/>
      <c r="F26" s="186"/>
      <c r="G26" s="337"/>
      <c r="H26" s="339"/>
      <c r="I26" s="337"/>
      <c r="J26" s="337"/>
      <c r="K26" s="186"/>
      <c r="L26" s="186"/>
      <c r="M26" s="73"/>
      <c r="N26" s="185"/>
      <c r="O26" s="73"/>
      <c r="P26" s="73"/>
      <c r="Q26" s="186"/>
      <c r="R26" s="186"/>
      <c r="S26" s="73"/>
      <c r="T26" s="185"/>
      <c r="U26" s="73"/>
      <c r="V26" s="73"/>
      <c r="W26" s="186"/>
      <c r="X26" s="186"/>
      <c r="Y26" s="73"/>
      <c r="Z26" s="185"/>
      <c r="AA26" s="73"/>
      <c r="AB26" s="73"/>
      <c r="AC26" s="186"/>
      <c r="AD26" s="186"/>
      <c r="AE26" s="73"/>
      <c r="AF26" s="185"/>
      <c r="AG26" s="73"/>
      <c r="AH26" s="73"/>
      <c r="AI26" s="186"/>
      <c r="AJ26" s="186"/>
      <c r="AK26" s="73"/>
      <c r="AL26" s="185"/>
      <c r="AM26" s="73"/>
      <c r="AN26" s="73"/>
      <c r="AO26" s="186"/>
      <c r="AP26" s="186"/>
      <c r="AQ26" s="73"/>
      <c r="AR26" s="185"/>
      <c r="AS26" s="73"/>
      <c r="AT26" s="73"/>
      <c r="AU26" s="186"/>
      <c r="AV26" s="186"/>
      <c r="AW26" s="73"/>
      <c r="AX26" s="185"/>
      <c r="AY26" s="73"/>
      <c r="AZ26" s="73"/>
      <c r="BA26" s="186"/>
      <c r="BB26" s="186"/>
      <c r="BC26" s="73"/>
      <c r="BD26" s="185"/>
      <c r="BE26" s="73"/>
      <c r="BF26" s="73"/>
      <c r="BG26" s="186"/>
      <c r="BH26" s="186"/>
      <c r="BI26" s="73"/>
      <c r="BJ26" s="185"/>
      <c r="BK26" s="73"/>
      <c r="BL26" s="73"/>
      <c r="BM26" s="186"/>
      <c r="BN26" s="186"/>
      <c r="BO26" s="73"/>
      <c r="BP26" s="185"/>
      <c r="BQ26" s="73"/>
      <c r="BR26" s="73"/>
      <c r="BS26" s="186"/>
      <c r="BT26" s="186"/>
      <c r="BU26" s="73"/>
      <c r="BV26" s="185"/>
      <c r="BW26" s="73"/>
      <c r="BX26" s="73"/>
      <c r="BY26" s="186"/>
      <c r="BZ26" s="186"/>
      <c r="CA26" s="73"/>
      <c r="CB26" s="185"/>
      <c r="CC26" s="73"/>
      <c r="CD26" s="73"/>
      <c r="CE26" s="186"/>
      <c r="CF26" s="186"/>
      <c r="CG26" s="73"/>
      <c r="CH26" s="185"/>
      <c r="CI26" s="73"/>
      <c r="CJ26" s="73"/>
      <c r="CK26" s="186"/>
      <c r="CL26" s="186"/>
      <c r="CM26" s="73"/>
      <c r="CN26" s="185"/>
      <c r="CO26" s="73"/>
      <c r="CP26" s="73"/>
      <c r="CQ26" s="186"/>
      <c r="CR26" s="186"/>
      <c r="CS26" s="73"/>
      <c r="CT26" s="185"/>
      <c r="CU26" s="73"/>
      <c r="CV26" s="73"/>
      <c r="CW26" s="186"/>
      <c r="CX26" s="186"/>
      <c r="CY26" s="73"/>
      <c r="CZ26" s="185"/>
      <c r="DA26" s="73"/>
      <c r="DB26" s="73"/>
      <c r="DC26" s="186"/>
      <c r="DD26" s="186"/>
      <c r="DE26" s="73"/>
      <c r="DF26" s="185"/>
      <c r="DG26" s="73"/>
      <c r="DH26" s="73"/>
      <c r="DI26" s="186"/>
      <c r="DJ26" s="186"/>
      <c r="DK26" s="73"/>
      <c r="DL26" s="185"/>
      <c r="DM26" s="73"/>
      <c r="DN26" s="73"/>
      <c r="DO26" s="186"/>
      <c r="DP26" s="186"/>
      <c r="DQ26" s="426"/>
      <c r="DR26" s="428"/>
      <c r="DS26" s="426"/>
      <c r="DT26" s="426"/>
    </row>
    <row r="27" spans="2:124" x14ac:dyDescent="0.35">
      <c r="B27" s="15"/>
      <c r="C27" s="187" t="s">
        <v>61</v>
      </c>
      <c r="D27" s="14"/>
      <c r="E27" s="333"/>
      <c r="F27" s="333"/>
      <c r="G27" s="337"/>
      <c r="H27" s="339"/>
      <c r="I27" s="337"/>
      <c r="J27" s="337"/>
      <c r="K27" s="14"/>
      <c r="L27" s="14"/>
      <c r="M27" s="73"/>
      <c r="N27" s="185"/>
      <c r="O27" s="73"/>
      <c r="P27" s="73"/>
      <c r="Q27" s="14"/>
      <c r="R27" s="14"/>
      <c r="S27" s="73"/>
      <c r="T27" s="185"/>
      <c r="U27" s="73"/>
      <c r="V27" s="73"/>
      <c r="W27" s="14"/>
      <c r="X27" s="14"/>
      <c r="Y27" s="73"/>
      <c r="Z27" s="185"/>
      <c r="AA27" s="73"/>
      <c r="AB27" s="73"/>
      <c r="AC27" s="14"/>
      <c r="AD27" s="14"/>
      <c r="AE27" s="73"/>
      <c r="AF27" s="185"/>
      <c r="AG27" s="73"/>
      <c r="AH27" s="73"/>
      <c r="AI27" s="14"/>
      <c r="AJ27" s="14"/>
      <c r="AK27" s="73"/>
      <c r="AL27" s="185"/>
      <c r="AM27" s="73"/>
      <c r="AN27" s="73"/>
      <c r="AO27" s="14"/>
      <c r="AP27" s="14"/>
      <c r="AQ27" s="73"/>
      <c r="AR27" s="185"/>
      <c r="AS27" s="73"/>
      <c r="AT27" s="73"/>
      <c r="AU27" s="14"/>
      <c r="AV27" s="14"/>
      <c r="AW27" s="73"/>
      <c r="AX27" s="185"/>
      <c r="AY27" s="73"/>
      <c r="AZ27" s="73"/>
      <c r="BA27" s="14"/>
      <c r="BB27" s="14"/>
      <c r="BC27" s="73"/>
      <c r="BD27" s="185"/>
      <c r="BE27" s="73"/>
      <c r="BF27" s="73"/>
      <c r="BG27" s="14"/>
      <c r="BH27" s="14"/>
      <c r="BI27" s="73"/>
      <c r="BJ27" s="185"/>
      <c r="BK27" s="73"/>
      <c r="BL27" s="73"/>
      <c r="BM27" s="14"/>
      <c r="BN27" s="14"/>
      <c r="BO27" s="73"/>
      <c r="BP27" s="185"/>
      <c r="BQ27" s="73"/>
      <c r="BR27" s="73"/>
      <c r="BS27" s="14"/>
      <c r="BT27" s="14"/>
      <c r="BU27" s="73"/>
      <c r="BV27" s="185"/>
      <c r="BW27" s="73"/>
      <c r="BX27" s="73"/>
      <c r="BY27" s="14"/>
      <c r="BZ27" s="14"/>
      <c r="CA27" s="73"/>
      <c r="CB27" s="185"/>
      <c r="CC27" s="73"/>
      <c r="CD27" s="73"/>
      <c r="CE27" s="14"/>
      <c r="CF27" s="14"/>
      <c r="CG27" s="73"/>
      <c r="CH27" s="185"/>
      <c r="CI27" s="73"/>
      <c r="CJ27" s="73"/>
      <c r="CK27" s="14"/>
      <c r="CL27" s="14"/>
      <c r="CM27" s="73"/>
      <c r="CN27" s="185"/>
      <c r="CO27" s="73"/>
      <c r="CP27" s="73"/>
      <c r="CQ27" s="14"/>
      <c r="CR27" s="14"/>
      <c r="CS27" s="73"/>
      <c r="CT27" s="185"/>
      <c r="CU27" s="73"/>
      <c r="CV27" s="73"/>
      <c r="CW27" s="14"/>
      <c r="CX27" s="14"/>
      <c r="CY27" s="73"/>
      <c r="CZ27" s="185"/>
      <c r="DA27" s="73"/>
      <c r="DB27" s="73"/>
      <c r="DC27" s="14"/>
      <c r="DD27" s="14"/>
      <c r="DE27" s="73"/>
      <c r="DF27" s="185"/>
      <c r="DG27" s="73"/>
      <c r="DH27" s="73"/>
      <c r="DI27" s="14"/>
      <c r="DJ27" s="14"/>
      <c r="DK27" s="73"/>
      <c r="DL27" s="185"/>
      <c r="DM27" s="73"/>
      <c r="DN27" s="73"/>
      <c r="DO27" s="421"/>
      <c r="DP27" s="421"/>
      <c r="DQ27" s="426"/>
      <c r="DR27" s="428"/>
      <c r="DS27" s="426"/>
      <c r="DT27" s="426"/>
    </row>
    <row r="28" spans="2:124" x14ac:dyDescent="0.35">
      <c r="B28" s="15"/>
      <c r="C28" s="178" t="s">
        <v>73</v>
      </c>
      <c r="D28" s="188" t="s">
        <v>84</v>
      </c>
      <c r="E28" s="485">
        <v>6</v>
      </c>
      <c r="F28" s="486"/>
      <c r="G28" s="486"/>
      <c r="H28" s="486"/>
      <c r="I28" s="486"/>
      <c r="J28" s="487"/>
      <c r="K28" s="446">
        <v>6</v>
      </c>
      <c r="L28" s="446"/>
      <c r="M28" s="446"/>
      <c r="N28" s="446"/>
      <c r="O28" s="446"/>
      <c r="P28" s="446"/>
      <c r="Q28" s="446">
        <v>6</v>
      </c>
      <c r="R28" s="446"/>
      <c r="S28" s="446"/>
      <c r="T28" s="446"/>
      <c r="U28" s="446"/>
      <c r="V28" s="446"/>
      <c r="W28" s="446">
        <v>6</v>
      </c>
      <c r="X28" s="446"/>
      <c r="Y28" s="446"/>
      <c r="Z28" s="446"/>
      <c r="AA28" s="446"/>
      <c r="AB28" s="446"/>
      <c r="AC28" s="446">
        <v>4</v>
      </c>
      <c r="AD28" s="446"/>
      <c r="AE28" s="446"/>
      <c r="AF28" s="446"/>
      <c r="AG28" s="446"/>
      <c r="AH28" s="446"/>
      <c r="AI28" s="446">
        <v>4</v>
      </c>
      <c r="AJ28" s="446"/>
      <c r="AK28" s="446"/>
      <c r="AL28" s="446"/>
      <c r="AM28" s="446"/>
      <c r="AN28" s="446"/>
      <c r="AO28" s="446">
        <v>4</v>
      </c>
      <c r="AP28" s="446"/>
      <c r="AQ28" s="446"/>
      <c r="AR28" s="446"/>
      <c r="AS28" s="446"/>
      <c r="AT28" s="446"/>
      <c r="AU28" s="446">
        <v>4</v>
      </c>
      <c r="AV28" s="446"/>
      <c r="AW28" s="446"/>
      <c r="AX28" s="446"/>
      <c r="AY28" s="446"/>
      <c r="AZ28" s="446"/>
      <c r="BA28" s="446">
        <v>4</v>
      </c>
      <c r="BB28" s="446"/>
      <c r="BC28" s="446"/>
      <c r="BD28" s="446"/>
      <c r="BE28" s="446"/>
      <c r="BF28" s="446"/>
      <c r="BG28" s="446">
        <v>4</v>
      </c>
      <c r="BH28" s="446"/>
      <c r="BI28" s="446"/>
      <c r="BJ28" s="446"/>
      <c r="BK28" s="446"/>
      <c r="BL28" s="446"/>
      <c r="BM28" s="446">
        <v>8</v>
      </c>
      <c r="BN28" s="446"/>
      <c r="BO28" s="446"/>
      <c r="BP28" s="446"/>
      <c r="BQ28" s="446"/>
      <c r="BR28" s="446"/>
      <c r="BS28" s="446">
        <v>8</v>
      </c>
      <c r="BT28" s="446"/>
      <c r="BU28" s="446"/>
      <c r="BV28" s="446"/>
      <c r="BW28" s="446"/>
      <c r="BX28" s="446"/>
      <c r="BY28" s="446">
        <v>4</v>
      </c>
      <c r="BZ28" s="446"/>
      <c r="CA28" s="446"/>
      <c r="CB28" s="446"/>
      <c r="CC28" s="446"/>
      <c r="CD28" s="446"/>
      <c r="CE28" s="446">
        <v>4</v>
      </c>
      <c r="CF28" s="446"/>
      <c r="CG28" s="446"/>
      <c r="CH28" s="446"/>
      <c r="CI28" s="446"/>
      <c r="CJ28" s="446"/>
      <c r="CK28" s="446">
        <v>3</v>
      </c>
      <c r="CL28" s="446"/>
      <c r="CM28" s="446"/>
      <c r="CN28" s="446"/>
      <c r="CO28" s="446"/>
      <c r="CP28" s="446"/>
      <c r="CQ28" s="446">
        <v>3</v>
      </c>
      <c r="CR28" s="446"/>
      <c r="CS28" s="446"/>
      <c r="CT28" s="446"/>
      <c r="CU28" s="446"/>
      <c r="CV28" s="446"/>
      <c r="CW28" s="446">
        <v>3</v>
      </c>
      <c r="CX28" s="446"/>
      <c r="CY28" s="446"/>
      <c r="CZ28" s="446"/>
      <c r="DA28" s="446"/>
      <c r="DB28" s="446"/>
      <c r="DC28" s="446">
        <v>3</v>
      </c>
      <c r="DD28" s="446"/>
      <c r="DE28" s="446"/>
      <c r="DF28" s="446"/>
      <c r="DG28" s="446"/>
      <c r="DH28" s="446"/>
      <c r="DI28" s="446">
        <v>3</v>
      </c>
      <c r="DJ28" s="446"/>
      <c r="DK28" s="446"/>
      <c r="DL28" s="446"/>
      <c r="DM28" s="446"/>
      <c r="DN28" s="446"/>
      <c r="DO28" s="446">
        <v>0.75</v>
      </c>
      <c r="DP28" s="446"/>
      <c r="DQ28" s="446"/>
      <c r="DR28" s="446"/>
      <c r="DS28" s="446"/>
      <c r="DT28" s="446"/>
    </row>
    <row r="29" spans="2:124" x14ac:dyDescent="0.35">
      <c r="B29" s="15"/>
      <c r="C29" s="178" t="s">
        <v>74</v>
      </c>
      <c r="D29" s="188"/>
      <c r="E29" s="485">
        <v>40</v>
      </c>
      <c r="F29" s="486"/>
      <c r="G29" s="486"/>
      <c r="H29" s="486"/>
      <c r="I29" s="486"/>
      <c r="J29" s="487"/>
      <c r="K29" s="446">
        <v>40</v>
      </c>
      <c r="L29" s="446"/>
      <c r="M29" s="446"/>
      <c r="N29" s="446"/>
      <c r="O29" s="446"/>
      <c r="P29" s="446"/>
      <c r="Q29" s="446">
        <v>40</v>
      </c>
      <c r="R29" s="446"/>
      <c r="S29" s="446"/>
      <c r="T29" s="446"/>
      <c r="U29" s="446"/>
      <c r="V29" s="446"/>
      <c r="W29" s="446">
        <v>40</v>
      </c>
      <c r="X29" s="446"/>
      <c r="Y29" s="446"/>
      <c r="Z29" s="446"/>
      <c r="AA29" s="446"/>
      <c r="AB29" s="446"/>
      <c r="AC29" s="446">
        <v>40</v>
      </c>
      <c r="AD29" s="446"/>
      <c r="AE29" s="446"/>
      <c r="AF29" s="446"/>
      <c r="AG29" s="446"/>
      <c r="AH29" s="446"/>
      <c r="AI29" s="446">
        <v>40</v>
      </c>
      <c r="AJ29" s="446"/>
      <c r="AK29" s="446"/>
      <c r="AL29" s="446"/>
      <c r="AM29" s="446"/>
      <c r="AN29" s="446"/>
      <c r="AO29" s="446">
        <v>40</v>
      </c>
      <c r="AP29" s="446"/>
      <c r="AQ29" s="446"/>
      <c r="AR29" s="446"/>
      <c r="AS29" s="446"/>
      <c r="AT29" s="446"/>
      <c r="AU29" s="446">
        <v>40</v>
      </c>
      <c r="AV29" s="446"/>
      <c r="AW29" s="446"/>
      <c r="AX29" s="446"/>
      <c r="AY29" s="446"/>
      <c r="AZ29" s="446"/>
      <c r="BA29" s="446">
        <v>40</v>
      </c>
      <c r="BB29" s="446"/>
      <c r="BC29" s="446"/>
      <c r="BD29" s="446"/>
      <c r="BE29" s="446"/>
      <c r="BF29" s="446"/>
      <c r="BG29" s="446">
        <v>40</v>
      </c>
      <c r="BH29" s="446"/>
      <c r="BI29" s="446"/>
      <c r="BJ29" s="446"/>
      <c r="BK29" s="446"/>
      <c r="BL29" s="446"/>
      <c r="BM29" s="446">
        <v>40</v>
      </c>
      <c r="BN29" s="446"/>
      <c r="BO29" s="446"/>
      <c r="BP29" s="446"/>
      <c r="BQ29" s="446"/>
      <c r="BR29" s="446"/>
      <c r="BS29" s="446">
        <v>40</v>
      </c>
      <c r="BT29" s="446"/>
      <c r="BU29" s="446"/>
      <c r="BV29" s="446"/>
      <c r="BW29" s="446"/>
      <c r="BX29" s="446"/>
      <c r="BY29" s="446">
        <v>40</v>
      </c>
      <c r="BZ29" s="446"/>
      <c r="CA29" s="446"/>
      <c r="CB29" s="446"/>
      <c r="CC29" s="446"/>
      <c r="CD29" s="446"/>
      <c r="CE29" s="446">
        <v>40</v>
      </c>
      <c r="CF29" s="446"/>
      <c r="CG29" s="446"/>
      <c r="CH29" s="446"/>
      <c r="CI29" s="446"/>
      <c r="CJ29" s="446"/>
      <c r="CK29" s="446">
        <v>80</v>
      </c>
      <c r="CL29" s="446"/>
      <c r="CM29" s="446"/>
      <c r="CN29" s="446"/>
      <c r="CO29" s="446"/>
      <c r="CP29" s="446"/>
      <c r="CQ29" s="446">
        <v>80</v>
      </c>
      <c r="CR29" s="446"/>
      <c r="CS29" s="446"/>
      <c r="CT29" s="446"/>
      <c r="CU29" s="446"/>
      <c r="CV29" s="446"/>
      <c r="CW29" s="446">
        <v>80</v>
      </c>
      <c r="CX29" s="446"/>
      <c r="CY29" s="446"/>
      <c r="CZ29" s="446"/>
      <c r="DA29" s="446"/>
      <c r="DB29" s="446"/>
      <c r="DC29" s="446">
        <v>80</v>
      </c>
      <c r="DD29" s="446"/>
      <c r="DE29" s="446"/>
      <c r="DF29" s="446"/>
      <c r="DG29" s="446"/>
      <c r="DH29" s="446"/>
      <c r="DI29" s="446">
        <v>80</v>
      </c>
      <c r="DJ29" s="446"/>
      <c r="DK29" s="446"/>
      <c r="DL29" s="446"/>
      <c r="DM29" s="446"/>
      <c r="DN29" s="446"/>
      <c r="DO29" s="446">
        <v>80</v>
      </c>
      <c r="DP29" s="446"/>
      <c r="DQ29" s="446"/>
      <c r="DR29" s="446"/>
      <c r="DS29" s="446"/>
      <c r="DT29" s="446"/>
    </row>
    <row r="30" spans="2:124" x14ac:dyDescent="0.35">
      <c r="B30" s="15"/>
      <c r="C30" s="189" t="s">
        <v>60</v>
      </c>
      <c r="D30" s="188" t="s">
        <v>84</v>
      </c>
      <c r="E30" s="488">
        <f>VLOOKUP(E28,'Calculation Basis'!$F$4:$T$47,MATCH(E29,'Calculation Basis'!$F$3:$T$3,0),0)</f>
        <v>6.0650000000000004</v>
      </c>
      <c r="F30" s="489"/>
      <c r="G30" s="489"/>
      <c r="H30" s="489"/>
      <c r="I30" s="489"/>
      <c r="J30" s="490"/>
      <c r="K30" s="447">
        <f>VLOOKUP(K28,'Calculation Basis'!$F$4:$T$47,MATCH(K29,'Calculation Basis'!$F$3:$T$3,0),0)</f>
        <v>6.0650000000000004</v>
      </c>
      <c r="L30" s="447"/>
      <c r="M30" s="447"/>
      <c r="N30" s="447"/>
      <c r="O30" s="447"/>
      <c r="P30" s="447"/>
      <c r="Q30" s="447">
        <f>VLOOKUP(Q28,'Calculation Basis'!$F$4:$T$47,MATCH(Q29,'Calculation Basis'!$F$3:$T$3,0),0)</f>
        <v>6.0650000000000004</v>
      </c>
      <c r="R30" s="447"/>
      <c r="S30" s="447"/>
      <c r="T30" s="447"/>
      <c r="U30" s="447"/>
      <c r="V30" s="447"/>
      <c r="W30" s="447">
        <f>VLOOKUP(W28,'Calculation Basis'!$F$4:$T$47,MATCH(W29,'Calculation Basis'!$F$3:$T$3,0),0)</f>
        <v>6.0650000000000004</v>
      </c>
      <c r="X30" s="447"/>
      <c r="Y30" s="447"/>
      <c r="Z30" s="447"/>
      <c r="AA30" s="447"/>
      <c r="AB30" s="447"/>
      <c r="AC30" s="447">
        <f>VLOOKUP(AC28,'Calculation Basis'!$F$4:$T$47,MATCH(AC29,'Calculation Basis'!$F$3:$T$3,0),0)</f>
        <v>4.0259999999999998</v>
      </c>
      <c r="AD30" s="447"/>
      <c r="AE30" s="447"/>
      <c r="AF30" s="447"/>
      <c r="AG30" s="447"/>
      <c r="AH30" s="447"/>
      <c r="AI30" s="447">
        <f>VLOOKUP(AI28,'Calculation Basis'!$F$4:$T$47,MATCH(AI29,'Calculation Basis'!$F$3:$T$3,0),0)</f>
        <v>4.0259999999999998</v>
      </c>
      <c r="AJ30" s="447"/>
      <c r="AK30" s="447"/>
      <c r="AL30" s="447"/>
      <c r="AM30" s="447"/>
      <c r="AN30" s="447"/>
      <c r="AO30" s="447">
        <f>VLOOKUP(AO28,'Calculation Basis'!$F$4:$T$47,MATCH(AO29,'Calculation Basis'!$F$3:$T$3,0),0)</f>
        <v>4.0259999999999998</v>
      </c>
      <c r="AP30" s="447"/>
      <c r="AQ30" s="447"/>
      <c r="AR30" s="447"/>
      <c r="AS30" s="447"/>
      <c r="AT30" s="447"/>
      <c r="AU30" s="447">
        <f>VLOOKUP(AU28,'Calculation Basis'!$F$4:$T$47,MATCH(AU29,'Calculation Basis'!$F$3:$T$3,0),0)</f>
        <v>4.0259999999999998</v>
      </c>
      <c r="AV30" s="447"/>
      <c r="AW30" s="447"/>
      <c r="AX30" s="447"/>
      <c r="AY30" s="447"/>
      <c r="AZ30" s="447"/>
      <c r="BA30" s="447">
        <f>VLOOKUP(BA28,'Calculation Basis'!$F$4:$T$47,MATCH(BA29,'Calculation Basis'!$F$3:$T$3,0),0)</f>
        <v>4.0259999999999998</v>
      </c>
      <c r="BB30" s="447"/>
      <c r="BC30" s="447"/>
      <c r="BD30" s="447"/>
      <c r="BE30" s="447"/>
      <c r="BF30" s="447"/>
      <c r="BG30" s="447">
        <f>VLOOKUP(BG28,'Calculation Basis'!$F$4:$T$47,MATCH(BG29,'Calculation Basis'!$F$3:$T$3,0),0)</f>
        <v>4.0259999999999998</v>
      </c>
      <c r="BH30" s="447"/>
      <c r="BI30" s="447"/>
      <c r="BJ30" s="447"/>
      <c r="BK30" s="447"/>
      <c r="BL30" s="447"/>
      <c r="BM30" s="447">
        <f>VLOOKUP(BM28,'Calculation Basis'!$F$4:$T$47,MATCH(BM29,'Calculation Basis'!$F$3:$T$3,0),0)</f>
        <v>7.9809999999999999</v>
      </c>
      <c r="BN30" s="447"/>
      <c r="BO30" s="447"/>
      <c r="BP30" s="447"/>
      <c r="BQ30" s="447"/>
      <c r="BR30" s="447"/>
      <c r="BS30" s="447">
        <f>VLOOKUP(BS28,'Calculation Basis'!$F$4:$T$47,MATCH(BS29,'Calculation Basis'!$F$3:$T$3,0),0)</f>
        <v>7.9809999999999999</v>
      </c>
      <c r="BT30" s="447"/>
      <c r="BU30" s="447"/>
      <c r="BV30" s="447"/>
      <c r="BW30" s="447"/>
      <c r="BX30" s="447"/>
      <c r="BY30" s="447">
        <f>VLOOKUP(BY28,'Calculation Basis'!$F$4:$T$47,MATCH(BY29,'Calculation Basis'!$F$3:$T$3,0),0)</f>
        <v>4.0259999999999998</v>
      </c>
      <c r="BZ30" s="447"/>
      <c r="CA30" s="447"/>
      <c r="CB30" s="447"/>
      <c r="CC30" s="447"/>
      <c r="CD30" s="447"/>
      <c r="CE30" s="447">
        <f>VLOOKUP(CE28,'Calculation Basis'!$F$4:$T$47,MATCH(CE29,'Calculation Basis'!$F$3:$T$3,0),0)</f>
        <v>4.0259999999999998</v>
      </c>
      <c r="CF30" s="447"/>
      <c r="CG30" s="447"/>
      <c r="CH30" s="447"/>
      <c r="CI30" s="447"/>
      <c r="CJ30" s="447"/>
      <c r="CK30" s="447">
        <f>VLOOKUP(CK28,'Calculation Basis'!$F$4:$T$47,MATCH(CK29,'Calculation Basis'!$F$3:$T$3,0),0)</f>
        <v>2.9</v>
      </c>
      <c r="CL30" s="447"/>
      <c r="CM30" s="447"/>
      <c r="CN30" s="447"/>
      <c r="CO30" s="447"/>
      <c r="CP30" s="447"/>
      <c r="CQ30" s="447">
        <f>VLOOKUP(CQ28,'Calculation Basis'!$F$4:$T$47,MATCH(CQ29,'Calculation Basis'!$F$3:$T$3,0),0)</f>
        <v>2.9</v>
      </c>
      <c r="CR30" s="447"/>
      <c r="CS30" s="447"/>
      <c r="CT30" s="447"/>
      <c r="CU30" s="447"/>
      <c r="CV30" s="447"/>
      <c r="CW30" s="447">
        <f>VLOOKUP(CW28,'Calculation Basis'!$F$4:$T$47,MATCH(CW29,'Calculation Basis'!$F$3:$T$3,0),0)</f>
        <v>2.9</v>
      </c>
      <c r="CX30" s="447"/>
      <c r="CY30" s="447"/>
      <c r="CZ30" s="447"/>
      <c r="DA30" s="447"/>
      <c r="DB30" s="447"/>
      <c r="DC30" s="447">
        <f>VLOOKUP(DC28,'Calculation Basis'!$F$4:$T$47,MATCH(DC29,'Calculation Basis'!$F$3:$T$3,0),0)</f>
        <v>2.9</v>
      </c>
      <c r="DD30" s="447"/>
      <c r="DE30" s="447"/>
      <c r="DF30" s="447"/>
      <c r="DG30" s="447"/>
      <c r="DH30" s="447"/>
      <c r="DI30" s="447">
        <f>VLOOKUP(DI28,'Calculation Basis'!$F$4:$T$47,MATCH(DI29,'Calculation Basis'!$F$3:$T$3,0),0)</f>
        <v>2.9</v>
      </c>
      <c r="DJ30" s="447"/>
      <c r="DK30" s="447"/>
      <c r="DL30" s="447"/>
      <c r="DM30" s="447"/>
      <c r="DN30" s="447"/>
      <c r="DO30" s="447">
        <f>VLOOKUP(DO28,'Calculation Basis'!$F$4:$T$47,MATCH(DO29,'Calculation Basis'!$F$3:$T$3,0),0)</f>
        <v>0.74199999999999999</v>
      </c>
      <c r="DP30" s="447"/>
      <c r="DQ30" s="447"/>
      <c r="DR30" s="447"/>
      <c r="DS30" s="447"/>
      <c r="DT30" s="447"/>
    </row>
    <row r="31" spans="2:124" ht="14.5" customHeight="1" x14ac:dyDescent="0.35">
      <c r="B31" s="15"/>
      <c r="C31" s="178" t="s">
        <v>75</v>
      </c>
      <c r="D31" s="188"/>
      <c r="E31" s="485" t="s">
        <v>82</v>
      </c>
      <c r="F31" s="486"/>
      <c r="G31" s="486"/>
      <c r="H31" s="486"/>
      <c r="I31" s="486"/>
      <c r="J31" s="487"/>
      <c r="K31" s="446" t="s">
        <v>82</v>
      </c>
      <c r="L31" s="446"/>
      <c r="M31" s="446"/>
      <c r="N31" s="446"/>
      <c r="O31" s="446"/>
      <c r="P31" s="446"/>
      <c r="Q31" s="446" t="s">
        <v>82</v>
      </c>
      <c r="R31" s="446"/>
      <c r="S31" s="446"/>
      <c r="T31" s="446"/>
      <c r="U31" s="446"/>
      <c r="V31" s="446"/>
      <c r="W31" s="446" t="s">
        <v>82</v>
      </c>
      <c r="X31" s="446"/>
      <c r="Y31" s="446"/>
      <c r="Z31" s="446"/>
      <c r="AA31" s="446"/>
      <c r="AB31" s="446"/>
      <c r="AC31" s="446" t="s">
        <v>82</v>
      </c>
      <c r="AD31" s="446"/>
      <c r="AE31" s="446"/>
      <c r="AF31" s="446"/>
      <c r="AG31" s="446"/>
      <c r="AH31" s="446"/>
      <c r="AI31" s="446" t="s">
        <v>82</v>
      </c>
      <c r="AJ31" s="446"/>
      <c r="AK31" s="446"/>
      <c r="AL31" s="446"/>
      <c r="AM31" s="446"/>
      <c r="AN31" s="446"/>
      <c r="AO31" s="446" t="s">
        <v>82</v>
      </c>
      <c r="AP31" s="446"/>
      <c r="AQ31" s="446"/>
      <c r="AR31" s="446"/>
      <c r="AS31" s="446"/>
      <c r="AT31" s="446"/>
      <c r="AU31" s="446" t="s">
        <v>82</v>
      </c>
      <c r="AV31" s="446"/>
      <c r="AW31" s="446"/>
      <c r="AX31" s="446"/>
      <c r="AY31" s="446"/>
      <c r="AZ31" s="446"/>
      <c r="BA31" s="446" t="s">
        <v>82</v>
      </c>
      <c r="BB31" s="446"/>
      <c r="BC31" s="446"/>
      <c r="BD31" s="446"/>
      <c r="BE31" s="446"/>
      <c r="BF31" s="446"/>
      <c r="BG31" s="446" t="s">
        <v>82</v>
      </c>
      <c r="BH31" s="446"/>
      <c r="BI31" s="446"/>
      <c r="BJ31" s="446"/>
      <c r="BK31" s="446"/>
      <c r="BL31" s="446"/>
      <c r="BM31" s="446" t="s">
        <v>82</v>
      </c>
      <c r="BN31" s="446"/>
      <c r="BO31" s="446"/>
      <c r="BP31" s="446"/>
      <c r="BQ31" s="446"/>
      <c r="BR31" s="446"/>
      <c r="BS31" s="446" t="s">
        <v>82</v>
      </c>
      <c r="BT31" s="446"/>
      <c r="BU31" s="446"/>
      <c r="BV31" s="446"/>
      <c r="BW31" s="446"/>
      <c r="BX31" s="446"/>
      <c r="BY31" s="446" t="s">
        <v>82</v>
      </c>
      <c r="BZ31" s="446"/>
      <c r="CA31" s="446"/>
      <c r="CB31" s="446"/>
      <c r="CC31" s="446"/>
      <c r="CD31" s="446"/>
      <c r="CE31" s="446" t="s">
        <v>82</v>
      </c>
      <c r="CF31" s="446"/>
      <c r="CG31" s="446"/>
      <c r="CH31" s="446"/>
      <c r="CI31" s="446"/>
      <c r="CJ31" s="446"/>
      <c r="CK31" s="446" t="s">
        <v>82</v>
      </c>
      <c r="CL31" s="446"/>
      <c r="CM31" s="446"/>
      <c r="CN31" s="446"/>
      <c r="CO31" s="446"/>
      <c r="CP31" s="446"/>
      <c r="CQ31" s="446" t="s">
        <v>82</v>
      </c>
      <c r="CR31" s="446"/>
      <c r="CS31" s="446"/>
      <c r="CT31" s="446"/>
      <c r="CU31" s="446"/>
      <c r="CV31" s="446"/>
      <c r="CW31" s="446" t="s">
        <v>82</v>
      </c>
      <c r="CX31" s="446"/>
      <c r="CY31" s="446"/>
      <c r="CZ31" s="446"/>
      <c r="DA31" s="446"/>
      <c r="DB31" s="446"/>
      <c r="DC31" s="446" t="s">
        <v>82</v>
      </c>
      <c r="DD31" s="446"/>
      <c r="DE31" s="446"/>
      <c r="DF31" s="446"/>
      <c r="DG31" s="446"/>
      <c r="DH31" s="446"/>
      <c r="DI31" s="446" t="s">
        <v>82</v>
      </c>
      <c r="DJ31" s="446"/>
      <c r="DK31" s="446"/>
      <c r="DL31" s="446"/>
      <c r="DM31" s="446"/>
      <c r="DN31" s="446"/>
      <c r="DO31" s="446" t="s">
        <v>82</v>
      </c>
      <c r="DP31" s="446"/>
      <c r="DQ31" s="446"/>
      <c r="DR31" s="446"/>
      <c r="DS31" s="446"/>
      <c r="DT31" s="446"/>
    </row>
    <row r="32" spans="2:124" x14ac:dyDescent="0.35">
      <c r="B32" s="15"/>
      <c r="C32" s="178" t="s">
        <v>83</v>
      </c>
      <c r="D32" s="188" t="s">
        <v>84</v>
      </c>
      <c r="E32" s="488">
        <f>VLOOKUP(E31,'Calculation Basis'!$X$4:$Y$9,2,FALSE)</f>
        <v>1.8E-3</v>
      </c>
      <c r="F32" s="489"/>
      <c r="G32" s="489"/>
      <c r="H32" s="489"/>
      <c r="I32" s="489"/>
      <c r="J32" s="490"/>
      <c r="K32" s="447">
        <f>VLOOKUP(K31,'Calculation Basis'!$X$4:$Y$9,2,FALSE)</f>
        <v>1.8E-3</v>
      </c>
      <c r="L32" s="447"/>
      <c r="M32" s="447"/>
      <c r="N32" s="447"/>
      <c r="O32" s="447"/>
      <c r="P32" s="447"/>
      <c r="Q32" s="447">
        <f>VLOOKUP(Q31,'Calculation Basis'!$X$4:$Y$9,2,FALSE)</f>
        <v>1.8E-3</v>
      </c>
      <c r="R32" s="447"/>
      <c r="S32" s="447"/>
      <c r="T32" s="447"/>
      <c r="U32" s="447"/>
      <c r="V32" s="447"/>
      <c r="W32" s="447">
        <f>VLOOKUP(W31,'Calculation Basis'!$X$4:$Y$9,2,FALSE)</f>
        <v>1.8E-3</v>
      </c>
      <c r="X32" s="447"/>
      <c r="Y32" s="447"/>
      <c r="Z32" s="447"/>
      <c r="AA32" s="447"/>
      <c r="AB32" s="447"/>
      <c r="AC32" s="447">
        <f>VLOOKUP(AC31,'Calculation Basis'!$X$4:$Y$9,2,FALSE)</f>
        <v>1.8E-3</v>
      </c>
      <c r="AD32" s="447"/>
      <c r="AE32" s="447"/>
      <c r="AF32" s="447"/>
      <c r="AG32" s="447"/>
      <c r="AH32" s="447"/>
      <c r="AI32" s="447">
        <f>VLOOKUP(AI31,'Calculation Basis'!$X$4:$Y$9,2,FALSE)</f>
        <v>1.8E-3</v>
      </c>
      <c r="AJ32" s="447"/>
      <c r="AK32" s="447"/>
      <c r="AL32" s="447"/>
      <c r="AM32" s="447"/>
      <c r="AN32" s="447"/>
      <c r="AO32" s="447">
        <f>VLOOKUP(AO31,'Calculation Basis'!$X$4:$Y$9,2,FALSE)</f>
        <v>1.8E-3</v>
      </c>
      <c r="AP32" s="447"/>
      <c r="AQ32" s="447"/>
      <c r="AR32" s="447"/>
      <c r="AS32" s="447"/>
      <c r="AT32" s="447"/>
      <c r="AU32" s="447">
        <f>VLOOKUP(AU31,'Calculation Basis'!$X$4:$Y$9,2,FALSE)</f>
        <v>1.8E-3</v>
      </c>
      <c r="AV32" s="447"/>
      <c r="AW32" s="447"/>
      <c r="AX32" s="447"/>
      <c r="AY32" s="447"/>
      <c r="AZ32" s="447"/>
      <c r="BA32" s="447">
        <f>VLOOKUP(BA31,'Calculation Basis'!$X$4:$Y$9,2,FALSE)</f>
        <v>1.8E-3</v>
      </c>
      <c r="BB32" s="447"/>
      <c r="BC32" s="447"/>
      <c r="BD32" s="447"/>
      <c r="BE32" s="447"/>
      <c r="BF32" s="447"/>
      <c r="BG32" s="447">
        <f>VLOOKUP(BG31,'Calculation Basis'!$X$4:$Y$9,2,FALSE)</f>
        <v>1.8E-3</v>
      </c>
      <c r="BH32" s="447"/>
      <c r="BI32" s="447"/>
      <c r="BJ32" s="447"/>
      <c r="BK32" s="447"/>
      <c r="BL32" s="447"/>
      <c r="BM32" s="447">
        <f>VLOOKUP(BM31,'Calculation Basis'!$X$4:$Y$9,2,FALSE)</f>
        <v>1.8E-3</v>
      </c>
      <c r="BN32" s="447"/>
      <c r="BO32" s="447"/>
      <c r="BP32" s="447"/>
      <c r="BQ32" s="447"/>
      <c r="BR32" s="447"/>
      <c r="BS32" s="447">
        <f>VLOOKUP(BS31,'Calculation Basis'!$X$4:$Y$9,2,FALSE)</f>
        <v>1.8E-3</v>
      </c>
      <c r="BT32" s="447"/>
      <c r="BU32" s="447"/>
      <c r="BV32" s="447"/>
      <c r="BW32" s="447"/>
      <c r="BX32" s="447"/>
      <c r="BY32" s="447">
        <f>VLOOKUP(BY31,'Calculation Basis'!$X$4:$Y$9,2,FALSE)</f>
        <v>1.8E-3</v>
      </c>
      <c r="BZ32" s="447"/>
      <c r="CA32" s="447"/>
      <c r="CB32" s="447"/>
      <c r="CC32" s="447"/>
      <c r="CD32" s="447"/>
      <c r="CE32" s="447">
        <f>VLOOKUP(CE31,'Calculation Basis'!$X$4:$Y$9,2,FALSE)</f>
        <v>1.8E-3</v>
      </c>
      <c r="CF32" s="447"/>
      <c r="CG32" s="447"/>
      <c r="CH32" s="447"/>
      <c r="CI32" s="447"/>
      <c r="CJ32" s="447"/>
      <c r="CK32" s="447">
        <f>VLOOKUP(CK31,'Calculation Basis'!$X$4:$Y$9,2,FALSE)</f>
        <v>1.8E-3</v>
      </c>
      <c r="CL32" s="447"/>
      <c r="CM32" s="447"/>
      <c r="CN32" s="447"/>
      <c r="CO32" s="447"/>
      <c r="CP32" s="447"/>
      <c r="CQ32" s="447">
        <f>VLOOKUP(CQ31,'Calculation Basis'!$X$4:$Y$9,2,FALSE)</f>
        <v>1.8E-3</v>
      </c>
      <c r="CR32" s="447"/>
      <c r="CS32" s="447"/>
      <c r="CT32" s="447"/>
      <c r="CU32" s="447"/>
      <c r="CV32" s="447"/>
      <c r="CW32" s="447">
        <f>VLOOKUP(CW31,'Calculation Basis'!$X$4:$Y$9,2,FALSE)</f>
        <v>1.8E-3</v>
      </c>
      <c r="CX32" s="447"/>
      <c r="CY32" s="447"/>
      <c r="CZ32" s="447"/>
      <c r="DA32" s="447"/>
      <c r="DB32" s="447"/>
      <c r="DC32" s="447">
        <f>VLOOKUP(DC31,'Calculation Basis'!$X$4:$Y$9,2,FALSE)</f>
        <v>1.8E-3</v>
      </c>
      <c r="DD32" s="447"/>
      <c r="DE32" s="447"/>
      <c r="DF32" s="447"/>
      <c r="DG32" s="447"/>
      <c r="DH32" s="447"/>
      <c r="DI32" s="447">
        <f>VLOOKUP(DI31,'Calculation Basis'!$X$4:$Y$9,2,FALSE)</f>
        <v>1.8E-3</v>
      </c>
      <c r="DJ32" s="447"/>
      <c r="DK32" s="447"/>
      <c r="DL32" s="447"/>
      <c r="DM32" s="447"/>
      <c r="DN32" s="447"/>
      <c r="DO32" s="447">
        <f>VLOOKUP(DO31,'Calculation Basis'!$X$4:$Y$9,2,FALSE)</f>
        <v>1.8E-3</v>
      </c>
      <c r="DP32" s="447"/>
      <c r="DQ32" s="447"/>
      <c r="DR32" s="447"/>
      <c r="DS32" s="447"/>
      <c r="DT32" s="447"/>
    </row>
    <row r="33" spans="2:124" x14ac:dyDescent="0.35">
      <c r="B33" s="15"/>
      <c r="C33" s="187" t="s">
        <v>59</v>
      </c>
      <c r="D33" s="188"/>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row>
    <row r="34" spans="2:124" x14ac:dyDescent="0.35">
      <c r="B34" s="15"/>
      <c r="C34" s="189" t="s">
        <v>35</v>
      </c>
      <c r="D34" s="190" t="s">
        <v>68</v>
      </c>
      <c r="E34" s="491">
        <f>E9</f>
        <v>9802.0804711586607</v>
      </c>
      <c r="F34" s="492"/>
      <c r="G34" s="492"/>
      <c r="H34" s="492"/>
      <c r="I34" s="492"/>
      <c r="J34" s="493"/>
      <c r="K34" s="448">
        <f>K9</f>
        <v>9801.510396630898</v>
      </c>
      <c r="L34" s="448"/>
      <c r="M34" s="449"/>
      <c r="N34" s="449"/>
      <c r="O34" s="449"/>
      <c r="P34" s="449"/>
      <c r="Q34" s="448">
        <f>Q9</f>
        <v>9801.510396630898</v>
      </c>
      <c r="R34" s="448"/>
      <c r="S34" s="449"/>
      <c r="T34" s="449"/>
      <c r="U34" s="449"/>
      <c r="V34" s="449"/>
      <c r="W34" s="448">
        <f>W9</f>
        <v>17977.887835924874</v>
      </c>
      <c r="X34" s="448"/>
      <c r="Y34" s="449"/>
      <c r="Z34" s="449"/>
      <c r="AA34" s="449"/>
      <c r="AB34" s="449"/>
      <c r="AC34" s="448">
        <f>AC9</f>
        <v>17977.887835924874</v>
      </c>
      <c r="AD34" s="448"/>
      <c r="AE34" s="449"/>
      <c r="AF34" s="449"/>
      <c r="AG34" s="449"/>
      <c r="AH34" s="449"/>
      <c r="AI34" s="448">
        <f>AI9</f>
        <v>17977.887835924874</v>
      </c>
      <c r="AJ34" s="448"/>
      <c r="AK34" s="449"/>
      <c r="AL34" s="449"/>
      <c r="AM34" s="449"/>
      <c r="AN34" s="449"/>
      <c r="AO34" s="448">
        <f>AO9</f>
        <v>17977.887835924874</v>
      </c>
      <c r="AP34" s="448"/>
      <c r="AQ34" s="449"/>
      <c r="AR34" s="449"/>
      <c r="AS34" s="449"/>
      <c r="AT34" s="449"/>
      <c r="AU34" s="448">
        <f>AU9</f>
        <v>17972.697831154044</v>
      </c>
      <c r="AV34" s="448"/>
      <c r="AW34" s="449"/>
      <c r="AX34" s="449"/>
      <c r="AY34" s="449"/>
      <c r="AZ34" s="449"/>
      <c r="BA34" s="448">
        <f>BA9</f>
        <v>17972.697831154044</v>
      </c>
      <c r="BB34" s="448"/>
      <c r="BC34" s="449"/>
      <c r="BD34" s="449"/>
      <c r="BE34" s="449"/>
      <c r="BF34" s="449"/>
      <c r="BG34" s="448">
        <f>BG9</f>
        <v>17972.697831154044</v>
      </c>
      <c r="BH34" s="448"/>
      <c r="BI34" s="449"/>
      <c r="BJ34" s="449"/>
      <c r="BK34" s="449"/>
      <c r="BL34" s="449"/>
      <c r="BM34" s="448">
        <f>BM9</f>
        <v>6209.2439006526001</v>
      </c>
      <c r="BN34" s="448"/>
      <c r="BO34" s="449"/>
      <c r="BP34" s="449"/>
      <c r="BQ34" s="449"/>
      <c r="BR34" s="449"/>
      <c r="BS34" s="448">
        <f>BS9</f>
        <v>8176.3774392939749</v>
      </c>
      <c r="BT34" s="448"/>
      <c r="BU34" s="449"/>
      <c r="BV34" s="449"/>
      <c r="BW34" s="449"/>
      <c r="BX34" s="449"/>
      <c r="BY34" s="448">
        <f>BY9</f>
        <v>8176.3774392939749</v>
      </c>
      <c r="BZ34" s="448"/>
      <c r="CA34" s="449"/>
      <c r="CB34" s="449"/>
      <c r="CC34" s="449"/>
      <c r="CD34" s="449"/>
      <c r="CE34" s="448">
        <f>CE9</f>
        <v>8176.3774392939749</v>
      </c>
      <c r="CF34" s="448"/>
      <c r="CG34" s="449"/>
      <c r="CH34" s="449"/>
      <c r="CI34" s="449"/>
      <c r="CJ34" s="449"/>
      <c r="CK34" s="448">
        <f>CK9</f>
        <v>3587.0764912074692</v>
      </c>
      <c r="CL34" s="448"/>
      <c r="CM34" s="449"/>
      <c r="CN34" s="449"/>
      <c r="CO34" s="449"/>
      <c r="CP34" s="449"/>
      <c r="CQ34" s="448">
        <f>CQ9</f>
        <v>3587.0764912074692</v>
      </c>
      <c r="CR34" s="448"/>
      <c r="CS34" s="449"/>
      <c r="CT34" s="449"/>
      <c r="CU34" s="449"/>
      <c r="CV34" s="449"/>
      <c r="CW34" s="448">
        <f>CW9</f>
        <v>3587.0764912074692</v>
      </c>
      <c r="CX34" s="448"/>
      <c r="CY34" s="449"/>
      <c r="CZ34" s="449"/>
      <c r="DA34" s="449"/>
      <c r="DB34" s="449"/>
      <c r="DC34" s="448">
        <f>DC9</f>
        <v>3587.0764912074692</v>
      </c>
      <c r="DD34" s="448"/>
      <c r="DE34" s="449"/>
      <c r="DF34" s="449"/>
      <c r="DG34" s="449"/>
      <c r="DH34" s="449"/>
      <c r="DI34" s="448">
        <f>DI9</f>
        <v>3587.0764912074692</v>
      </c>
      <c r="DJ34" s="448"/>
      <c r="DK34" s="449"/>
      <c r="DL34" s="449"/>
      <c r="DM34" s="449"/>
      <c r="DN34" s="449"/>
      <c r="DO34" s="448">
        <f>DO9</f>
        <v>5.1900047708272927</v>
      </c>
      <c r="DP34" s="448"/>
      <c r="DQ34" s="449"/>
      <c r="DR34" s="449"/>
      <c r="DS34" s="449"/>
      <c r="DT34" s="449"/>
    </row>
    <row r="35" spans="2:124" x14ac:dyDescent="0.35">
      <c r="B35" s="15"/>
      <c r="C35" s="189" t="s">
        <v>58</v>
      </c>
      <c r="D35" s="190" t="s">
        <v>57</v>
      </c>
      <c r="E35" s="485">
        <v>0.01</v>
      </c>
      <c r="F35" s="486"/>
      <c r="G35" s="486"/>
      <c r="H35" s="486"/>
      <c r="I35" s="486"/>
      <c r="J35" s="487"/>
      <c r="K35" s="446">
        <v>0.01</v>
      </c>
      <c r="L35" s="446"/>
      <c r="M35" s="446"/>
      <c r="N35" s="446"/>
      <c r="O35" s="446"/>
      <c r="P35" s="446"/>
      <c r="Q35" s="446">
        <v>0.01</v>
      </c>
      <c r="R35" s="446"/>
      <c r="S35" s="446"/>
      <c r="T35" s="446"/>
      <c r="U35" s="446"/>
      <c r="V35" s="446"/>
      <c r="W35" s="446">
        <v>0.01</v>
      </c>
      <c r="X35" s="446"/>
      <c r="Y35" s="446"/>
      <c r="Z35" s="446"/>
      <c r="AA35" s="446"/>
      <c r="AB35" s="446"/>
      <c r="AC35" s="446">
        <v>0.01</v>
      </c>
      <c r="AD35" s="446"/>
      <c r="AE35" s="446"/>
      <c r="AF35" s="446"/>
      <c r="AG35" s="446"/>
      <c r="AH35" s="446"/>
      <c r="AI35" s="446">
        <v>0.01</v>
      </c>
      <c r="AJ35" s="446"/>
      <c r="AK35" s="446"/>
      <c r="AL35" s="446"/>
      <c r="AM35" s="446"/>
      <c r="AN35" s="446"/>
      <c r="AO35" s="446">
        <v>0.01</v>
      </c>
      <c r="AP35" s="446"/>
      <c r="AQ35" s="446"/>
      <c r="AR35" s="446"/>
      <c r="AS35" s="446"/>
      <c r="AT35" s="446"/>
      <c r="AU35" s="446">
        <v>0.01</v>
      </c>
      <c r="AV35" s="446"/>
      <c r="AW35" s="446"/>
      <c r="AX35" s="446"/>
      <c r="AY35" s="446"/>
      <c r="AZ35" s="446"/>
      <c r="BA35" s="446">
        <v>0.01</v>
      </c>
      <c r="BB35" s="446"/>
      <c r="BC35" s="446"/>
      <c r="BD35" s="446"/>
      <c r="BE35" s="446"/>
      <c r="BF35" s="446"/>
      <c r="BG35" s="446">
        <v>0.01</v>
      </c>
      <c r="BH35" s="446"/>
      <c r="BI35" s="446"/>
      <c r="BJ35" s="446"/>
      <c r="BK35" s="446"/>
      <c r="BL35" s="446"/>
      <c r="BM35" s="446">
        <v>0.01</v>
      </c>
      <c r="BN35" s="446"/>
      <c r="BO35" s="446"/>
      <c r="BP35" s="446"/>
      <c r="BQ35" s="446"/>
      <c r="BR35" s="446"/>
      <c r="BS35" s="446">
        <v>0.01</v>
      </c>
      <c r="BT35" s="446"/>
      <c r="BU35" s="446"/>
      <c r="BV35" s="446"/>
      <c r="BW35" s="446"/>
      <c r="BX35" s="446"/>
      <c r="BY35" s="446">
        <v>0.01</v>
      </c>
      <c r="BZ35" s="446"/>
      <c r="CA35" s="446"/>
      <c r="CB35" s="446"/>
      <c r="CC35" s="446"/>
      <c r="CD35" s="446"/>
      <c r="CE35" s="446">
        <v>0.01</v>
      </c>
      <c r="CF35" s="446"/>
      <c r="CG35" s="446"/>
      <c r="CH35" s="446"/>
      <c r="CI35" s="446"/>
      <c r="CJ35" s="446"/>
      <c r="CK35" s="446">
        <v>0.01</v>
      </c>
      <c r="CL35" s="446"/>
      <c r="CM35" s="446"/>
      <c r="CN35" s="446"/>
      <c r="CO35" s="446"/>
      <c r="CP35" s="446"/>
      <c r="CQ35" s="446">
        <v>0.01</v>
      </c>
      <c r="CR35" s="446"/>
      <c r="CS35" s="446"/>
      <c r="CT35" s="446"/>
      <c r="CU35" s="446"/>
      <c r="CV35" s="446"/>
      <c r="CW35" s="446">
        <v>0.01</v>
      </c>
      <c r="CX35" s="446"/>
      <c r="CY35" s="446"/>
      <c r="CZ35" s="446"/>
      <c r="DA35" s="446"/>
      <c r="DB35" s="446"/>
      <c r="DC35" s="446">
        <v>0.01</v>
      </c>
      <c r="DD35" s="446"/>
      <c r="DE35" s="446"/>
      <c r="DF35" s="446"/>
      <c r="DG35" s="446"/>
      <c r="DH35" s="446"/>
      <c r="DI35" s="446">
        <v>0.01</v>
      </c>
      <c r="DJ35" s="446"/>
      <c r="DK35" s="446"/>
      <c r="DL35" s="446"/>
      <c r="DM35" s="446"/>
      <c r="DN35" s="446"/>
      <c r="DO35" s="446">
        <v>0.16</v>
      </c>
      <c r="DP35" s="446"/>
      <c r="DQ35" s="446"/>
      <c r="DR35" s="446"/>
      <c r="DS35" s="446"/>
      <c r="DT35" s="446"/>
    </row>
    <row r="36" spans="2:124" x14ac:dyDescent="0.35">
      <c r="B36" s="15"/>
      <c r="C36" s="189" t="s">
        <v>56</v>
      </c>
      <c r="D36" s="190" t="s">
        <v>67</v>
      </c>
      <c r="E36" s="494">
        <f>E13</f>
        <v>0.37782375152342468</v>
      </c>
      <c r="F36" s="495"/>
      <c r="G36" s="495"/>
      <c r="H36" s="495"/>
      <c r="I36" s="495"/>
      <c r="J36" s="496"/>
      <c r="K36" s="450">
        <f>K13</f>
        <v>0.36833812251189052</v>
      </c>
      <c r="L36" s="450"/>
      <c r="M36" s="449"/>
      <c r="N36" s="449"/>
      <c r="O36" s="449"/>
      <c r="P36" s="449"/>
      <c r="Q36" s="450">
        <f>Q13</f>
        <v>0.36596786432326833</v>
      </c>
      <c r="R36" s="450"/>
      <c r="S36" s="449"/>
      <c r="T36" s="449"/>
      <c r="U36" s="449"/>
      <c r="V36" s="449"/>
      <c r="W36" s="450">
        <f>W13</f>
        <v>0.36326099452416943</v>
      </c>
      <c r="X36" s="450"/>
      <c r="Y36" s="449"/>
      <c r="Z36" s="449"/>
      <c r="AA36" s="449"/>
      <c r="AB36" s="449"/>
      <c r="AC36" s="450">
        <f>AC13</f>
        <v>0.79207328070924266</v>
      </c>
      <c r="AD36" s="450"/>
      <c r="AE36" s="449"/>
      <c r="AF36" s="449"/>
      <c r="AG36" s="449"/>
      <c r="AH36" s="449"/>
      <c r="AI36" s="450">
        <f>AI13</f>
        <v>0.97339889702108207</v>
      </c>
      <c r="AJ36" s="450"/>
      <c r="AK36" s="449"/>
      <c r="AL36" s="449"/>
      <c r="AM36" s="449"/>
      <c r="AN36" s="449"/>
      <c r="AO36" s="450">
        <f>AO13</f>
        <v>0.98435921262999937</v>
      </c>
      <c r="AP36" s="450"/>
      <c r="AQ36" s="449"/>
      <c r="AR36" s="449"/>
      <c r="AS36" s="449"/>
      <c r="AT36" s="449"/>
      <c r="AU36" s="450">
        <f>AU13</f>
        <v>1.1013923490799229</v>
      </c>
      <c r="AV36" s="450"/>
      <c r="AW36" s="449"/>
      <c r="AX36" s="449"/>
      <c r="AY36" s="449"/>
      <c r="AZ36" s="449"/>
      <c r="BA36" s="450">
        <f>BA13</f>
        <v>1.0746958234976414</v>
      </c>
      <c r="BB36" s="450"/>
      <c r="BC36" s="449"/>
      <c r="BD36" s="449"/>
      <c r="BE36" s="449"/>
      <c r="BF36" s="449"/>
      <c r="BG36" s="450">
        <f>BG13</f>
        <v>1.0695952263286923</v>
      </c>
      <c r="BH36" s="450"/>
      <c r="BI36" s="449"/>
      <c r="BJ36" s="449"/>
      <c r="BK36" s="449"/>
      <c r="BL36" s="449"/>
      <c r="BM36" s="450">
        <f>BM13</f>
        <v>0.1246051615790662</v>
      </c>
      <c r="BN36" s="450"/>
      <c r="BO36" s="449"/>
      <c r="BP36" s="449"/>
      <c r="BQ36" s="449"/>
      <c r="BR36" s="449"/>
      <c r="BS36" s="450">
        <f>BS13</f>
        <v>8.6807031745741448E-2</v>
      </c>
      <c r="BT36" s="450"/>
      <c r="BU36" s="449"/>
      <c r="BV36" s="449"/>
      <c r="BW36" s="449"/>
      <c r="BX36" s="449"/>
      <c r="BY36" s="450">
        <f>BY13</f>
        <v>0.30481867864576484</v>
      </c>
      <c r="BZ36" s="450"/>
      <c r="CA36" s="449"/>
      <c r="CB36" s="449"/>
      <c r="CC36" s="449"/>
      <c r="CD36" s="449"/>
      <c r="CE36" s="450">
        <f>CE13</f>
        <v>0.36377649039179055</v>
      </c>
      <c r="CF36" s="450"/>
      <c r="CG36" s="449"/>
      <c r="CH36" s="449"/>
      <c r="CI36" s="449"/>
      <c r="CJ36" s="449"/>
      <c r="CK36" s="450">
        <f>CK13</f>
        <v>0.4883897919502263</v>
      </c>
      <c r="CL36" s="450"/>
      <c r="CM36" s="449"/>
      <c r="CN36" s="449"/>
      <c r="CO36" s="449"/>
      <c r="CP36" s="449"/>
      <c r="CQ36" s="450">
        <f>CQ13</f>
        <v>0.64669484707454838</v>
      </c>
      <c r="CR36" s="450"/>
      <c r="CS36" s="449"/>
      <c r="CT36" s="449"/>
      <c r="CU36" s="449"/>
      <c r="CV36" s="449"/>
      <c r="CW36" s="450">
        <f>CW13</f>
        <v>0.75123894831999516</v>
      </c>
      <c r="CX36" s="450"/>
      <c r="CY36" s="449"/>
      <c r="CZ36" s="449"/>
      <c r="DA36" s="449"/>
      <c r="DB36" s="449"/>
      <c r="DC36" s="450">
        <f>DC13</f>
        <v>0.7674283263705155</v>
      </c>
      <c r="DD36" s="450"/>
      <c r="DE36" s="449"/>
      <c r="DF36" s="449"/>
      <c r="DG36" s="449"/>
      <c r="DH36" s="449"/>
      <c r="DI36" s="450">
        <f>DI13</f>
        <v>0.76469434587044249</v>
      </c>
      <c r="DJ36" s="450"/>
      <c r="DK36" s="449"/>
      <c r="DL36" s="449"/>
      <c r="DM36" s="449"/>
      <c r="DN36" s="449"/>
      <c r="DO36" s="450">
        <v>62.4</v>
      </c>
      <c r="DP36" s="450"/>
      <c r="DQ36" s="449"/>
      <c r="DR36" s="449"/>
      <c r="DS36" s="449"/>
      <c r="DT36" s="449"/>
    </row>
    <row r="37" spans="2:124" x14ac:dyDescent="0.35">
      <c r="B37" s="15"/>
      <c r="C37" s="191" t="s">
        <v>85</v>
      </c>
      <c r="D37" s="189"/>
      <c r="E37" s="336"/>
      <c r="F37" s="336"/>
      <c r="G37" s="335"/>
      <c r="H37" s="335"/>
      <c r="I37" s="335"/>
      <c r="J37" s="335"/>
      <c r="K37" s="192"/>
      <c r="L37" s="192"/>
      <c r="M37" s="193"/>
      <c r="N37" s="193"/>
      <c r="O37" s="193"/>
      <c r="P37" s="193"/>
      <c r="Q37" s="192"/>
      <c r="R37" s="192"/>
      <c r="S37" s="193"/>
      <c r="T37" s="193"/>
      <c r="U37" s="193"/>
      <c r="V37" s="193"/>
      <c r="W37" s="192"/>
      <c r="X37" s="192"/>
      <c r="Y37" s="193"/>
      <c r="Z37" s="193"/>
      <c r="AA37" s="193"/>
      <c r="AB37" s="193"/>
      <c r="AC37" s="192"/>
      <c r="AD37" s="192"/>
      <c r="AE37" s="193"/>
      <c r="AF37" s="193"/>
      <c r="AG37" s="193"/>
      <c r="AH37" s="193"/>
      <c r="AI37" s="192"/>
      <c r="AJ37" s="192"/>
      <c r="AK37" s="193"/>
      <c r="AL37" s="193"/>
      <c r="AM37" s="193"/>
      <c r="AN37" s="193"/>
      <c r="AO37" s="192"/>
      <c r="AP37" s="192"/>
      <c r="AQ37" s="193"/>
      <c r="AR37" s="193"/>
      <c r="AS37" s="193"/>
      <c r="AT37" s="193"/>
      <c r="AU37" s="192"/>
      <c r="AV37" s="192"/>
      <c r="AW37" s="193"/>
      <c r="AX37" s="193"/>
      <c r="AY37" s="193"/>
      <c r="AZ37" s="193"/>
      <c r="BA37" s="192"/>
      <c r="BB37" s="192"/>
      <c r="BC37" s="193"/>
      <c r="BD37" s="193"/>
      <c r="BE37" s="193"/>
      <c r="BF37" s="193"/>
      <c r="BG37" s="192"/>
      <c r="BH37" s="192"/>
      <c r="BI37" s="193"/>
      <c r="BJ37" s="193"/>
      <c r="BK37" s="193"/>
      <c r="BL37" s="193"/>
      <c r="BM37" s="192"/>
      <c r="BN37" s="192"/>
      <c r="BO37" s="193"/>
      <c r="BP37" s="193"/>
      <c r="BQ37" s="193"/>
      <c r="BR37" s="193"/>
      <c r="BS37" s="192"/>
      <c r="BT37" s="192"/>
      <c r="BU37" s="193"/>
      <c r="BV37" s="193"/>
      <c r="BW37" s="193"/>
      <c r="BX37" s="193"/>
      <c r="BY37" s="192"/>
      <c r="BZ37" s="192"/>
      <c r="CA37" s="193"/>
      <c r="CB37" s="193"/>
      <c r="CC37" s="193"/>
      <c r="CD37" s="193"/>
      <c r="CE37" s="192"/>
      <c r="CF37" s="192"/>
      <c r="CG37" s="193"/>
      <c r="CH37" s="193"/>
      <c r="CI37" s="193"/>
      <c r="CJ37" s="193"/>
      <c r="CK37" s="192"/>
      <c r="CL37" s="192"/>
      <c r="CM37" s="193"/>
      <c r="CN37" s="193"/>
      <c r="CO37" s="193"/>
      <c r="CP37" s="193"/>
      <c r="CQ37" s="192"/>
      <c r="CR37" s="192"/>
      <c r="CS37" s="193"/>
      <c r="CT37" s="193"/>
      <c r="CU37" s="193"/>
      <c r="CV37" s="193"/>
      <c r="CW37" s="192"/>
      <c r="CX37" s="192"/>
      <c r="CY37" s="193"/>
      <c r="CZ37" s="193"/>
      <c r="DA37" s="193"/>
      <c r="DB37" s="193"/>
      <c r="DC37" s="192"/>
      <c r="DD37" s="192"/>
      <c r="DE37" s="193"/>
      <c r="DF37" s="193"/>
      <c r="DG37" s="193"/>
      <c r="DH37" s="193"/>
      <c r="DI37" s="192"/>
      <c r="DJ37" s="192"/>
      <c r="DK37" s="193"/>
      <c r="DL37" s="193"/>
      <c r="DM37" s="193"/>
      <c r="DN37" s="193"/>
      <c r="DO37" s="425"/>
      <c r="DP37" s="425"/>
      <c r="DQ37" s="424"/>
      <c r="DR37" s="424"/>
      <c r="DS37" s="424"/>
      <c r="DT37" s="424"/>
    </row>
    <row r="38" spans="2:124" ht="14.5" customHeight="1" x14ac:dyDescent="0.35">
      <c r="B38" s="15"/>
      <c r="C38" s="189" t="s">
        <v>55</v>
      </c>
      <c r="D38" s="194" t="s">
        <v>66</v>
      </c>
      <c r="E38" s="506">
        <f>(PI()*((E30/12)^2))/4</f>
        <v>0.20062682470137855</v>
      </c>
      <c r="F38" s="507"/>
      <c r="G38" s="507"/>
      <c r="H38" s="507"/>
      <c r="I38" s="507"/>
      <c r="J38" s="508"/>
      <c r="K38" s="451">
        <f>(PI()*((K30/12)^2))/4</f>
        <v>0.20062682470137855</v>
      </c>
      <c r="L38" s="451"/>
      <c r="M38" s="451"/>
      <c r="N38" s="451"/>
      <c r="O38" s="451"/>
      <c r="P38" s="451"/>
      <c r="Q38" s="451">
        <f>(PI()*((Q30/12)^2))/4</f>
        <v>0.20062682470137855</v>
      </c>
      <c r="R38" s="451"/>
      <c r="S38" s="451"/>
      <c r="T38" s="451"/>
      <c r="U38" s="451"/>
      <c r="V38" s="451"/>
      <c r="W38" s="451">
        <f>(PI()*((W30/12)^2))/4</f>
        <v>0.20062682470137855</v>
      </c>
      <c r="X38" s="451"/>
      <c r="Y38" s="451"/>
      <c r="Z38" s="451"/>
      <c r="AA38" s="451"/>
      <c r="AB38" s="451"/>
      <c r="AC38" s="451">
        <f>(PI()*((AC30/12)^2))/4</f>
        <v>8.8404613621557604E-2</v>
      </c>
      <c r="AD38" s="451"/>
      <c r="AE38" s="451"/>
      <c r="AF38" s="451"/>
      <c r="AG38" s="451"/>
      <c r="AH38" s="451"/>
      <c r="AI38" s="451">
        <f>(PI()*((AI30/12)^2))/4</f>
        <v>8.8404613621557604E-2</v>
      </c>
      <c r="AJ38" s="451"/>
      <c r="AK38" s="451"/>
      <c r="AL38" s="451"/>
      <c r="AM38" s="451"/>
      <c r="AN38" s="451"/>
      <c r="AO38" s="451">
        <f>(PI()*((AO30/12)^2))/4</f>
        <v>8.8404613621557604E-2</v>
      </c>
      <c r="AP38" s="451"/>
      <c r="AQ38" s="451"/>
      <c r="AR38" s="451"/>
      <c r="AS38" s="451"/>
      <c r="AT38" s="451"/>
      <c r="AU38" s="451">
        <f>(PI()*((AU30/12)^2))/4</f>
        <v>8.8404613621557604E-2</v>
      </c>
      <c r="AV38" s="451"/>
      <c r="AW38" s="451"/>
      <c r="AX38" s="451"/>
      <c r="AY38" s="451"/>
      <c r="AZ38" s="451"/>
      <c r="BA38" s="451">
        <f>(PI()*((BA30/12)^2))/4</f>
        <v>8.8404613621557604E-2</v>
      </c>
      <c r="BB38" s="451"/>
      <c r="BC38" s="451"/>
      <c r="BD38" s="451"/>
      <c r="BE38" s="451"/>
      <c r="BF38" s="451"/>
      <c r="BG38" s="451">
        <f>(PI()*((BG30/12)^2))/4</f>
        <v>8.8404613621557604E-2</v>
      </c>
      <c r="BH38" s="451"/>
      <c r="BI38" s="451"/>
      <c r="BJ38" s="451"/>
      <c r="BK38" s="451"/>
      <c r="BL38" s="451"/>
      <c r="BM38" s="451">
        <f>(PI()*((BM30/12)^2))/4</f>
        <v>0.34740975655903372</v>
      </c>
      <c r="BN38" s="451"/>
      <c r="BO38" s="451"/>
      <c r="BP38" s="451"/>
      <c r="BQ38" s="451"/>
      <c r="BR38" s="451"/>
      <c r="BS38" s="451">
        <f>(PI()*((BS30/12)^2))/4</f>
        <v>0.34740975655903372</v>
      </c>
      <c r="BT38" s="451"/>
      <c r="BU38" s="451"/>
      <c r="BV38" s="451"/>
      <c r="BW38" s="451"/>
      <c r="BX38" s="451"/>
      <c r="BY38" s="451">
        <f>(PI()*((BY30/12)^2))/4</f>
        <v>8.8404613621557604E-2</v>
      </c>
      <c r="BZ38" s="451"/>
      <c r="CA38" s="451"/>
      <c r="CB38" s="451"/>
      <c r="CC38" s="451"/>
      <c r="CD38" s="451"/>
      <c r="CE38" s="451">
        <f>(PI()*((CE30/12)^2))/4</f>
        <v>8.8404613621557604E-2</v>
      </c>
      <c r="CF38" s="451"/>
      <c r="CG38" s="451"/>
      <c r="CH38" s="451"/>
      <c r="CI38" s="451"/>
      <c r="CJ38" s="451"/>
      <c r="CK38" s="451">
        <f>(PI()*((CK30/12)^2))/4</f>
        <v>4.5869434403975971E-2</v>
      </c>
      <c r="CL38" s="451"/>
      <c r="CM38" s="451"/>
      <c r="CN38" s="451"/>
      <c r="CO38" s="451"/>
      <c r="CP38" s="451"/>
      <c r="CQ38" s="451">
        <f>(PI()*((CQ30/12)^2))/4</f>
        <v>4.5869434403975971E-2</v>
      </c>
      <c r="CR38" s="451"/>
      <c r="CS38" s="451"/>
      <c r="CT38" s="451"/>
      <c r="CU38" s="451"/>
      <c r="CV38" s="451"/>
      <c r="CW38" s="451">
        <f>(PI()*((CW30/12)^2))/4</f>
        <v>4.5869434403975971E-2</v>
      </c>
      <c r="CX38" s="451"/>
      <c r="CY38" s="451"/>
      <c r="CZ38" s="451"/>
      <c r="DA38" s="451"/>
      <c r="DB38" s="451"/>
      <c r="DC38" s="451">
        <f>(PI()*((DC30/12)^2))/4</f>
        <v>4.5869434403975971E-2</v>
      </c>
      <c r="DD38" s="451"/>
      <c r="DE38" s="451"/>
      <c r="DF38" s="451"/>
      <c r="DG38" s="451"/>
      <c r="DH38" s="451"/>
      <c r="DI38" s="451">
        <f>(PI()*((DI30/12)^2))/4</f>
        <v>4.5869434403975971E-2</v>
      </c>
      <c r="DJ38" s="451"/>
      <c r="DK38" s="451"/>
      <c r="DL38" s="451"/>
      <c r="DM38" s="451"/>
      <c r="DN38" s="451"/>
      <c r="DO38" s="451">
        <f>(PI()*((DO30/12)^2))/4</f>
        <v>3.0028607946718934E-3</v>
      </c>
      <c r="DP38" s="451"/>
      <c r="DQ38" s="451"/>
      <c r="DR38" s="451"/>
      <c r="DS38" s="451"/>
      <c r="DT38" s="451"/>
    </row>
    <row r="39" spans="2:124" x14ac:dyDescent="0.35">
      <c r="B39" s="15"/>
      <c r="C39" s="189" t="s">
        <v>54</v>
      </c>
      <c r="D39" s="190" t="s">
        <v>65</v>
      </c>
      <c r="E39" s="531">
        <f>E34/E36</f>
        <v>25943.526397257061</v>
      </c>
      <c r="F39" s="532"/>
      <c r="G39" s="532"/>
      <c r="H39" s="532"/>
      <c r="I39" s="532"/>
      <c r="J39" s="533"/>
      <c r="K39" s="452">
        <f>K34/K36</f>
        <v>26610.08947374023</v>
      </c>
      <c r="L39" s="452"/>
      <c r="M39" s="452"/>
      <c r="N39" s="452"/>
      <c r="O39" s="452"/>
      <c r="P39" s="452"/>
      <c r="Q39" s="452">
        <f>Q34/Q36</f>
        <v>26782.434612818859</v>
      </c>
      <c r="R39" s="452"/>
      <c r="S39" s="452"/>
      <c r="T39" s="452"/>
      <c r="U39" s="452"/>
      <c r="V39" s="452"/>
      <c r="W39" s="452">
        <f>W34/W36</f>
        <v>49490.278634164562</v>
      </c>
      <c r="X39" s="452"/>
      <c r="Y39" s="452"/>
      <c r="Z39" s="452"/>
      <c r="AA39" s="452"/>
      <c r="AB39" s="452"/>
      <c r="AC39" s="452">
        <f>AC34/AC36</f>
        <v>22697.253238774843</v>
      </c>
      <c r="AD39" s="452"/>
      <c r="AE39" s="452"/>
      <c r="AF39" s="452"/>
      <c r="AG39" s="452"/>
      <c r="AH39" s="452"/>
      <c r="AI39" s="452">
        <f>AI34/AI36</f>
        <v>18469.188624461225</v>
      </c>
      <c r="AJ39" s="452"/>
      <c r="AK39" s="452"/>
      <c r="AL39" s="452"/>
      <c r="AM39" s="452"/>
      <c r="AN39" s="452"/>
      <c r="AO39" s="452">
        <f>AO34/AO36</f>
        <v>18263.544044954651</v>
      </c>
      <c r="AP39" s="452"/>
      <c r="AQ39" s="452"/>
      <c r="AR39" s="452"/>
      <c r="AS39" s="452"/>
      <c r="AT39" s="452"/>
      <c r="AU39" s="452">
        <f>AU34/AU36</f>
        <v>16318.161140458267</v>
      </c>
      <c r="AV39" s="452"/>
      <c r="AW39" s="452"/>
      <c r="AX39" s="452"/>
      <c r="AY39" s="452"/>
      <c r="AZ39" s="452"/>
      <c r="BA39" s="452">
        <f>BA34/BA36</f>
        <v>16723.520682029979</v>
      </c>
      <c r="BB39" s="452"/>
      <c r="BC39" s="452"/>
      <c r="BD39" s="452"/>
      <c r="BE39" s="452"/>
      <c r="BF39" s="452"/>
      <c r="BG39" s="452">
        <f>BG34/BG36</f>
        <v>16803.270423002934</v>
      </c>
      <c r="BH39" s="452"/>
      <c r="BI39" s="452"/>
      <c r="BJ39" s="452"/>
      <c r="BK39" s="452"/>
      <c r="BL39" s="452"/>
      <c r="BM39" s="452">
        <f>BM34/BM36</f>
        <v>49831.353869820428</v>
      </c>
      <c r="BN39" s="452"/>
      <c r="BO39" s="452"/>
      <c r="BP39" s="452"/>
      <c r="BQ39" s="452"/>
      <c r="BR39" s="452"/>
      <c r="BS39" s="452">
        <f>BS34/BS36</f>
        <v>94190.266328223908</v>
      </c>
      <c r="BT39" s="452"/>
      <c r="BU39" s="452"/>
      <c r="BV39" s="452"/>
      <c r="BW39" s="452"/>
      <c r="BX39" s="452"/>
      <c r="BY39" s="452">
        <f>BY34/BY36</f>
        <v>26823.741496484497</v>
      </c>
      <c r="BZ39" s="452"/>
      <c r="CA39" s="452"/>
      <c r="CB39" s="452"/>
      <c r="CC39" s="452"/>
      <c r="CD39" s="452"/>
      <c r="CE39" s="452">
        <f>CE34/CE36</f>
        <v>22476.376718264401</v>
      </c>
      <c r="CF39" s="452"/>
      <c r="CG39" s="452"/>
      <c r="CH39" s="452"/>
      <c r="CI39" s="452"/>
      <c r="CJ39" s="452"/>
      <c r="CK39" s="452">
        <f>CK34/CK36</f>
        <v>7344.6999718885236</v>
      </c>
      <c r="CL39" s="452"/>
      <c r="CM39" s="452"/>
      <c r="CN39" s="452"/>
      <c r="CO39" s="452"/>
      <c r="CP39" s="452"/>
      <c r="CQ39" s="452">
        <f>CQ34/CQ36</f>
        <v>5546.7837843989582</v>
      </c>
      <c r="CR39" s="452"/>
      <c r="CS39" s="452"/>
      <c r="CT39" s="452"/>
      <c r="CU39" s="452"/>
      <c r="CV39" s="452"/>
      <c r="CW39" s="452">
        <f>CW34/CW36</f>
        <v>4774.8808807494506</v>
      </c>
      <c r="CX39" s="452"/>
      <c r="CY39" s="452"/>
      <c r="CZ39" s="452"/>
      <c r="DA39" s="452"/>
      <c r="DB39" s="452"/>
      <c r="DC39" s="452">
        <f>DC34/DC36</f>
        <v>4674.1517975655534</v>
      </c>
      <c r="DD39" s="452"/>
      <c r="DE39" s="452"/>
      <c r="DF39" s="452"/>
      <c r="DG39" s="452"/>
      <c r="DH39" s="452"/>
      <c r="DI39" s="452">
        <f>DI34/DI36</f>
        <v>4690.8631018114074</v>
      </c>
      <c r="DJ39" s="452"/>
      <c r="DK39" s="452"/>
      <c r="DL39" s="452"/>
      <c r="DM39" s="452"/>
      <c r="DN39" s="452"/>
      <c r="DO39" s="452">
        <f>DO34/DO36</f>
        <v>8.317315337864252E-2</v>
      </c>
      <c r="DP39" s="452"/>
      <c r="DQ39" s="452"/>
      <c r="DR39" s="452"/>
      <c r="DS39" s="452"/>
      <c r="DT39" s="452"/>
    </row>
    <row r="40" spans="2:124" x14ac:dyDescent="0.35">
      <c r="B40" s="15"/>
      <c r="C40" s="189" t="s">
        <v>53</v>
      </c>
      <c r="D40" s="190" t="s">
        <v>64</v>
      </c>
      <c r="E40" s="506">
        <f>(E39/E38)/3600</f>
        <v>35.92009752970818</v>
      </c>
      <c r="F40" s="507"/>
      <c r="G40" s="507"/>
      <c r="H40" s="507"/>
      <c r="I40" s="507"/>
      <c r="J40" s="508"/>
      <c r="K40" s="451">
        <f>(K39/K38)/3600</f>
        <v>36.842987130387492</v>
      </c>
      <c r="L40" s="451"/>
      <c r="M40" s="451"/>
      <c r="N40" s="451"/>
      <c r="O40" s="451"/>
      <c r="P40" s="451"/>
      <c r="Q40" s="451">
        <f>(Q39/Q38)/3600</f>
        <v>37.081607513356325</v>
      </c>
      <c r="R40" s="451"/>
      <c r="S40" s="451"/>
      <c r="T40" s="451"/>
      <c r="U40" s="451"/>
      <c r="V40" s="451"/>
      <c r="W40" s="451">
        <f>(W39/W38)/3600</f>
        <v>68.521742499106637</v>
      </c>
      <c r="X40" s="451"/>
      <c r="Y40" s="451"/>
      <c r="Z40" s="451"/>
      <c r="AA40" s="451"/>
      <c r="AB40" s="451"/>
      <c r="AC40" s="451">
        <f>(AC39/AC38)/3600</f>
        <v>71.317460798096988</v>
      </c>
      <c r="AD40" s="451"/>
      <c r="AE40" s="451"/>
      <c r="AF40" s="451"/>
      <c r="AG40" s="451"/>
      <c r="AH40" s="451"/>
      <c r="AI40" s="451">
        <f>(AI39/AI38)/3600</f>
        <v>58.032380475337689</v>
      </c>
      <c r="AJ40" s="451"/>
      <c r="AK40" s="451"/>
      <c r="AL40" s="451"/>
      <c r="AM40" s="451"/>
      <c r="AN40" s="451"/>
      <c r="AO40" s="451">
        <f>(AO39/AO38)/3600</f>
        <v>57.386220824078805</v>
      </c>
      <c r="AP40" s="451"/>
      <c r="AQ40" s="451"/>
      <c r="AR40" s="451"/>
      <c r="AS40" s="451"/>
      <c r="AT40" s="451"/>
      <c r="AU40" s="451">
        <f>(AU39/AU38)/3600</f>
        <v>51.273597081938377</v>
      </c>
      <c r="AV40" s="451"/>
      <c r="AW40" s="451"/>
      <c r="AX40" s="451"/>
      <c r="AY40" s="451"/>
      <c r="AZ40" s="451"/>
      <c r="BA40" s="451">
        <f>(BA39/BA38)/3600</f>
        <v>52.547284823404297</v>
      </c>
      <c r="BB40" s="451"/>
      <c r="BC40" s="451"/>
      <c r="BD40" s="451"/>
      <c r="BE40" s="451"/>
      <c r="BF40" s="451"/>
      <c r="BG40" s="451">
        <f>(BG39/BG38)/3600</f>
        <v>52.797867965146779</v>
      </c>
      <c r="BH40" s="451"/>
      <c r="BI40" s="451"/>
      <c r="BJ40" s="451"/>
      <c r="BK40" s="451"/>
      <c r="BL40" s="451"/>
      <c r="BM40" s="451">
        <f>(BM39/BM38)/3600</f>
        <v>39.843563631364717</v>
      </c>
      <c r="BN40" s="451"/>
      <c r="BO40" s="451"/>
      <c r="BP40" s="451"/>
      <c r="BQ40" s="451"/>
      <c r="BR40" s="451"/>
      <c r="BS40" s="451">
        <f>(BS39/BS38)/3600</f>
        <v>75.311537384832093</v>
      </c>
      <c r="BT40" s="451"/>
      <c r="BU40" s="451"/>
      <c r="BV40" s="451"/>
      <c r="BW40" s="451"/>
      <c r="BX40" s="451"/>
      <c r="BY40" s="451">
        <f>(BY39/BY38)/3600</f>
        <v>84.283376164907295</v>
      </c>
      <c r="BZ40" s="451"/>
      <c r="CA40" s="451"/>
      <c r="CB40" s="451"/>
      <c r="CC40" s="451"/>
      <c r="CD40" s="451"/>
      <c r="CE40" s="451">
        <f>(CE39/CE38)/3600</f>
        <v>70.623440582214087</v>
      </c>
      <c r="CF40" s="451"/>
      <c r="CG40" s="451"/>
      <c r="CH40" s="451"/>
      <c r="CI40" s="451"/>
      <c r="CJ40" s="451"/>
      <c r="CK40" s="451">
        <f>(CK39/CK38)/3600</f>
        <v>44.478299397972442</v>
      </c>
      <c r="CL40" s="451"/>
      <c r="CM40" s="451"/>
      <c r="CN40" s="451"/>
      <c r="CO40" s="451"/>
      <c r="CP40" s="451"/>
      <c r="CQ40" s="451">
        <f>(CQ39/CQ38)/3600</f>
        <v>33.590413604720631</v>
      </c>
      <c r="CR40" s="451"/>
      <c r="CS40" s="451"/>
      <c r="CT40" s="451"/>
      <c r="CU40" s="451"/>
      <c r="CV40" s="451"/>
      <c r="CW40" s="451">
        <f>(CW39/CW38)/3600</f>
        <v>28.915896117812434</v>
      </c>
      <c r="CX40" s="451"/>
      <c r="CY40" s="451"/>
      <c r="CZ40" s="451"/>
      <c r="DA40" s="451"/>
      <c r="DB40" s="451"/>
      <c r="DC40" s="451">
        <f>(DC39/DC38)/3600</f>
        <v>28.305897297290883</v>
      </c>
      <c r="DD40" s="451"/>
      <c r="DE40" s="451"/>
      <c r="DF40" s="451"/>
      <c r="DG40" s="451"/>
      <c r="DH40" s="451"/>
      <c r="DI40" s="451">
        <f>(DI39/DI38)/3600</f>
        <v>28.407098217195383</v>
      </c>
      <c r="DJ40" s="451"/>
      <c r="DK40" s="451"/>
      <c r="DL40" s="451"/>
      <c r="DM40" s="451"/>
      <c r="DN40" s="451"/>
      <c r="DO40" s="451">
        <f>(DO39/DO38)/3600</f>
        <v>7.6938810341403126E-3</v>
      </c>
      <c r="DP40" s="451"/>
      <c r="DQ40" s="451"/>
      <c r="DR40" s="451"/>
      <c r="DS40" s="451"/>
      <c r="DT40" s="451"/>
    </row>
    <row r="41" spans="2:124" x14ac:dyDescent="0.35">
      <c r="B41" s="15"/>
      <c r="C41" s="189" t="s">
        <v>52</v>
      </c>
      <c r="D41" s="190"/>
      <c r="E41" s="516">
        <f>((((E30/12)*E40)*E36)/(E35/1488.1639))</f>
        <v>1020768.0953062414</v>
      </c>
      <c r="F41" s="517"/>
      <c r="G41" s="517"/>
      <c r="H41" s="517"/>
      <c r="I41" s="517"/>
      <c r="J41" s="518"/>
      <c r="K41" s="453">
        <f>((((K30/12)*K40)*K36)/(K35/1488.1639))</f>
        <v>1020708.7289409478</v>
      </c>
      <c r="L41" s="453"/>
      <c r="M41" s="453"/>
      <c r="N41" s="453"/>
      <c r="O41" s="453"/>
      <c r="P41" s="453"/>
      <c r="Q41" s="453">
        <f>((((Q30/12)*Q40)*Q36)/(Q35/1488.1639))</f>
        <v>1020708.728940948</v>
      </c>
      <c r="R41" s="453"/>
      <c r="S41" s="453"/>
      <c r="T41" s="453"/>
      <c r="U41" s="453"/>
      <c r="V41" s="453"/>
      <c r="W41" s="453">
        <f>((((W30/12)*W40)*W36)/(W35/1488.1639))</f>
        <v>1872179.5212661684</v>
      </c>
      <c r="X41" s="453"/>
      <c r="Y41" s="453"/>
      <c r="Z41" s="453"/>
      <c r="AA41" s="453"/>
      <c r="AB41" s="453"/>
      <c r="AC41" s="453">
        <f>((((AC30/12)*AC40)*AC36)/(AC35/1488.1639))</f>
        <v>2820359.860029636</v>
      </c>
      <c r="AD41" s="453"/>
      <c r="AE41" s="453"/>
      <c r="AF41" s="453"/>
      <c r="AG41" s="453"/>
      <c r="AH41" s="453"/>
      <c r="AI41" s="453">
        <f>((((AI30/12)*AI40)*AI36)/(AI35/1488.1639))</f>
        <v>2820359.8600296364</v>
      </c>
      <c r="AJ41" s="453"/>
      <c r="AK41" s="453"/>
      <c r="AL41" s="453"/>
      <c r="AM41" s="453"/>
      <c r="AN41" s="453"/>
      <c r="AO41" s="453">
        <f>((((AO30/12)*AO40)*AO36)/(AO35/1488.1639))</f>
        <v>2820359.8600296364</v>
      </c>
      <c r="AP41" s="453"/>
      <c r="AQ41" s="453"/>
      <c r="AR41" s="453"/>
      <c r="AS41" s="453"/>
      <c r="AT41" s="453"/>
      <c r="AU41" s="453">
        <f>((((AU30/12)*AU40)*AU36)/(AU35/1488.1639))</f>
        <v>2819545.6553097828</v>
      </c>
      <c r="AV41" s="453"/>
      <c r="AW41" s="453"/>
      <c r="AX41" s="453"/>
      <c r="AY41" s="453"/>
      <c r="AZ41" s="453"/>
      <c r="BA41" s="453">
        <f>((((BA30/12)*BA40)*BA36)/(BA35/1488.1639))</f>
        <v>2819545.6553097833</v>
      </c>
      <c r="BB41" s="453"/>
      <c r="BC41" s="453"/>
      <c r="BD41" s="453"/>
      <c r="BE41" s="453"/>
      <c r="BF41" s="453"/>
      <c r="BG41" s="453">
        <f>((((BG30/12)*BG40)*BG36)/(BG35/1488.1639))</f>
        <v>2819545.6553097828</v>
      </c>
      <c r="BH41" s="453"/>
      <c r="BI41" s="453"/>
      <c r="BJ41" s="453"/>
      <c r="BK41" s="453"/>
      <c r="BL41" s="453"/>
      <c r="BM41" s="453">
        <f>((((BM30/12)*BM40)*BM36)/(BM35/1488.1639))</f>
        <v>491384.02985893714</v>
      </c>
      <c r="BN41" s="453"/>
      <c r="BO41" s="453"/>
      <c r="BP41" s="453"/>
      <c r="BQ41" s="453"/>
      <c r="BR41" s="453"/>
      <c r="BS41" s="453">
        <f>((((BS30/12)*BS40)*BS36)/(BS35/1488.1639))</f>
        <v>647058.0573176872</v>
      </c>
      <c r="BT41" s="453"/>
      <c r="BU41" s="453"/>
      <c r="BV41" s="453"/>
      <c r="BW41" s="453"/>
      <c r="BX41" s="453"/>
      <c r="BY41" s="453">
        <f>((((BY30/12)*BY40)*BY36)/(BY35/1488.1639))</f>
        <v>1282705.0063220228</v>
      </c>
      <c r="BZ41" s="453"/>
      <c r="CA41" s="453"/>
      <c r="CB41" s="453"/>
      <c r="CC41" s="453"/>
      <c r="CD41" s="453"/>
      <c r="CE41" s="453">
        <f>((((CE30/12)*CE40)*CE36)/(CE35/1488.1639))</f>
        <v>1282705.0063220228</v>
      </c>
      <c r="CF41" s="453"/>
      <c r="CG41" s="453"/>
      <c r="CH41" s="453"/>
      <c r="CI41" s="453"/>
      <c r="CJ41" s="453"/>
      <c r="CK41" s="453">
        <f>((((CK30/12)*CK40)*CK36)/(CK35/1488.1639))</f>
        <v>781236.03811053198</v>
      </c>
      <c r="CL41" s="453"/>
      <c r="CM41" s="453"/>
      <c r="CN41" s="453"/>
      <c r="CO41" s="453"/>
      <c r="CP41" s="453"/>
      <c r="CQ41" s="453">
        <f>((((CQ30/12)*CQ40)*CQ36)/(CQ35/1488.1639))</f>
        <v>781236.03811053198</v>
      </c>
      <c r="CR41" s="453"/>
      <c r="CS41" s="453"/>
      <c r="CT41" s="453"/>
      <c r="CU41" s="453"/>
      <c r="CV41" s="453"/>
      <c r="CW41" s="453">
        <f>((((CW30/12)*CW40)*CW36)/(CW35/1488.1639))</f>
        <v>781236.03811053222</v>
      </c>
      <c r="CX41" s="453"/>
      <c r="CY41" s="453"/>
      <c r="CZ41" s="453"/>
      <c r="DA41" s="453"/>
      <c r="DB41" s="453"/>
      <c r="DC41" s="453">
        <f>((((DC30/12)*DC40)*DC36)/(DC35/1488.1639))</f>
        <v>781236.0381105321</v>
      </c>
      <c r="DD41" s="453"/>
      <c r="DE41" s="453"/>
      <c r="DF41" s="453"/>
      <c r="DG41" s="453"/>
      <c r="DH41" s="453"/>
      <c r="DI41" s="453">
        <f>((((DI30/12)*DI40)*DI36)/(DI35/1488.1639))</f>
        <v>781236.03811053175</v>
      </c>
      <c r="DJ41" s="453"/>
      <c r="DK41" s="453"/>
      <c r="DL41" s="453"/>
      <c r="DM41" s="453"/>
      <c r="DN41" s="453"/>
      <c r="DO41" s="453">
        <f>((((DO30/12)*DO40)*DO36)/(DO35/1488.1639))</f>
        <v>276.11086608233347</v>
      </c>
      <c r="DP41" s="453"/>
      <c r="DQ41" s="453"/>
      <c r="DR41" s="453"/>
      <c r="DS41" s="453"/>
      <c r="DT41" s="453"/>
    </row>
    <row r="42" spans="2:124" x14ac:dyDescent="0.35">
      <c r="B42" s="15"/>
      <c r="C42" s="191" t="s">
        <v>86</v>
      </c>
      <c r="D42" s="189"/>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AZ42" s="195"/>
      <c r="BA42" s="195"/>
      <c r="BB42" s="195"/>
      <c r="BC42" s="195"/>
      <c r="BD42" s="195"/>
      <c r="BE42" s="195"/>
      <c r="BF42" s="195"/>
      <c r="BG42" s="195"/>
      <c r="BH42" s="195"/>
      <c r="BI42" s="195"/>
      <c r="BJ42" s="195"/>
      <c r="BK42" s="195"/>
      <c r="BL42" s="195"/>
      <c r="BM42" s="195"/>
      <c r="BN42" s="195"/>
      <c r="BO42" s="195"/>
      <c r="BP42" s="195"/>
      <c r="BQ42" s="195"/>
      <c r="BR42" s="195"/>
      <c r="BS42" s="195"/>
      <c r="BT42" s="195"/>
      <c r="BU42" s="195"/>
      <c r="BV42" s="195"/>
      <c r="BW42" s="195"/>
      <c r="BX42" s="195"/>
      <c r="BY42" s="195"/>
      <c r="BZ42" s="195"/>
      <c r="CA42" s="195"/>
      <c r="CB42" s="195"/>
      <c r="CC42" s="195"/>
      <c r="CD42" s="195"/>
      <c r="CE42" s="195"/>
      <c r="CF42" s="195"/>
      <c r="CG42" s="195"/>
      <c r="CH42" s="195"/>
      <c r="CI42" s="195"/>
      <c r="CJ42" s="195"/>
      <c r="CK42" s="195"/>
      <c r="CL42" s="195"/>
      <c r="CM42" s="195"/>
      <c r="CN42" s="195"/>
      <c r="CO42" s="195"/>
      <c r="CP42" s="195"/>
      <c r="CQ42" s="195"/>
      <c r="CR42" s="195"/>
      <c r="CS42" s="195"/>
      <c r="CT42" s="195"/>
      <c r="CU42" s="195"/>
      <c r="CV42" s="195"/>
      <c r="CW42" s="195"/>
      <c r="CX42" s="195"/>
      <c r="CY42" s="195"/>
      <c r="CZ42" s="195"/>
      <c r="DA42" s="195"/>
      <c r="DB42" s="195"/>
      <c r="DC42" s="195"/>
      <c r="DD42" s="195"/>
      <c r="DE42" s="195"/>
      <c r="DF42" s="195"/>
      <c r="DG42" s="195"/>
      <c r="DH42" s="195"/>
      <c r="DI42" s="195"/>
      <c r="DJ42" s="195"/>
      <c r="DK42" s="195"/>
      <c r="DL42" s="195"/>
      <c r="DM42" s="195"/>
      <c r="DN42" s="195"/>
      <c r="DO42" s="195"/>
      <c r="DP42" s="195"/>
      <c r="DQ42" s="195"/>
      <c r="DR42" s="195"/>
      <c r="DS42" s="195"/>
      <c r="DT42" s="195"/>
    </row>
    <row r="43" spans="2:124" x14ac:dyDescent="0.35">
      <c r="B43" s="15"/>
      <c r="C43" s="189" t="s">
        <v>44</v>
      </c>
      <c r="D43" s="14"/>
      <c r="E43" s="519" t="str">
        <f>IF((E41&lt;2100),"Laminar",IF((E41&gt;4000),"Turbulent","Transient"))</f>
        <v>Turbulent</v>
      </c>
      <c r="F43" s="520"/>
      <c r="G43" s="520"/>
      <c r="H43" s="520"/>
      <c r="I43" s="520"/>
      <c r="J43" s="521"/>
      <c r="K43" s="441" t="str">
        <f>IF((K41&lt;2100),"Laminar",IF((K41&gt;4000),"Turbulent","Transient"))</f>
        <v>Turbulent</v>
      </c>
      <c r="L43" s="441"/>
      <c r="M43" s="441"/>
      <c r="N43" s="441"/>
      <c r="O43" s="441"/>
      <c r="P43" s="441"/>
      <c r="Q43" s="441" t="str">
        <f>IF((Q41&lt;2100),"Laminar",IF((Q41&gt;4000),"Turbulent","Transient"))</f>
        <v>Turbulent</v>
      </c>
      <c r="R43" s="441"/>
      <c r="S43" s="441"/>
      <c r="T43" s="441"/>
      <c r="U43" s="441"/>
      <c r="V43" s="441"/>
      <c r="W43" s="441" t="str">
        <f>IF((W41&lt;2100),"Laminar",IF((W41&gt;4000),"Turbulent","Transient"))</f>
        <v>Turbulent</v>
      </c>
      <c r="X43" s="441"/>
      <c r="Y43" s="441"/>
      <c r="Z43" s="441"/>
      <c r="AA43" s="441"/>
      <c r="AB43" s="441"/>
      <c r="AC43" s="441" t="str">
        <f>IF((AC41&lt;2100),"Laminar",IF((AC41&gt;4000),"Turbulent","Transient"))</f>
        <v>Turbulent</v>
      </c>
      <c r="AD43" s="441"/>
      <c r="AE43" s="441"/>
      <c r="AF43" s="441"/>
      <c r="AG43" s="441"/>
      <c r="AH43" s="441"/>
      <c r="AI43" s="441" t="str">
        <f>IF((AI41&lt;2100),"Laminar",IF((AI41&gt;4000),"Turbulent","Transient"))</f>
        <v>Turbulent</v>
      </c>
      <c r="AJ43" s="441"/>
      <c r="AK43" s="441"/>
      <c r="AL43" s="441"/>
      <c r="AM43" s="441"/>
      <c r="AN43" s="441"/>
      <c r="AO43" s="441" t="str">
        <f>IF((AO41&lt;2100),"Laminar",IF((AO41&gt;4000),"Turbulent","Transient"))</f>
        <v>Turbulent</v>
      </c>
      <c r="AP43" s="441"/>
      <c r="AQ43" s="441"/>
      <c r="AR43" s="441"/>
      <c r="AS43" s="441"/>
      <c r="AT43" s="441"/>
      <c r="AU43" s="441" t="str">
        <f>IF((AU41&lt;2100),"Laminar",IF((AU41&gt;4000),"Turbulent","Transient"))</f>
        <v>Turbulent</v>
      </c>
      <c r="AV43" s="441"/>
      <c r="AW43" s="441"/>
      <c r="AX43" s="441"/>
      <c r="AY43" s="441"/>
      <c r="AZ43" s="441"/>
      <c r="BA43" s="441" t="str">
        <f>IF((BA41&lt;2100),"Laminar",IF((BA41&gt;4000),"Turbulent","Transient"))</f>
        <v>Turbulent</v>
      </c>
      <c r="BB43" s="441"/>
      <c r="BC43" s="441"/>
      <c r="BD43" s="441"/>
      <c r="BE43" s="441"/>
      <c r="BF43" s="441"/>
      <c r="BG43" s="441" t="str">
        <f>IF((BG41&lt;2100),"Laminar",IF((BG41&gt;4000),"Turbulent","Transient"))</f>
        <v>Turbulent</v>
      </c>
      <c r="BH43" s="441"/>
      <c r="BI43" s="441"/>
      <c r="BJ43" s="441"/>
      <c r="BK43" s="441"/>
      <c r="BL43" s="441"/>
      <c r="BM43" s="441" t="str">
        <f>IF((BM41&lt;2100),"Laminar",IF((BM41&gt;4000),"Turbulent","Transient"))</f>
        <v>Turbulent</v>
      </c>
      <c r="BN43" s="441"/>
      <c r="BO43" s="441"/>
      <c r="BP43" s="441"/>
      <c r="BQ43" s="441"/>
      <c r="BR43" s="441"/>
      <c r="BS43" s="441" t="str">
        <f>IF((BS41&lt;2100),"Laminar",IF((BS41&gt;4000),"Turbulent","Transient"))</f>
        <v>Turbulent</v>
      </c>
      <c r="BT43" s="441"/>
      <c r="BU43" s="441"/>
      <c r="BV43" s="441"/>
      <c r="BW43" s="441"/>
      <c r="BX43" s="441"/>
      <c r="BY43" s="441" t="str">
        <f>IF((BY41&lt;2100),"Laminar",IF((BY41&gt;4000),"Turbulent","Transient"))</f>
        <v>Turbulent</v>
      </c>
      <c r="BZ43" s="441"/>
      <c r="CA43" s="441"/>
      <c r="CB43" s="441"/>
      <c r="CC43" s="441"/>
      <c r="CD43" s="441"/>
      <c r="CE43" s="441" t="str">
        <f>IF((CE41&lt;2100),"Laminar",IF((CE41&gt;4000),"Turbulent","Transient"))</f>
        <v>Turbulent</v>
      </c>
      <c r="CF43" s="441"/>
      <c r="CG43" s="441"/>
      <c r="CH43" s="441"/>
      <c r="CI43" s="441"/>
      <c r="CJ43" s="441"/>
      <c r="CK43" s="441" t="str">
        <f>IF((CK41&lt;2100),"Laminar",IF((CK41&gt;4000),"Turbulent","Transient"))</f>
        <v>Turbulent</v>
      </c>
      <c r="CL43" s="441"/>
      <c r="CM43" s="441"/>
      <c r="CN43" s="441"/>
      <c r="CO43" s="441"/>
      <c r="CP43" s="441"/>
      <c r="CQ43" s="441" t="str">
        <f>IF((CQ41&lt;2100),"Laminar",IF((CQ41&gt;4000),"Turbulent","Transient"))</f>
        <v>Turbulent</v>
      </c>
      <c r="CR43" s="441"/>
      <c r="CS43" s="441"/>
      <c r="CT43" s="441"/>
      <c r="CU43" s="441"/>
      <c r="CV43" s="441"/>
      <c r="CW43" s="441" t="str">
        <f>IF((CW41&lt;2100),"Laminar",IF((CW41&gt;4000),"Turbulent","Transient"))</f>
        <v>Turbulent</v>
      </c>
      <c r="CX43" s="441"/>
      <c r="CY43" s="441"/>
      <c r="CZ43" s="441"/>
      <c r="DA43" s="441"/>
      <c r="DB43" s="441"/>
      <c r="DC43" s="441" t="str">
        <f>IF((DC41&lt;2100),"Laminar",IF((DC41&gt;4000),"Turbulent","Transient"))</f>
        <v>Turbulent</v>
      </c>
      <c r="DD43" s="441"/>
      <c r="DE43" s="441"/>
      <c r="DF43" s="441"/>
      <c r="DG43" s="441"/>
      <c r="DH43" s="441"/>
      <c r="DI43" s="441" t="str">
        <f>IF((DI41&lt;2100),"Laminar",IF((DI41&gt;4000),"Turbulent","Transient"))</f>
        <v>Turbulent</v>
      </c>
      <c r="DJ43" s="441"/>
      <c r="DK43" s="441"/>
      <c r="DL43" s="441"/>
      <c r="DM43" s="441"/>
      <c r="DN43" s="441"/>
      <c r="DO43" s="441" t="str">
        <f>IF((DO41&lt;2100),"Laminar",IF((DO41&gt;4000),"Turbulent","Transient"))</f>
        <v>Laminar</v>
      </c>
      <c r="DP43" s="441"/>
      <c r="DQ43" s="441"/>
      <c r="DR43" s="441"/>
      <c r="DS43" s="441"/>
      <c r="DT43" s="441"/>
    </row>
    <row r="44" spans="2:124" ht="14.5" hidden="1" customHeight="1" x14ac:dyDescent="0.35">
      <c r="B44" s="15"/>
      <c r="C44" s="515" t="s">
        <v>51</v>
      </c>
      <c r="D44" s="515"/>
      <c r="E44" s="497">
        <f>64/E41</f>
        <v>6.2697884362068846E-5</v>
      </c>
      <c r="F44" s="498"/>
      <c r="G44" s="498"/>
      <c r="H44" s="498"/>
      <c r="I44" s="498"/>
      <c r="J44" s="499"/>
      <c r="K44" s="442">
        <f>64/K41</f>
        <v>6.2701530990534577E-5</v>
      </c>
      <c r="L44" s="442"/>
      <c r="M44" s="442"/>
      <c r="N44" s="442"/>
      <c r="O44" s="442"/>
      <c r="P44" s="442"/>
      <c r="Q44" s="442">
        <f>64/Q41</f>
        <v>6.2701530990534563E-5</v>
      </c>
      <c r="R44" s="442"/>
      <c r="S44" s="442"/>
      <c r="T44" s="442"/>
      <c r="U44" s="442"/>
      <c r="V44" s="442"/>
      <c r="W44" s="442">
        <f>64/W41</f>
        <v>3.4184755934471679E-5</v>
      </c>
      <c r="X44" s="442"/>
      <c r="Y44" s="442"/>
      <c r="Z44" s="442"/>
      <c r="AA44" s="442"/>
      <c r="AB44" s="442"/>
      <c r="AC44" s="442">
        <f>64/AC41</f>
        <v>2.2692139718414337E-5</v>
      </c>
      <c r="AD44" s="442"/>
      <c r="AE44" s="442"/>
      <c r="AF44" s="442"/>
      <c r="AG44" s="442"/>
      <c r="AH44" s="442"/>
      <c r="AI44" s="442">
        <f>64/AI41</f>
        <v>2.2692139718414334E-5</v>
      </c>
      <c r="AJ44" s="442"/>
      <c r="AK44" s="442"/>
      <c r="AL44" s="442"/>
      <c r="AM44" s="442"/>
      <c r="AN44" s="442"/>
      <c r="AO44" s="442">
        <f>64/AO41</f>
        <v>2.2692139718414334E-5</v>
      </c>
      <c r="AP44" s="442"/>
      <c r="AQ44" s="442"/>
      <c r="AR44" s="442"/>
      <c r="AS44" s="442"/>
      <c r="AT44" s="442"/>
      <c r="AU44" s="442">
        <f>64/AU41</f>
        <v>2.2698692563986285E-5</v>
      </c>
      <c r="AV44" s="442"/>
      <c r="AW44" s="442"/>
      <c r="AX44" s="442"/>
      <c r="AY44" s="442"/>
      <c r="AZ44" s="442"/>
      <c r="BA44" s="442">
        <f>64/BA41</f>
        <v>2.2698692563986281E-5</v>
      </c>
      <c r="BB44" s="442"/>
      <c r="BC44" s="442"/>
      <c r="BD44" s="442"/>
      <c r="BE44" s="442"/>
      <c r="BF44" s="442"/>
      <c r="BG44" s="442">
        <f>64/BG41</f>
        <v>2.2698692563986285E-5</v>
      </c>
      <c r="BH44" s="442"/>
      <c r="BI44" s="442"/>
      <c r="BJ44" s="442"/>
      <c r="BK44" s="442"/>
      <c r="BL44" s="442"/>
      <c r="BM44" s="442">
        <f>64/BM41</f>
        <v>1.3024436308679515E-4</v>
      </c>
      <c r="BN44" s="442"/>
      <c r="BO44" s="442"/>
      <c r="BP44" s="442"/>
      <c r="BQ44" s="442"/>
      <c r="BR44" s="442"/>
      <c r="BS44" s="442">
        <f>64/BS41</f>
        <v>9.8909208031973874E-5</v>
      </c>
      <c r="BT44" s="442"/>
      <c r="BU44" s="442"/>
      <c r="BV44" s="442"/>
      <c r="BW44" s="442"/>
      <c r="BX44" s="442"/>
      <c r="BY44" s="442">
        <f>64/BY41</f>
        <v>4.9894558518572442E-5</v>
      </c>
      <c r="BZ44" s="442"/>
      <c r="CA44" s="442"/>
      <c r="CB44" s="442"/>
      <c r="CC44" s="442"/>
      <c r="CD44" s="442"/>
      <c r="CE44" s="442">
        <f>64/CE41</f>
        <v>4.9894558518572442E-5</v>
      </c>
      <c r="CF44" s="442"/>
      <c r="CG44" s="442"/>
      <c r="CH44" s="442"/>
      <c r="CI44" s="442"/>
      <c r="CJ44" s="442"/>
      <c r="CK44" s="442">
        <f>64/CK41</f>
        <v>8.1921464036385194E-5</v>
      </c>
      <c r="CL44" s="442"/>
      <c r="CM44" s="442"/>
      <c r="CN44" s="442"/>
      <c r="CO44" s="442"/>
      <c r="CP44" s="442"/>
      <c r="CQ44" s="442">
        <f>64/CQ41</f>
        <v>8.1921464036385194E-5</v>
      </c>
      <c r="CR44" s="442"/>
      <c r="CS44" s="442"/>
      <c r="CT44" s="442"/>
      <c r="CU44" s="442"/>
      <c r="CV44" s="442"/>
      <c r="CW44" s="442">
        <f>64/CW41</f>
        <v>8.1921464036385167E-5</v>
      </c>
      <c r="CX44" s="442"/>
      <c r="CY44" s="442"/>
      <c r="CZ44" s="442"/>
      <c r="DA44" s="442"/>
      <c r="DB44" s="442"/>
      <c r="DC44" s="442">
        <f>64/DC41</f>
        <v>8.1921464036385181E-5</v>
      </c>
      <c r="DD44" s="442"/>
      <c r="DE44" s="442"/>
      <c r="DF44" s="442"/>
      <c r="DG44" s="442"/>
      <c r="DH44" s="442"/>
      <c r="DI44" s="442">
        <f>64/DI41</f>
        <v>8.1921464036385222E-5</v>
      </c>
      <c r="DJ44" s="442"/>
      <c r="DK44" s="442"/>
      <c r="DL44" s="442"/>
      <c r="DM44" s="442"/>
      <c r="DN44" s="442"/>
      <c r="DO44" s="442">
        <f>64/DO41</f>
        <v>0.23179095016461918</v>
      </c>
      <c r="DP44" s="442"/>
      <c r="DQ44" s="442"/>
      <c r="DR44" s="442"/>
      <c r="DS44" s="442"/>
      <c r="DT44" s="442"/>
    </row>
    <row r="45" spans="2:124" ht="14.5" hidden="1" customHeight="1" x14ac:dyDescent="0.35">
      <c r="B45" s="15"/>
      <c r="C45" s="189" t="s">
        <v>47</v>
      </c>
      <c r="D45" s="196" t="s">
        <v>46</v>
      </c>
      <c r="E45" s="522">
        <f>(-2.457*LN((7/E41)^0.9+0.27*E32/E30))^16</f>
        <v>4.5198529558742235E+21</v>
      </c>
      <c r="F45" s="523"/>
      <c r="G45" s="523"/>
      <c r="H45" s="523"/>
      <c r="I45" s="523"/>
      <c r="J45" s="524"/>
      <c r="K45" s="443">
        <f>(-2.457*LN((7/K41)^0.9+0.27*K32/K30))^16</f>
        <v>4.519762535245664E+21</v>
      </c>
      <c r="L45" s="443"/>
      <c r="M45" s="443"/>
      <c r="N45" s="443"/>
      <c r="O45" s="443"/>
      <c r="P45" s="443"/>
      <c r="Q45" s="443">
        <f>(-2.457*LN((7/Q41)^0.9+0.27*Q32/Q30))^16</f>
        <v>4.519762535245664E+21</v>
      </c>
      <c r="R45" s="443"/>
      <c r="S45" s="443"/>
      <c r="T45" s="443"/>
      <c r="U45" s="443"/>
      <c r="V45" s="443"/>
      <c r="W45" s="443">
        <f>(-2.457*LN((7/W41)^0.9+0.27*W32/W30))^16</f>
        <v>5.3456346904449872E+21</v>
      </c>
      <c r="X45" s="443"/>
      <c r="Y45" s="443"/>
      <c r="Z45" s="443"/>
      <c r="AA45" s="443"/>
      <c r="AB45" s="443"/>
      <c r="AC45" s="443">
        <f>(-2.457*LN((7/AC41)^0.9+0.27*AC32/AC30))^16</f>
        <v>2.989843944132096E+21</v>
      </c>
      <c r="AD45" s="443"/>
      <c r="AE45" s="443"/>
      <c r="AF45" s="443"/>
      <c r="AG45" s="443"/>
      <c r="AH45" s="443"/>
      <c r="AI45" s="443">
        <f>(-2.457*LN((7/AI41)^0.9+0.27*AI32/AI30))^16</f>
        <v>2.989843944132096E+21</v>
      </c>
      <c r="AJ45" s="443"/>
      <c r="AK45" s="443"/>
      <c r="AL45" s="443"/>
      <c r="AM45" s="443"/>
      <c r="AN45" s="443"/>
      <c r="AO45" s="443">
        <f>(-2.457*LN((7/AO41)^0.9+0.27*AO32/AO30))^16</f>
        <v>2.989843944132096E+21</v>
      </c>
      <c r="AP45" s="443"/>
      <c r="AQ45" s="443"/>
      <c r="AR45" s="443"/>
      <c r="AS45" s="443"/>
      <c r="AT45" s="443"/>
      <c r="AU45" s="443">
        <f>(-2.457*LN((7/AU41)^0.9+0.27*AU32/AU30))^16</f>
        <v>2.9897473447829297E+21</v>
      </c>
      <c r="AV45" s="443"/>
      <c r="AW45" s="443"/>
      <c r="AX45" s="443"/>
      <c r="AY45" s="443"/>
      <c r="AZ45" s="443"/>
      <c r="BA45" s="443">
        <f>(-2.457*LN((7/BA41)^0.9+0.27*BA32/BA30))^16</f>
        <v>2.9897473447829297E+21</v>
      </c>
      <c r="BB45" s="443"/>
      <c r="BC45" s="443"/>
      <c r="BD45" s="443"/>
      <c r="BE45" s="443"/>
      <c r="BF45" s="443"/>
      <c r="BG45" s="443">
        <f>(-2.457*LN((7/BG41)^0.9+0.27*BG32/BG30))^16</f>
        <v>2.9897473447829297E+21</v>
      </c>
      <c r="BH45" s="443"/>
      <c r="BI45" s="443"/>
      <c r="BJ45" s="443"/>
      <c r="BK45" s="443"/>
      <c r="BL45" s="443"/>
      <c r="BM45" s="443">
        <f>(-2.457*LN((7/BM41)^0.9+0.27*BM32/BM30))^16</f>
        <v>4.3903687552119913E+21</v>
      </c>
      <c r="BN45" s="443"/>
      <c r="BO45" s="443"/>
      <c r="BP45" s="443"/>
      <c r="BQ45" s="443"/>
      <c r="BR45" s="443"/>
      <c r="BS45" s="443">
        <f>(-2.457*LN((7/BS41)^0.9+0.27*BS32/BS30))^16</f>
        <v>5.1853034947359319E+21</v>
      </c>
      <c r="BT45" s="443"/>
      <c r="BU45" s="443"/>
      <c r="BV45" s="443"/>
      <c r="BW45" s="443"/>
      <c r="BX45" s="443"/>
      <c r="BY45" s="443">
        <f>(-2.457*LN((7/BY41)^0.9+0.27*BY32/BY30))^16</f>
        <v>2.6400935815352387E+21</v>
      </c>
      <c r="BZ45" s="443"/>
      <c r="CA45" s="443"/>
      <c r="CB45" s="443"/>
      <c r="CC45" s="443"/>
      <c r="CD45" s="443"/>
      <c r="CE45" s="443">
        <f>(-2.457*LN((7/CE41)^0.9+0.27*CE32/CE30))^16</f>
        <v>2.6400935815352387E+21</v>
      </c>
      <c r="CF45" s="443"/>
      <c r="CG45" s="443"/>
      <c r="CH45" s="443"/>
      <c r="CI45" s="443"/>
      <c r="CJ45" s="443"/>
      <c r="CK45" s="443">
        <f>(-2.457*LN((7/CK41)^0.9+0.27*CK32/CK30))^16</f>
        <v>1.4019094015669326E+21</v>
      </c>
      <c r="CL45" s="443"/>
      <c r="CM45" s="443"/>
      <c r="CN45" s="443"/>
      <c r="CO45" s="443"/>
      <c r="CP45" s="443"/>
      <c r="CQ45" s="443">
        <f>(-2.457*LN((7/CQ41)^0.9+0.27*CQ32/CQ30))^16</f>
        <v>1.4019094015669326E+21</v>
      </c>
      <c r="CR45" s="443"/>
      <c r="CS45" s="443"/>
      <c r="CT45" s="443"/>
      <c r="CU45" s="443"/>
      <c r="CV45" s="443"/>
      <c r="CW45" s="443">
        <f>(-2.457*LN((7/CW41)^0.9+0.27*CW32/CW30))^16</f>
        <v>1.4019094015669326E+21</v>
      </c>
      <c r="CX45" s="443"/>
      <c r="CY45" s="443"/>
      <c r="CZ45" s="443"/>
      <c r="DA45" s="443"/>
      <c r="DB45" s="443"/>
      <c r="DC45" s="443">
        <f>(-2.457*LN((7/DC41)^0.9+0.27*DC32/DC30))^16</f>
        <v>1.4019094015669326E+21</v>
      </c>
      <c r="DD45" s="443"/>
      <c r="DE45" s="443"/>
      <c r="DF45" s="443"/>
      <c r="DG45" s="443"/>
      <c r="DH45" s="443"/>
      <c r="DI45" s="443">
        <f>(-2.457*LN((7/DI41)^0.9+0.27*DI32/DI30))^16</f>
        <v>1.4019094015669326E+21</v>
      </c>
      <c r="DJ45" s="443"/>
      <c r="DK45" s="443"/>
      <c r="DL45" s="443"/>
      <c r="DM45" s="443"/>
      <c r="DN45" s="443"/>
      <c r="DO45" s="443">
        <f>(-2.457*LN((7/DO41)^0.9+0.27*DO32/DO30))^16</f>
        <v>331834622908928.69</v>
      </c>
      <c r="DP45" s="443"/>
      <c r="DQ45" s="443"/>
      <c r="DR45" s="443"/>
      <c r="DS45" s="443"/>
      <c r="DT45" s="443"/>
    </row>
    <row r="46" spans="2:124" ht="14.5" hidden="1" customHeight="1" x14ac:dyDescent="0.35">
      <c r="B46" s="15"/>
      <c r="C46" s="189" t="s">
        <v>47</v>
      </c>
      <c r="D46" s="196" t="s">
        <v>45</v>
      </c>
      <c r="E46" s="525">
        <f>(37530/E41)^16</f>
        <v>1.1148684647848176E-23</v>
      </c>
      <c r="F46" s="526"/>
      <c r="G46" s="526"/>
      <c r="H46" s="526"/>
      <c r="I46" s="526"/>
      <c r="J46" s="527"/>
      <c r="K46" s="444">
        <f>(37530/K41)^16</f>
        <v>1.1159064034741E-23</v>
      </c>
      <c r="L46" s="444"/>
      <c r="M46" s="444"/>
      <c r="N46" s="444"/>
      <c r="O46" s="444"/>
      <c r="P46" s="444"/>
      <c r="Q46" s="444">
        <f>(37530/Q41)^16</f>
        <v>1.1159064034740968E-23</v>
      </c>
      <c r="R46" s="444"/>
      <c r="S46" s="444"/>
      <c r="T46" s="444"/>
      <c r="U46" s="444"/>
      <c r="V46" s="444"/>
      <c r="W46" s="444">
        <f>(37530/W41)^16</f>
        <v>6.7998163560498298E-28</v>
      </c>
      <c r="X46" s="444"/>
      <c r="Y46" s="444"/>
      <c r="Z46" s="444"/>
      <c r="AA46" s="444"/>
      <c r="AB46" s="444"/>
      <c r="AC46" s="444">
        <f>(37530/AC41)^16</f>
        <v>9.6646165856635615E-31</v>
      </c>
      <c r="AD46" s="444"/>
      <c r="AE46" s="444"/>
      <c r="AF46" s="444"/>
      <c r="AG46" s="444"/>
      <c r="AH46" s="444"/>
      <c r="AI46" s="444">
        <f>(37530/AI41)^16</f>
        <v>9.664616585663537E-31</v>
      </c>
      <c r="AJ46" s="444"/>
      <c r="AK46" s="444"/>
      <c r="AL46" s="444"/>
      <c r="AM46" s="444"/>
      <c r="AN46" s="444"/>
      <c r="AO46" s="444">
        <f>(37530/AO41)^16</f>
        <v>9.664616585663537E-31</v>
      </c>
      <c r="AP46" s="444"/>
      <c r="AQ46" s="444"/>
      <c r="AR46" s="444"/>
      <c r="AS46" s="444"/>
      <c r="AT46" s="444"/>
      <c r="AU46" s="444">
        <f>(37530/AU41)^16</f>
        <v>9.7093672961331849E-31</v>
      </c>
      <c r="AV46" s="444"/>
      <c r="AW46" s="444"/>
      <c r="AX46" s="444"/>
      <c r="AY46" s="444"/>
      <c r="AZ46" s="444"/>
      <c r="BA46" s="444">
        <f>(37530/BA41)^16</f>
        <v>9.7093672961331534E-31</v>
      </c>
      <c r="BB46" s="444"/>
      <c r="BC46" s="444"/>
      <c r="BD46" s="444"/>
      <c r="BE46" s="444"/>
      <c r="BF46" s="444"/>
      <c r="BG46" s="444">
        <f>(37530/BG41)^16</f>
        <v>9.7093672961331849E-31</v>
      </c>
      <c r="BH46" s="444"/>
      <c r="BI46" s="444"/>
      <c r="BJ46" s="444"/>
      <c r="BK46" s="444"/>
      <c r="BL46" s="444"/>
      <c r="BM46" s="444">
        <f>(37530/BM41)^16</f>
        <v>1.3406654827658558E-18</v>
      </c>
      <c r="BN46" s="444"/>
      <c r="BO46" s="444"/>
      <c r="BP46" s="444"/>
      <c r="BQ46" s="444"/>
      <c r="BR46" s="444"/>
      <c r="BS46" s="444">
        <f>(37530/BS41)^16</f>
        <v>1.6404577077359635E-20</v>
      </c>
      <c r="BT46" s="444"/>
      <c r="BU46" s="444"/>
      <c r="BV46" s="444"/>
      <c r="BW46" s="444"/>
      <c r="BX46" s="444"/>
      <c r="BY46" s="444">
        <f>(37530/BY41)^16</f>
        <v>2.8842200682891594E-25</v>
      </c>
      <c r="BZ46" s="444"/>
      <c r="CA46" s="444"/>
      <c r="CB46" s="444"/>
      <c r="CC46" s="444"/>
      <c r="CD46" s="444"/>
      <c r="CE46" s="444">
        <f>(37530/CE41)^16</f>
        <v>2.8842200682891594E-25</v>
      </c>
      <c r="CF46" s="444"/>
      <c r="CG46" s="444"/>
      <c r="CH46" s="444"/>
      <c r="CI46" s="444"/>
      <c r="CJ46" s="444"/>
      <c r="CK46" s="444">
        <f>(37530/CK41)^16</f>
        <v>8.04527193377858E-22</v>
      </c>
      <c r="CL46" s="444"/>
      <c r="CM46" s="444"/>
      <c r="CN46" s="444"/>
      <c r="CO46" s="444"/>
      <c r="CP46" s="444"/>
      <c r="CQ46" s="444">
        <f>(37530/CQ41)^16</f>
        <v>8.04527193377858E-22</v>
      </c>
      <c r="CR46" s="444"/>
      <c r="CS46" s="444"/>
      <c r="CT46" s="444"/>
      <c r="CU46" s="444"/>
      <c r="CV46" s="444"/>
      <c r="CW46" s="444">
        <f>(37530/CW41)^16</f>
        <v>8.0452719337785452E-22</v>
      </c>
      <c r="CX46" s="444"/>
      <c r="CY46" s="444"/>
      <c r="CZ46" s="444"/>
      <c r="DA46" s="444"/>
      <c r="DB46" s="444"/>
      <c r="DC46" s="444">
        <f>(37530/DC41)^16</f>
        <v>8.0452719337785715E-22</v>
      </c>
      <c r="DD46" s="444"/>
      <c r="DE46" s="444"/>
      <c r="DF46" s="444"/>
      <c r="DG46" s="444"/>
      <c r="DH46" s="444"/>
      <c r="DI46" s="444">
        <f>(37530/DI41)^16</f>
        <v>8.045271933778643E-22</v>
      </c>
      <c r="DJ46" s="444"/>
      <c r="DK46" s="444"/>
      <c r="DL46" s="444"/>
      <c r="DM46" s="444"/>
      <c r="DN46" s="444"/>
      <c r="DO46" s="444">
        <f>(37530/DO41)^16</f>
        <v>1.3574413018646245E+34</v>
      </c>
      <c r="DP46" s="444"/>
      <c r="DQ46" s="444"/>
      <c r="DR46" s="444"/>
      <c r="DS46" s="444"/>
      <c r="DT46" s="444"/>
    </row>
    <row r="47" spans="2:124" ht="14.5" hidden="1" customHeight="1" x14ac:dyDescent="0.35">
      <c r="B47" s="15"/>
      <c r="C47" s="515" t="s">
        <v>50</v>
      </c>
      <c r="D47" s="515"/>
      <c r="E47" s="528">
        <f>8*((8/E41)^12+(E45+E46)^(-1.5))^(1/12)</f>
        <v>1.571084155392722E-2</v>
      </c>
      <c r="F47" s="529"/>
      <c r="G47" s="529"/>
      <c r="H47" s="529"/>
      <c r="I47" s="529"/>
      <c r="J47" s="530"/>
      <c r="K47" s="445">
        <f>8*((8/K41)^12+(K45+K46)^(-1.5))^(1/12)</f>
        <v>1.5710880841714021E-2</v>
      </c>
      <c r="L47" s="445"/>
      <c r="M47" s="445"/>
      <c r="N47" s="445"/>
      <c r="O47" s="445"/>
      <c r="P47" s="445"/>
      <c r="Q47" s="445">
        <f>8*((8/Q41)^12+(Q45+Q46)^(-1.5))^(1/12)</f>
        <v>1.5710880841714021E-2</v>
      </c>
      <c r="R47" s="445"/>
      <c r="S47" s="445"/>
      <c r="T47" s="445"/>
      <c r="U47" s="445"/>
      <c r="V47" s="445"/>
      <c r="W47" s="445">
        <f>8*((8/W41)^12+(W45+W46)^(-1.5))^(1/12)</f>
        <v>1.5384737034321364E-2</v>
      </c>
      <c r="X47" s="445"/>
      <c r="Y47" s="445"/>
      <c r="Z47" s="445"/>
      <c r="AA47" s="445"/>
      <c r="AB47" s="445"/>
      <c r="AC47" s="445">
        <f>8*((8/AC41)^12+(AC45+AC46)^(-1.5))^(1/12)</f>
        <v>1.6543748600051547E-2</v>
      </c>
      <c r="AD47" s="445"/>
      <c r="AE47" s="445"/>
      <c r="AF47" s="445"/>
      <c r="AG47" s="445"/>
      <c r="AH47" s="445"/>
      <c r="AI47" s="445">
        <f>8*((8/AI41)^12+(AI45+AI46)^(-1.5))^(1/12)</f>
        <v>1.6543748600051547E-2</v>
      </c>
      <c r="AJ47" s="445"/>
      <c r="AK47" s="445"/>
      <c r="AL47" s="445"/>
      <c r="AM47" s="445"/>
      <c r="AN47" s="445"/>
      <c r="AO47" s="445">
        <f>8*((8/AO41)^12+(AO45+AO46)^(-1.5))^(1/12)</f>
        <v>1.6543748600051547E-2</v>
      </c>
      <c r="AP47" s="445"/>
      <c r="AQ47" s="445"/>
      <c r="AR47" s="445"/>
      <c r="AS47" s="445"/>
      <c r="AT47" s="445"/>
      <c r="AU47" s="445">
        <f>8*((8/AU41)^12+(AU45+AU46)^(-1.5))^(1/12)</f>
        <v>1.6543815415595364E-2</v>
      </c>
      <c r="AV47" s="445"/>
      <c r="AW47" s="445"/>
      <c r="AX47" s="445"/>
      <c r="AY47" s="445"/>
      <c r="AZ47" s="445"/>
      <c r="BA47" s="445">
        <f>8*((8/BA41)^12+(BA45+BA46)^(-1.5))^(1/12)</f>
        <v>1.6543815415595364E-2</v>
      </c>
      <c r="BB47" s="445"/>
      <c r="BC47" s="445"/>
      <c r="BD47" s="445"/>
      <c r="BE47" s="445"/>
      <c r="BF47" s="445"/>
      <c r="BG47" s="445">
        <f>8*((8/BG41)^12+(BG45+BG46)^(-1.5))^(1/12)</f>
        <v>1.6543815415595364E-2</v>
      </c>
      <c r="BH47" s="445"/>
      <c r="BI47" s="445"/>
      <c r="BJ47" s="445"/>
      <c r="BK47" s="445"/>
      <c r="BL47" s="445"/>
      <c r="BM47" s="445">
        <f>8*((8/BM41)^12+(BM45+BM46)^(-1.5))^(1/12)</f>
        <v>1.5768027261217784E-2</v>
      </c>
      <c r="BN47" s="445"/>
      <c r="BO47" s="445"/>
      <c r="BP47" s="445"/>
      <c r="BQ47" s="445"/>
      <c r="BR47" s="445"/>
      <c r="BS47" s="445">
        <f>8*((8/BS41)^12+(BS45+BS46)^(-1.5))^(1/12)</f>
        <v>1.5443410459753826E-2</v>
      </c>
      <c r="BT47" s="445"/>
      <c r="BU47" s="445"/>
      <c r="BV47" s="445"/>
      <c r="BW47" s="445"/>
      <c r="BX47" s="445"/>
      <c r="BY47" s="445">
        <f>8*((8/BY41)^12+(BY45+BY46)^(-1.5))^(1/12)</f>
        <v>1.6803028802830803E-2</v>
      </c>
      <c r="BZ47" s="445"/>
      <c r="CA47" s="445"/>
      <c r="CB47" s="445"/>
      <c r="CC47" s="445"/>
      <c r="CD47" s="445"/>
      <c r="CE47" s="445">
        <f>8*((8/CE41)^12+(CE45+CE46)^(-1.5))^(1/12)</f>
        <v>1.6803028802830803E-2</v>
      </c>
      <c r="CF47" s="445"/>
      <c r="CG47" s="445"/>
      <c r="CH47" s="445"/>
      <c r="CI47" s="445"/>
      <c r="CJ47" s="445"/>
      <c r="CK47" s="445">
        <f>8*((8/CK41)^12+(CK45+CK46)^(-1.5))^(1/12)</f>
        <v>1.8186536286490203E-2</v>
      </c>
      <c r="CL47" s="445"/>
      <c r="CM47" s="445"/>
      <c r="CN47" s="445"/>
      <c r="CO47" s="445"/>
      <c r="CP47" s="445"/>
      <c r="CQ47" s="445">
        <f>8*((8/CQ41)^12+(CQ45+CQ46)^(-1.5))^(1/12)</f>
        <v>1.8186536286490203E-2</v>
      </c>
      <c r="CR47" s="445"/>
      <c r="CS47" s="445"/>
      <c r="CT47" s="445"/>
      <c r="CU47" s="445"/>
      <c r="CV47" s="445"/>
      <c r="CW47" s="445">
        <f>8*((8/CW41)^12+(CW45+CW46)^(-1.5))^(1/12)</f>
        <v>1.8186536286490203E-2</v>
      </c>
      <c r="CX47" s="445"/>
      <c r="CY47" s="445"/>
      <c r="CZ47" s="445"/>
      <c r="DA47" s="445"/>
      <c r="DB47" s="445"/>
      <c r="DC47" s="445">
        <f>8*((8/DC41)^12+(DC45+DC46)^(-1.5))^(1/12)</f>
        <v>1.8186536286490203E-2</v>
      </c>
      <c r="DD47" s="445"/>
      <c r="DE47" s="445"/>
      <c r="DF47" s="445"/>
      <c r="DG47" s="445"/>
      <c r="DH47" s="445"/>
      <c r="DI47" s="445">
        <f>8*((8/DI41)^12+(DI45+DI46)^(-1.5))^(1/12)</f>
        <v>1.8186536286490203E-2</v>
      </c>
      <c r="DJ47" s="445"/>
      <c r="DK47" s="445"/>
      <c r="DL47" s="445"/>
      <c r="DM47" s="445"/>
      <c r="DN47" s="445"/>
      <c r="DO47" s="445">
        <f>8*((8/DO41)^12+(DO45+DO46)^(-1.5))^(1/12)</f>
        <v>0.2317909501646192</v>
      </c>
      <c r="DP47" s="445"/>
      <c r="DQ47" s="445"/>
      <c r="DR47" s="445"/>
      <c r="DS47" s="445"/>
      <c r="DT47" s="445"/>
    </row>
    <row r="48" spans="2:124" ht="14.5" hidden="1" customHeight="1" x14ac:dyDescent="0.35">
      <c r="B48" s="15"/>
      <c r="C48" s="197" t="s">
        <v>49</v>
      </c>
      <c r="D48" s="189"/>
      <c r="E48" s="331"/>
      <c r="F48" s="331"/>
      <c r="G48" s="331"/>
      <c r="H48" s="331"/>
      <c r="I48" s="331"/>
      <c r="J48" s="331"/>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198"/>
      <c r="CK48" s="198"/>
      <c r="CL48" s="198"/>
      <c r="CM48" s="198"/>
      <c r="CN48" s="198"/>
      <c r="CO48" s="198"/>
      <c r="CP48" s="198"/>
      <c r="CQ48" s="198"/>
      <c r="CR48" s="198"/>
      <c r="CS48" s="198"/>
      <c r="CT48" s="198"/>
      <c r="CU48" s="198"/>
      <c r="CV48" s="198"/>
      <c r="CW48" s="198"/>
      <c r="CX48" s="198"/>
      <c r="CY48" s="198"/>
      <c r="CZ48" s="198"/>
      <c r="DA48" s="198"/>
      <c r="DB48" s="198"/>
      <c r="DC48" s="198"/>
      <c r="DD48" s="198"/>
      <c r="DE48" s="198"/>
      <c r="DF48" s="198"/>
      <c r="DG48" s="198"/>
      <c r="DH48" s="198"/>
      <c r="DI48" s="198"/>
      <c r="DJ48" s="198"/>
      <c r="DK48" s="198"/>
      <c r="DL48" s="198"/>
      <c r="DM48" s="198"/>
      <c r="DN48" s="198"/>
      <c r="DO48" s="423"/>
      <c r="DP48" s="423"/>
      <c r="DQ48" s="423"/>
      <c r="DR48" s="423"/>
      <c r="DS48" s="423"/>
      <c r="DT48" s="423"/>
    </row>
    <row r="49" spans="2:124" ht="14.5" hidden="1" customHeight="1" x14ac:dyDescent="0.35">
      <c r="B49" s="15"/>
      <c r="C49" s="189" t="s">
        <v>48</v>
      </c>
      <c r="D49" s="189"/>
      <c r="E49" s="497">
        <f>1/((-2*LOG10(((E32/(E30*3.7))+(2.51/(E41*SQRT(E47))))))^2)</f>
        <v>1.5619220674284888E-2</v>
      </c>
      <c r="F49" s="498"/>
      <c r="G49" s="498"/>
      <c r="H49" s="498"/>
      <c r="I49" s="498"/>
      <c r="J49" s="499"/>
      <c r="K49" s="442">
        <f>1/((-2*LOG10(((K32/(K30*3.7))+(2.51/(K41*SQRT(K47))))))^2)</f>
        <v>1.5619258598672355E-2</v>
      </c>
      <c r="L49" s="442"/>
      <c r="M49" s="442"/>
      <c r="N49" s="442"/>
      <c r="O49" s="442"/>
      <c r="P49" s="442"/>
      <c r="Q49" s="442">
        <f>1/((-2*LOG10(((Q32/(Q30*3.7))+(2.51/(Q41*SQRT(Q47))))))^2)</f>
        <v>1.5619258598672355E-2</v>
      </c>
      <c r="R49" s="442"/>
      <c r="S49" s="442"/>
      <c r="T49" s="442"/>
      <c r="U49" s="442"/>
      <c r="V49" s="442"/>
      <c r="W49" s="442">
        <f>1/((-2*LOG10(((W32/(W30*3.7))+(2.51/(W41*SQRT(W47))))))^2)</f>
        <v>1.5310619165333373E-2</v>
      </c>
      <c r="X49" s="442"/>
      <c r="Y49" s="442"/>
      <c r="Z49" s="442"/>
      <c r="AA49" s="442"/>
      <c r="AB49" s="442"/>
      <c r="AC49" s="442">
        <f>1/((-2*LOG10(((AC32/(AC30*3.7))+(2.51/(AC41*SQRT(AC47))))))^2)</f>
        <v>1.6490455901206895E-2</v>
      </c>
      <c r="AD49" s="442"/>
      <c r="AE49" s="442"/>
      <c r="AF49" s="442"/>
      <c r="AG49" s="442"/>
      <c r="AH49" s="442"/>
      <c r="AI49" s="442">
        <f>1/((-2*LOG10(((AI32/(AI30*3.7))+(2.51/(AI41*SQRT(AI47))))))^2)</f>
        <v>1.6490455901206895E-2</v>
      </c>
      <c r="AJ49" s="442"/>
      <c r="AK49" s="442"/>
      <c r="AL49" s="442"/>
      <c r="AM49" s="442"/>
      <c r="AN49" s="442"/>
      <c r="AO49" s="442">
        <f>1/((-2*LOG10(((AO32/(AO30*3.7))+(2.51/(AO41*SQRT(AO47))))))^2)</f>
        <v>1.6490455901206895E-2</v>
      </c>
      <c r="AP49" s="442"/>
      <c r="AQ49" s="442"/>
      <c r="AR49" s="442"/>
      <c r="AS49" s="442"/>
      <c r="AT49" s="442"/>
      <c r="AU49" s="442">
        <f>1/((-2*LOG10(((AU32/(AU30*3.7))+(2.51/(AU41*SQRT(AU47))))))^2)</f>
        <v>1.6490513031995276E-2</v>
      </c>
      <c r="AV49" s="442"/>
      <c r="AW49" s="442"/>
      <c r="AX49" s="442"/>
      <c r="AY49" s="442"/>
      <c r="AZ49" s="442"/>
      <c r="BA49" s="442">
        <f>1/((-2*LOG10(((BA32/(BA30*3.7))+(2.51/(BA41*SQRT(BA47))))))^2)</f>
        <v>1.6490513031995276E-2</v>
      </c>
      <c r="BB49" s="442"/>
      <c r="BC49" s="442"/>
      <c r="BD49" s="442"/>
      <c r="BE49" s="442"/>
      <c r="BF49" s="442"/>
      <c r="BG49" s="442">
        <f>1/((-2*LOG10(((BG32/(BG30*3.7))+(2.51/(BG41*SQRT(BG47))))))^2)</f>
        <v>1.6490513031995276E-2</v>
      </c>
      <c r="BH49" s="442"/>
      <c r="BI49" s="442"/>
      <c r="BJ49" s="442"/>
      <c r="BK49" s="442"/>
      <c r="BL49" s="442"/>
      <c r="BM49" s="442">
        <f>1/((-2*LOG10(((BM32/(BM30*3.7))+(2.51/(BM41*SQRT(BM47))))))^2)</f>
        <v>1.568013761229933E-2</v>
      </c>
      <c r="BN49" s="442"/>
      <c r="BO49" s="442"/>
      <c r="BP49" s="442"/>
      <c r="BQ49" s="442"/>
      <c r="BR49" s="442"/>
      <c r="BS49" s="442">
        <f>1/((-2*LOG10(((BS32/(BS30*3.7))+(2.51/(BS41*SQRT(BS47))))))^2)</f>
        <v>1.5351996068955013E-2</v>
      </c>
      <c r="BT49" s="442"/>
      <c r="BU49" s="442"/>
      <c r="BV49" s="442"/>
      <c r="BW49" s="442"/>
      <c r="BX49" s="442"/>
      <c r="BY49" s="442">
        <f>1/((-2*LOG10(((BY32/(BY30*3.7))+(2.51/(BY41*SQRT(BY47))))))^2)</f>
        <v>1.6721061478603839E-2</v>
      </c>
      <c r="BZ49" s="442"/>
      <c r="CA49" s="442"/>
      <c r="CB49" s="442"/>
      <c r="CC49" s="442"/>
      <c r="CD49" s="442"/>
      <c r="CE49" s="442">
        <f>1/((-2*LOG10(((CE32/(CE30*3.7))+(2.51/(CE41*SQRT(CE47))))))^2)</f>
        <v>1.6721061478603839E-2</v>
      </c>
      <c r="CF49" s="442"/>
      <c r="CG49" s="442"/>
      <c r="CH49" s="442"/>
      <c r="CI49" s="442"/>
      <c r="CJ49" s="442"/>
      <c r="CK49" s="442">
        <f>1/((-2*LOG10(((CK32/(CK30*3.7))+(2.51/(CK41*SQRT(CK47))))))^2)</f>
        <v>1.808847769671424E-2</v>
      </c>
      <c r="CL49" s="442"/>
      <c r="CM49" s="442"/>
      <c r="CN49" s="442"/>
      <c r="CO49" s="442"/>
      <c r="CP49" s="442"/>
      <c r="CQ49" s="442">
        <f>1/((-2*LOG10(((CQ32/(CQ30*3.7))+(2.51/(CQ41*SQRT(CQ47))))))^2)</f>
        <v>1.808847769671424E-2</v>
      </c>
      <c r="CR49" s="442"/>
      <c r="CS49" s="442"/>
      <c r="CT49" s="442"/>
      <c r="CU49" s="442"/>
      <c r="CV49" s="442"/>
      <c r="CW49" s="442">
        <f>1/((-2*LOG10(((CW32/(CW30*3.7))+(2.51/(CW41*SQRT(CW47))))))^2)</f>
        <v>1.808847769671424E-2</v>
      </c>
      <c r="CX49" s="442"/>
      <c r="CY49" s="442"/>
      <c r="CZ49" s="442"/>
      <c r="DA49" s="442"/>
      <c r="DB49" s="442"/>
      <c r="DC49" s="442">
        <f>1/((-2*LOG10(((DC32/(DC30*3.7))+(2.51/(DC41*SQRT(DC47))))))^2)</f>
        <v>1.808847769671424E-2</v>
      </c>
      <c r="DD49" s="442"/>
      <c r="DE49" s="442"/>
      <c r="DF49" s="442"/>
      <c r="DG49" s="442"/>
      <c r="DH49" s="442"/>
      <c r="DI49" s="442">
        <f>1/((-2*LOG10(((DI32/(DI30*3.7))+(2.51/(DI41*SQRT(DI47))))))^2)</f>
        <v>1.808847769671424E-2</v>
      </c>
      <c r="DJ49" s="442"/>
      <c r="DK49" s="442"/>
      <c r="DL49" s="442"/>
      <c r="DM49" s="442"/>
      <c r="DN49" s="442"/>
      <c r="DO49" s="442">
        <f>1/((-2*LOG10(((DO32/(DO30*3.7))+(2.51/(DO41*SQRT(DO47))))))^2)</f>
        <v>8.558308876258626E-2</v>
      </c>
      <c r="DP49" s="442"/>
      <c r="DQ49" s="442"/>
      <c r="DR49" s="442"/>
      <c r="DS49" s="442"/>
      <c r="DT49" s="442"/>
    </row>
    <row r="50" spans="2:124" x14ac:dyDescent="0.35">
      <c r="B50" s="15"/>
      <c r="C50" s="189" t="s">
        <v>43</v>
      </c>
      <c r="D50" s="188" t="s">
        <v>88</v>
      </c>
      <c r="E50" s="500">
        <f>IF((E41&lt;=2100),E44,IF(E41&lt;=4000,E47,E49))</f>
        <v>1.5619220674284888E-2</v>
      </c>
      <c r="F50" s="501"/>
      <c r="G50" s="501"/>
      <c r="H50" s="501"/>
      <c r="I50" s="501"/>
      <c r="J50" s="502"/>
      <c r="K50" s="439">
        <f>IF((K41&lt;=2100),K44,IF(K41&lt;=4000,K47,K49))</f>
        <v>1.5619258598672355E-2</v>
      </c>
      <c r="L50" s="439"/>
      <c r="M50" s="439"/>
      <c r="N50" s="439"/>
      <c r="O50" s="439"/>
      <c r="P50" s="439"/>
      <c r="Q50" s="439">
        <f>IF((Q41&lt;=2100),Q44,IF(Q41&lt;=4000,Q47,Q49))</f>
        <v>1.5619258598672355E-2</v>
      </c>
      <c r="R50" s="439"/>
      <c r="S50" s="439"/>
      <c r="T50" s="439"/>
      <c r="U50" s="439"/>
      <c r="V50" s="439"/>
      <c r="W50" s="439">
        <f>IF((W41&lt;=2100),W44,IF(W41&lt;=4000,W47,W49))</f>
        <v>1.5310619165333373E-2</v>
      </c>
      <c r="X50" s="439"/>
      <c r="Y50" s="439"/>
      <c r="Z50" s="439"/>
      <c r="AA50" s="439"/>
      <c r="AB50" s="439"/>
      <c r="AC50" s="439">
        <f>IF((AC41&lt;=2100),AC44,IF(AC41&lt;=4000,AC47,AC49))</f>
        <v>1.6490455901206895E-2</v>
      </c>
      <c r="AD50" s="439"/>
      <c r="AE50" s="439"/>
      <c r="AF50" s="439"/>
      <c r="AG50" s="439"/>
      <c r="AH50" s="439"/>
      <c r="AI50" s="439">
        <f>IF((AI41&lt;=2100),AI44,IF(AI41&lt;=4000,AI47,AI49))</f>
        <v>1.6490455901206895E-2</v>
      </c>
      <c r="AJ50" s="439"/>
      <c r="AK50" s="439"/>
      <c r="AL50" s="439"/>
      <c r="AM50" s="439"/>
      <c r="AN50" s="439"/>
      <c r="AO50" s="439">
        <f>IF((AO41&lt;=2100),AO44,IF(AO41&lt;=4000,AO47,AO49))</f>
        <v>1.6490455901206895E-2</v>
      </c>
      <c r="AP50" s="439"/>
      <c r="AQ50" s="439"/>
      <c r="AR50" s="439"/>
      <c r="AS50" s="439"/>
      <c r="AT50" s="439"/>
      <c r="AU50" s="439">
        <f>IF((AU41&lt;=2100),AU44,IF(AU41&lt;=4000,AU47,AU49))</f>
        <v>1.6490513031995276E-2</v>
      </c>
      <c r="AV50" s="439"/>
      <c r="AW50" s="439"/>
      <c r="AX50" s="439"/>
      <c r="AY50" s="439"/>
      <c r="AZ50" s="439"/>
      <c r="BA50" s="439">
        <f>IF((BA41&lt;=2100),BA44,IF(BA41&lt;=4000,BA47,BA49))</f>
        <v>1.6490513031995276E-2</v>
      </c>
      <c r="BB50" s="439"/>
      <c r="BC50" s="439"/>
      <c r="BD50" s="439"/>
      <c r="BE50" s="439"/>
      <c r="BF50" s="439"/>
      <c r="BG50" s="439">
        <f>IF((BG41&lt;=2100),BG44,IF(BG41&lt;=4000,BG47,BG49))</f>
        <v>1.6490513031995276E-2</v>
      </c>
      <c r="BH50" s="439"/>
      <c r="BI50" s="439"/>
      <c r="BJ50" s="439"/>
      <c r="BK50" s="439"/>
      <c r="BL50" s="439"/>
      <c r="BM50" s="439">
        <f>IF((BM41&lt;=2100),BM44,IF(BM41&lt;=4000,BM47,BM49))</f>
        <v>1.568013761229933E-2</v>
      </c>
      <c r="BN50" s="439"/>
      <c r="BO50" s="439"/>
      <c r="BP50" s="439"/>
      <c r="BQ50" s="439"/>
      <c r="BR50" s="439"/>
      <c r="BS50" s="439">
        <f>IF((BS41&lt;=2100),BS44,IF(BS41&lt;=4000,BS47,BS49))</f>
        <v>1.5351996068955013E-2</v>
      </c>
      <c r="BT50" s="439"/>
      <c r="BU50" s="439"/>
      <c r="BV50" s="439"/>
      <c r="BW50" s="439"/>
      <c r="BX50" s="439"/>
      <c r="BY50" s="439">
        <f>IF((BY41&lt;=2100),BY44,IF(BY41&lt;=4000,BY47,BY49))</f>
        <v>1.6721061478603839E-2</v>
      </c>
      <c r="BZ50" s="439"/>
      <c r="CA50" s="439"/>
      <c r="CB50" s="439"/>
      <c r="CC50" s="439"/>
      <c r="CD50" s="439"/>
      <c r="CE50" s="439">
        <f>IF((CE41&lt;=2100),CE44,IF(CE41&lt;=4000,CE47,CE49))</f>
        <v>1.6721061478603839E-2</v>
      </c>
      <c r="CF50" s="439"/>
      <c r="CG50" s="439"/>
      <c r="CH50" s="439"/>
      <c r="CI50" s="439"/>
      <c r="CJ50" s="439"/>
      <c r="CK50" s="439">
        <f>IF((CK41&lt;=2100),CK44,IF(CK41&lt;=4000,CK47,CK49))</f>
        <v>1.808847769671424E-2</v>
      </c>
      <c r="CL50" s="439"/>
      <c r="CM50" s="439"/>
      <c r="CN50" s="439"/>
      <c r="CO50" s="439"/>
      <c r="CP50" s="439"/>
      <c r="CQ50" s="439">
        <f>IF((CQ41&lt;=2100),CQ44,IF(CQ41&lt;=4000,CQ47,CQ49))</f>
        <v>1.808847769671424E-2</v>
      </c>
      <c r="CR50" s="439"/>
      <c r="CS50" s="439"/>
      <c r="CT50" s="439"/>
      <c r="CU50" s="439"/>
      <c r="CV50" s="439"/>
      <c r="CW50" s="439">
        <f>IF((CW41&lt;=2100),CW44,IF(CW41&lt;=4000,CW47,CW49))</f>
        <v>1.808847769671424E-2</v>
      </c>
      <c r="CX50" s="439"/>
      <c r="CY50" s="439"/>
      <c r="CZ50" s="439"/>
      <c r="DA50" s="439"/>
      <c r="DB50" s="439"/>
      <c r="DC50" s="439">
        <f>IF((DC41&lt;=2100),DC44,IF(DC41&lt;=4000,DC47,DC49))</f>
        <v>1.808847769671424E-2</v>
      </c>
      <c r="DD50" s="439"/>
      <c r="DE50" s="439"/>
      <c r="DF50" s="439"/>
      <c r="DG50" s="439"/>
      <c r="DH50" s="439"/>
      <c r="DI50" s="439">
        <f>IF((DI41&lt;=2100),DI44,IF(DI41&lt;=4000,DI47,DI49))</f>
        <v>1.808847769671424E-2</v>
      </c>
      <c r="DJ50" s="439"/>
      <c r="DK50" s="439"/>
      <c r="DL50" s="439"/>
      <c r="DM50" s="439"/>
      <c r="DN50" s="439"/>
      <c r="DO50" s="439">
        <f>IF((DO41&lt;=2100),DO44,IF(DO41&lt;=4000,DO47,DO49))</f>
        <v>0.23179095016461918</v>
      </c>
      <c r="DP50" s="439"/>
      <c r="DQ50" s="439"/>
      <c r="DR50" s="439"/>
      <c r="DS50" s="439"/>
      <c r="DT50" s="439"/>
    </row>
    <row r="51" spans="2:124" ht="14.5" customHeight="1" x14ac:dyDescent="0.35">
      <c r="B51" s="15"/>
      <c r="C51" s="191" t="s">
        <v>504</v>
      </c>
      <c r="D51" s="188"/>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row>
    <row r="52" spans="2:124" x14ac:dyDescent="0.35">
      <c r="B52" s="15"/>
      <c r="C52" s="189" t="s">
        <v>505</v>
      </c>
      <c r="D52" s="188" t="s">
        <v>63</v>
      </c>
      <c r="E52" s="503">
        <v>50</v>
      </c>
      <c r="F52" s="504"/>
      <c r="G52" s="504"/>
      <c r="H52" s="504"/>
      <c r="I52" s="504"/>
      <c r="J52" s="505"/>
      <c r="K52" s="437">
        <v>100</v>
      </c>
      <c r="L52" s="437"/>
      <c r="M52" s="437"/>
      <c r="N52" s="437"/>
      <c r="O52" s="437"/>
      <c r="P52" s="437"/>
      <c r="Q52" s="437">
        <v>100</v>
      </c>
      <c r="R52" s="437"/>
      <c r="S52" s="437"/>
      <c r="T52" s="437"/>
      <c r="U52" s="437"/>
      <c r="V52" s="437"/>
      <c r="W52" s="437">
        <v>100</v>
      </c>
      <c r="X52" s="437"/>
      <c r="Y52" s="437"/>
      <c r="Z52" s="437"/>
      <c r="AA52" s="437"/>
      <c r="AB52" s="437"/>
      <c r="AC52" s="437">
        <v>100</v>
      </c>
      <c r="AD52" s="437"/>
      <c r="AE52" s="437"/>
      <c r="AF52" s="437"/>
      <c r="AG52" s="437"/>
      <c r="AH52" s="437"/>
      <c r="AI52" s="437">
        <v>100</v>
      </c>
      <c r="AJ52" s="437"/>
      <c r="AK52" s="437"/>
      <c r="AL52" s="437"/>
      <c r="AM52" s="437"/>
      <c r="AN52" s="437"/>
      <c r="AO52" s="437">
        <v>100</v>
      </c>
      <c r="AP52" s="437"/>
      <c r="AQ52" s="437"/>
      <c r="AR52" s="437"/>
      <c r="AS52" s="437"/>
      <c r="AT52" s="437"/>
      <c r="AU52" s="437">
        <v>100</v>
      </c>
      <c r="AV52" s="437"/>
      <c r="AW52" s="437"/>
      <c r="AX52" s="437"/>
      <c r="AY52" s="437"/>
      <c r="AZ52" s="437"/>
      <c r="BA52" s="437">
        <v>100</v>
      </c>
      <c r="BB52" s="437"/>
      <c r="BC52" s="437"/>
      <c r="BD52" s="437"/>
      <c r="BE52" s="437"/>
      <c r="BF52" s="437"/>
      <c r="BG52" s="437">
        <v>100</v>
      </c>
      <c r="BH52" s="437"/>
      <c r="BI52" s="437"/>
      <c r="BJ52" s="437"/>
      <c r="BK52" s="437"/>
      <c r="BL52" s="437"/>
      <c r="BM52" s="437">
        <v>450</v>
      </c>
      <c r="BN52" s="437"/>
      <c r="BO52" s="437"/>
      <c r="BP52" s="437"/>
      <c r="BQ52" s="437"/>
      <c r="BR52" s="437"/>
      <c r="BS52" s="437">
        <v>100</v>
      </c>
      <c r="BT52" s="437"/>
      <c r="BU52" s="437"/>
      <c r="BV52" s="437"/>
      <c r="BW52" s="437"/>
      <c r="BX52" s="437"/>
      <c r="BY52" s="437">
        <v>100</v>
      </c>
      <c r="BZ52" s="437"/>
      <c r="CA52" s="437"/>
      <c r="CB52" s="437"/>
      <c r="CC52" s="437"/>
      <c r="CD52" s="437"/>
      <c r="CE52" s="437">
        <v>100</v>
      </c>
      <c r="CF52" s="437"/>
      <c r="CG52" s="437"/>
      <c r="CH52" s="437"/>
      <c r="CI52" s="437"/>
      <c r="CJ52" s="437"/>
      <c r="CK52" s="437">
        <v>100</v>
      </c>
      <c r="CL52" s="437"/>
      <c r="CM52" s="437"/>
      <c r="CN52" s="437"/>
      <c r="CO52" s="437"/>
      <c r="CP52" s="437"/>
      <c r="CQ52" s="437">
        <v>100</v>
      </c>
      <c r="CR52" s="437"/>
      <c r="CS52" s="437"/>
      <c r="CT52" s="437"/>
      <c r="CU52" s="437"/>
      <c r="CV52" s="437"/>
      <c r="CW52" s="437">
        <v>100</v>
      </c>
      <c r="CX52" s="437"/>
      <c r="CY52" s="437"/>
      <c r="CZ52" s="437"/>
      <c r="DA52" s="437"/>
      <c r="DB52" s="437"/>
      <c r="DC52" s="437">
        <v>100</v>
      </c>
      <c r="DD52" s="437"/>
      <c r="DE52" s="437"/>
      <c r="DF52" s="437"/>
      <c r="DG52" s="437"/>
      <c r="DH52" s="437"/>
      <c r="DI52" s="437">
        <v>100</v>
      </c>
      <c r="DJ52" s="437"/>
      <c r="DK52" s="437"/>
      <c r="DL52" s="437"/>
      <c r="DM52" s="437"/>
      <c r="DN52" s="437"/>
      <c r="DO52" s="437">
        <v>700</v>
      </c>
      <c r="DP52" s="437"/>
      <c r="DQ52" s="437"/>
      <c r="DR52" s="437"/>
      <c r="DS52" s="437"/>
      <c r="DT52" s="437"/>
    </row>
    <row r="53" spans="2:124" x14ac:dyDescent="0.35">
      <c r="B53" s="15"/>
      <c r="C53" s="189" t="s">
        <v>506</v>
      </c>
      <c r="D53" s="188" t="s">
        <v>63</v>
      </c>
      <c r="E53" s="503">
        <v>0</v>
      </c>
      <c r="F53" s="504"/>
      <c r="G53" s="504"/>
      <c r="H53" s="504"/>
      <c r="I53" s="504"/>
      <c r="J53" s="505"/>
      <c r="K53" s="437">
        <v>10</v>
      </c>
      <c r="L53" s="437"/>
      <c r="M53" s="437"/>
      <c r="N53" s="437"/>
      <c r="O53" s="437"/>
      <c r="P53" s="437"/>
      <c r="Q53" s="437">
        <v>10</v>
      </c>
      <c r="R53" s="437"/>
      <c r="S53" s="437"/>
      <c r="T53" s="437"/>
      <c r="U53" s="437"/>
      <c r="V53" s="437"/>
      <c r="W53" s="437">
        <v>10</v>
      </c>
      <c r="X53" s="437"/>
      <c r="Y53" s="437"/>
      <c r="Z53" s="437"/>
      <c r="AA53" s="437"/>
      <c r="AB53" s="437"/>
      <c r="AC53" s="437">
        <v>10</v>
      </c>
      <c r="AD53" s="437"/>
      <c r="AE53" s="437"/>
      <c r="AF53" s="437"/>
      <c r="AG53" s="437"/>
      <c r="AH53" s="437"/>
      <c r="AI53" s="437">
        <v>10</v>
      </c>
      <c r="AJ53" s="437"/>
      <c r="AK53" s="437"/>
      <c r="AL53" s="437"/>
      <c r="AM53" s="437"/>
      <c r="AN53" s="437"/>
      <c r="AO53" s="437">
        <v>10</v>
      </c>
      <c r="AP53" s="437"/>
      <c r="AQ53" s="437"/>
      <c r="AR53" s="437"/>
      <c r="AS53" s="437"/>
      <c r="AT53" s="437"/>
      <c r="AU53" s="437">
        <v>10</v>
      </c>
      <c r="AV53" s="437"/>
      <c r="AW53" s="437"/>
      <c r="AX53" s="437"/>
      <c r="AY53" s="437"/>
      <c r="AZ53" s="437"/>
      <c r="BA53" s="437">
        <v>10</v>
      </c>
      <c r="BB53" s="437"/>
      <c r="BC53" s="437"/>
      <c r="BD53" s="437"/>
      <c r="BE53" s="437"/>
      <c r="BF53" s="437"/>
      <c r="BG53" s="437">
        <v>0</v>
      </c>
      <c r="BH53" s="437"/>
      <c r="BI53" s="437"/>
      <c r="BJ53" s="437"/>
      <c r="BK53" s="437"/>
      <c r="BL53" s="437"/>
      <c r="BM53" s="437">
        <v>0</v>
      </c>
      <c r="BN53" s="437"/>
      <c r="BO53" s="437"/>
      <c r="BP53" s="437"/>
      <c r="BQ53" s="437"/>
      <c r="BR53" s="437"/>
      <c r="BS53" s="437">
        <v>10</v>
      </c>
      <c r="BT53" s="437"/>
      <c r="BU53" s="437"/>
      <c r="BV53" s="437"/>
      <c r="BW53" s="437"/>
      <c r="BX53" s="437"/>
      <c r="BY53" s="437">
        <v>10</v>
      </c>
      <c r="BZ53" s="437"/>
      <c r="CA53" s="437"/>
      <c r="CB53" s="437"/>
      <c r="CC53" s="437"/>
      <c r="CD53" s="437"/>
      <c r="CE53" s="437">
        <v>10</v>
      </c>
      <c r="CF53" s="437"/>
      <c r="CG53" s="437"/>
      <c r="CH53" s="437"/>
      <c r="CI53" s="437"/>
      <c r="CJ53" s="437"/>
      <c r="CK53" s="437">
        <v>10</v>
      </c>
      <c r="CL53" s="437"/>
      <c r="CM53" s="437"/>
      <c r="CN53" s="437"/>
      <c r="CO53" s="437"/>
      <c r="CP53" s="437"/>
      <c r="CQ53" s="437">
        <v>10</v>
      </c>
      <c r="CR53" s="437"/>
      <c r="CS53" s="437"/>
      <c r="CT53" s="437"/>
      <c r="CU53" s="437"/>
      <c r="CV53" s="437"/>
      <c r="CW53" s="437">
        <v>10</v>
      </c>
      <c r="CX53" s="437"/>
      <c r="CY53" s="437"/>
      <c r="CZ53" s="437"/>
      <c r="DA53" s="437"/>
      <c r="DB53" s="437"/>
      <c r="DC53" s="437">
        <v>10</v>
      </c>
      <c r="DD53" s="437"/>
      <c r="DE53" s="437"/>
      <c r="DF53" s="437"/>
      <c r="DG53" s="437"/>
      <c r="DH53" s="437"/>
      <c r="DI53" s="437">
        <v>10</v>
      </c>
      <c r="DJ53" s="437"/>
      <c r="DK53" s="437"/>
      <c r="DL53" s="437"/>
      <c r="DM53" s="437"/>
      <c r="DN53" s="437"/>
      <c r="DO53" s="437">
        <v>20</v>
      </c>
      <c r="DP53" s="437"/>
      <c r="DQ53" s="437"/>
      <c r="DR53" s="437"/>
      <c r="DS53" s="437"/>
      <c r="DT53" s="437"/>
    </row>
    <row r="54" spans="2:124" x14ac:dyDescent="0.35">
      <c r="B54" s="15"/>
      <c r="C54" s="189" t="s">
        <v>507</v>
      </c>
      <c r="D54" s="188" t="s">
        <v>500</v>
      </c>
      <c r="E54" s="509">
        <f>E169</f>
        <v>4.1270548686174928</v>
      </c>
      <c r="F54" s="510"/>
      <c r="G54" s="510"/>
      <c r="H54" s="510"/>
      <c r="I54" s="510"/>
      <c r="J54" s="511"/>
      <c r="K54" s="436">
        <f>K169</f>
        <v>3.9448857237700801</v>
      </c>
      <c r="L54" s="437"/>
      <c r="M54" s="437"/>
      <c r="N54" s="437"/>
      <c r="O54" s="437"/>
      <c r="P54" s="437"/>
      <c r="Q54" s="436">
        <f>Q169</f>
        <v>3.9448857237700801</v>
      </c>
      <c r="R54" s="437"/>
      <c r="S54" s="437"/>
      <c r="T54" s="437"/>
      <c r="U54" s="437"/>
      <c r="V54" s="437"/>
      <c r="W54" s="436">
        <f>W169</f>
        <v>3.942947474215488</v>
      </c>
      <c r="X54" s="437"/>
      <c r="Y54" s="437"/>
      <c r="Z54" s="437"/>
      <c r="AA54" s="437"/>
      <c r="AB54" s="437"/>
      <c r="AC54" s="436">
        <f>AC169</f>
        <v>4.2997619748423084</v>
      </c>
      <c r="AD54" s="437"/>
      <c r="AE54" s="437"/>
      <c r="AF54" s="437"/>
      <c r="AG54" s="437"/>
      <c r="AH54" s="437"/>
      <c r="AI54" s="436">
        <f>AI169</f>
        <v>4.2997619748423084</v>
      </c>
      <c r="AJ54" s="437"/>
      <c r="AK54" s="437"/>
      <c r="AL54" s="437"/>
      <c r="AM54" s="437"/>
      <c r="AN54" s="437"/>
      <c r="AO54" s="436">
        <f>AO169</f>
        <v>4.2997619748423084</v>
      </c>
      <c r="AP54" s="437"/>
      <c r="AQ54" s="437"/>
      <c r="AR54" s="437"/>
      <c r="AS54" s="437"/>
      <c r="AT54" s="437"/>
      <c r="AU54" s="436">
        <f>AU169</f>
        <v>4.2997624202310316</v>
      </c>
      <c r="AV54" s="437"/>
      <c r="AW54" s="437"/>
      <c r="AX54" s="437"/>
      <c r="AY54" s="437"/>
      <c r="AZ54" s="437"/>
      <c r="BA54" s="436">
        <f>BA169</f>
        <v>4.2997624202310316</v>
      </c>
      <c r="BB54" s="437"/>
      <c r="BC54" s="437"/>
      <c r="BD54" s="437"/>
      <c r="BE54" s="437"/>
      <c r="BF54" s="437"/>
      <c r="BG54" s="436">
        <f>BG169</f>
        <v>4.2997624202310316</v>
      </c>
      <c r="BH54" s="437"/>
      <c r="BI54" s="437"/>
      <c r="BJ54" s="437"/>
      <c r="BK54" s="437"/>
      <c r="BL54" s="437"/>
      <c r="BM54" s="436">
        <f>BM169</f>
        <v>3.7208829136069328</v>
      </c>
      <c r="BN54" s="437"/>
      <c r="BO54" s="437"/>
      <c r="BP54" s="437"/>
      <c r="BQ54" s="437"/>
      <c r="BR54" s="437"/>
      <c r="BS54" s="436">
        <f>BS169</f>
        <v>3.7187531022868003</v>
      </c>
      <c r="BT54" s="437"/>
      <c r="BU54" s="437"/>
      <c r="BV54" s="437"/>
      <c r="BW54" s="437"/>
      <c r="BX54" s="437"/>
      <c r="BY54" s="436">
        <f>BY169</f>
        <v>4.3016108892451319</v>
      </c>
      <c r="BZ54" s="437"/>
      <c r="CA54" s="437"/>
      <c r="CB54" s="437"/>
      <c r="CC54" s="437"/>
      <c r="CD54" s="437"/>
      <c r="CE54" s="436">
        <f>CE169</f>
        <v>4.3016108892451319</v>
      </c>
      <c r="CF54" s="437"/>
      <c r="CG54" s="437"/>
      <c r="CH54" s="437"/>
      <c r="CI54" s="437"/>
      <c r="CJ54" s="437"/>
      <c r="CK54" s="436">
        <f>CK169</f>
        <v>4.5852194663593124</v>
      </c>
      <c r="CL54" s="437"/>
      <c r="CM54" s="437"/>
      <c r="CN54" s="437"/>
      <c r="CO54" s="437"/>
      <c r="CP54" s="437"/>
      <c r="CQ54" s="436">
        <f>CQ169</f>
        <v>4.5852194663593124</v>
      </c>
      <c r="CR54" s="437"/>
      <c r="CS54" s="437"/>
      <c r="CT54" s="437"/>
      <c r="CU54" s="437"/>
      <c r="CV54" s="437"/>
      <c r="CW54" s="436">
        <f>CW169</f>
        <v>0</v>
      </c>
      <c r="CX54" s="437"/>
      <c r="CY54" s="437"/>
      <c r="CZ54" s="437"/>
      <c r="DA54" s="437"/>
      <c r="DB54" s="437"/>
      <c r="DC54" s="436">
        <f>DC169</f>
        <v>4.5852194663593124</v>
      </c>
      <c r="DD54" s="437"/>
      <c r="DE54" s="437"/>
      <c r="DF54" s="437"/>
      <c r="DG54" s="437"/>
      <c r="DH54" s="437"/>
      <c r="DI54" s="436">
        <f>DI169</f>
        <v>4.5852194663593124</v>
      </c>
      <c r="DJ54" s="437"/>
      <c r="DK54" s="437"/>
      <c r="DL54" s="437"/>
      <c r="DM54" s="437"/>
      <c r="DN54" s="437"/>
      <c r="DO54" s="436">
        <f>DO169</f>
        <v>22.089511907362656</v>
      </c>
      <c r="DP54" s="437"/>
      <c r="DQ54" s="437"/>
      <c r="DR54" s="437"/>
      <c r="DS54" s="437"/>
      <c r="DT54" s="437"/>
    </row>
    <row r="55" spans="2:124" x14ac:dyDescent="0.35">
      <c r="B55" s="15"/>
      <c r="C55" s="191" t="s">
        <v>508</v>
      </c>
      <c r="D55" s="188"/>
      <c r="E55" s="334"/>
      <c r="F55" s="332"/>
      <c r="G55" s="332"/>
      <c r="H55" s="332"/>
      <c r="I55" s="332"/>
      <c r="J55" s="332"/>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94"/>
      <c r="CU55" s="194"/>
      <c r="CV55" s="194"/>
      <c r="CW55" s="194"/>
      <c r="CX55" s="194"/>
      <c r="CY55" s="194"/>
      <c r="CZ55" s="194"/>
      <c r="DA55" s="194"/>
      <c r="DB55" s="194"/>
      <c r="DC55" s="194"/>
      <c r="DD55" s="194"/>
      <c r="DE55" s="194"/>
      <c r="DF55" s="194"/>
      <c r="DG55" s="194"/>
      <c r="DH55" s="194"/>
      <c r="DI55" s="194"/>
      <c r="DJ55" s="194"/>
      <c r="DK55" s="194"/>
      <c r="DL55" s="194"/>
      <c r="DM55" s="194"/>
      <c r="DN55" s="194"/>
      <c r="DO55" s="420"/>
      <c r="DP55" s="420"/>
      <c r="DQ55" s="420"/>
      <c r="DR55" s="420"/>
      <c r="DS55" s="420"/>
      <c r="DT55" s="420"/>
    </row>
    <row r="56" spans="2:124" x14ac:dyDescent="0.35">
      <c r="B56" s="15"/>
      <c r="C56" s="189" t="s">
        <v>509</v>
      </c>
      <c r="D56" s="188" t="s">
        <v>512</v>
      </c>
      <c r="E56" s="509">
        <f>(((E50*E52*E36*12/E30)*E40^2)/2)/(144*32.2)</f>
        <v>8.1226121584475439E-2</v>
      </c>
      <c r="F56" s="510"/>
      <c r="G56" s="510"/>
      <c r="H56" s="510"/>
      <c r="I56" s="510"/>
      <c r="J56" s="511"/>
      <c r="K56" s="436">
        <f>(((K50*K52*K36*12/K30)*K40^2)/2)/(144*32.2)</f>
        <v>0.16661681776226972</v>
      </c>
      <c r="L56" s="436"/>
      <c r="M56" s="436"/>
      <c r="N56" s="436"/>
      <c r="O56" s="436"/>
      <c r="P56" s="436"/>
      <c r="Q56" s="436">
        <f>(((Q50*Q52*Q36*12/Q30)*Q40^2)/2)/(144*32.2)</f>
        <v>0.16769594222964199</v>
      </c>
      <c r="R56" s="436"/>
      <c r="S56" s="436"/>
      <c r="T56" s="436"/>
      <c r="U56" s="436"/>
      <c r="V56" s="436"/>
      <c r="W56" s="436">
        <f>(((W50*W52*W36*12/W30)*W40^2)/2)/(144*32.2)</f>
        <v>0.5571477743876404</v>
      </c>
      <c r="X56" s="436"/>
      <c r="Y56" s="436"/>
      <c r="Z56" s="436"/>
      <c r="AA56" s="436"/>
      <c r="AB56" s="436"/>
      <c r="AC56" s="436">
        <f>(((AC50*AC52*AC36*12/AC30)*AC40^2)/2)/(144*32.2)</f>
        <v>2.1352507642132927</v>
      </c>
      <c r="AD56" s="436"/>
      <c r="AE56" s="436"/>
      <c r="AF56" s="436"/>
      <c r="AG56" s="436"/>
      <c r="AH56" s="436"/>
      <c r="AI56" s="436">
        <f>(((AI50*AI52*AI36*12/AI30)*AI40^2)/2)/(144*32.2)</f>
        <v>1.7374943439151136</v>
      </c>
      <c r="AJ56" s="436"/>
      <c r="AK56" s="436"/>
      <c r="AL56" s="436"/>
      <c r="AM56" s="436"/>
      <c r="AN56" s="436"/>
      <c r="AO56" s="436">
        <f>(((AO50*AO52*AO36*12/AO30)*AO40^2)/2)/(144*32.2)</f>
        <v>1.7181482697039141</v>
      </c>
      <c r="AP56" s="436"/>
      <c r="AQ56" s="436"/>
      <c r="AR56" s="436"/>
      <c r="AS56" s="436"/>
      <c r="AT56" s="436"/>
      <c r="AU56" s="436">
        <f>(((AU50*AU52*AU36*12/AU30)*AU40^2)/2)/(144*32.2)</f>
        <v>1.5346979428947514</v>
      </c>
      <c r="AV56" s="436"/>
      <c r="AW56" s="436"/>
      <c r="AX56" s="436"/>
      <c r="AY56" s="436"/>
      <c r="AZ56" s="436"/>
      <c r="BA56" s="436">
        <f>(((BA50*BA52*BA36*12/BA30)*BA40^2)/2)/(144*32.2)</f>
        <v>1.5728213839631489</v>
      </c>
      <c r="BB56" s="436"/>
      <c r="BC56" s="436"/>
      <c r="BD56" s="436"/>
      <c r="BE56" s="436"/>
      <c r="BF56" s="436"/>
      <c r="BG56" s="436">
        <f>(((BG50*BG52*BG36*12/BG30)*BG40^2)/2)/(144*32.2)</f>
        <v>1.5803217243730816</v>
      </c>
      <c r="BH56" s="436"/>
      <c r="BI56" s="436"/>
      <c r="BJ56" s="436"/>
      <c r="BK56" s="436"/>
      <c r="BL56" s="436"/>
      <c r="BM56" s="436">
        <f>(((BM50*BM52*BM36*12/BM30)*BM40^2)/2)/(144*32.2)</f>
        <v>0.22630301610270875</v>
      </c>
      <c r="BN56" s="436"/>
      <c r="BO56" s="436"/>
      <c r="BP56" s="436"/>
      <c r="BQ56" s="436"/>
      <c r="BR56" s="436"/>
      <c r="BS56" s="436">
        <f>(((BS50*BS52*BS36*12/BS30)*BS40^2)/2)/(144*32.2)</f>
        <v>0.12255142319945143</v>
      </c>
      <c r="BT56" s="436"/>
      <c r="BU56" s="436"/>
      <c r="BV56" s="436"/>
      <c r="BW56" s="436"/>
      <c r="BX56" s="436"/>
      <c r="BY56" s="436">
        <f>(((BY50*BY52*BY36*12/BY30)*BY40^2)/2)/(144*32.2)</f>
        <v>1.1637196930516256</v>
      </c>
      <c r="BZ56" s="436"/>
      <c r="CA56" s="436"/>
      <c r="CB56" s="436"/>
      <c r="CC56" s="436"/>
      <c r="CD56" s="436"/>
      <c r="CE56" s="436">
        <f>(((CE50*CE52*CE36*12/CE30)*CE40^2)/2)/(144*32.2)</f>
        <v>0.97511386392235277</v>
      </c>
      <c r="CF56" s="436"/>
      <c r="CG56" s="436"/>
      <c r="CH56" s="436"/>
      <c r="CI56" s="436"/>
      <c r="CJ56" s="436"/>
      <c r="CK56" s="436">
        <f>(((CK50*CK52*CK36*12/CK30)*CK40^2)/2)/(144*32.2)</f>
        <v>0.7798298110029086</v>
      </c>
      <c r="CL56" s="436"/>
      <c r="CM56" s="436"/>
      <c r="CN56" s="436"/>
      <c r="CO56" s="436"/>
      <c r="CP56" s="436"/>
      <c r="CQ56" s="436">
        <f>(((CQ50*CQ52*CQ36*12/CQ30)*CQ40^2)/2)/(144*32.2)</f>
        <v>0.5889345196968776</v>
      </c>
      <c r="CR56" s="436"/>
      <c r="CS56" s="436"/>
      <c r="CT56" s="436"/>
      <c r="CU56" s="436"/>
      <c r="CV56" s="436"/>
      <c r="CW56" s="436">
        <f>(((CW50*CW52*CW36*12/CW30)*CW40^2)/2)/(144*32.2)</f>
        <v>0.50697706768800921</v>
      </c>
      <c r="CX56" s="436"/>
      <c r="CY56" s="436"/>
      <c r="CZ56" s="436"/>
      <c r="DA56" s="436"/>
      <c r="DB56" s="436"/>
      <c r="DC56" s="436">
        <f>(((DC50*DC52*DC36*12/DC30)*DC40^2)/2)/(144*32.2)</f>
        <v>0.49628207099618415</v>
      </c>
      <c r="DD56" s="436"/>
      <c r="DE56" s="436"/>
      <c r="DF56" s="436"/>
      <c r="DG56" s="436"/>
      <c r="DH56" s="436"/>
      <c r="DI56" s="436">
        <f>(((DI50*DI52*DI36*12/DI30)*DI40^2)/2)/(144*32.2)</f>
        <v>0.49805640803943108</v>
      </c>
      <c r="DJ56" s="436"/>
      <c r="DK56" s="436"/>
      <c r="DL56" s="436"/>
      <c r="DM56" s="436"/>
      <c r="DN56" s="436"/>
      <c r="DO56" s="436">
        <f>(((DO50*DO52*DO36*12/DO30)*DO40^2)/2)/(144*32.2)</f>
        <v>1.0451990837607936E-3</v>
      </c>
      <c r="DP56" s="436"/>
      <c r="DQ56" s="436"/>
      <c r="DR56" s="436"/>
      <c r="DS56" s="436"/>
      <c r="DT56" s="436"/>
    </row>
    <row r="57" spans="2:124" x14ac:dyDescent="0.35">
      <c r="B57" s="15"/>
      <c r="C57" s="189" t="s">
        <v>511</v>
      </c>
      <c r="D57" s="188" t="s">
        <v>512</v>
      </c>
      <c r="E57" s="509">
        <f>E53*E36/144</f>
        <v>0</v>
      </c>
      <c r="F57" s="510"/>
      <c r="G57" s="510"/>
      <c r="H57" s="510"/>
      <c r="I57" s="510"/>
      <c r="J57" s="511"/>
      <c r="K57" s="436">
        <f>K53*K36/144</f>
        <v>2.5579036285547953E-2</v>
      </c>
      <c r="L57" s="436"/>
      <c r="M57" s="436"/>
      <c r="N57" s="436"/>
      <c r="O57" s="436"/>
      <c r="P57" s="436"/>
      <c r="Q57" s="436">
        <f>Q53*Q36/144</f>
        <v>2.5414435022449191E-2</v>
      </c>
      <c r="R57" s="436"/>
      <c r="S57" s="436"/>
      <c r="T57" s="436"/>
      <c r="U57" s="436"/>
      <c r="V57" s="436"/>
      <c r="W57" s="436">
        <f>W53*W36/144</f>
        <v>2.522645795306732E-2</v>
      </c>
      <c r="X57" s="436"/>
      <c r="Y57" s="436"/>
      <c r="Z57" s="436"/>
      <c r="AA57" s="436"/>
      <c r="AB57" s="436"/>
      <c r="AC57" s="436">
        <f>AC53*AC36/144</f>
        <v>5.500508893814185E-2</v>
      </c>
      <c r="AD57" s="436"/>
      <c r="AE57" s="436"/>
      <c r="AF57" s="436"/>
      <c r="AG57" s="436"/>
      <c r="AH57" s="436"/>
      <c r="AI57" s="436">
        <f>AI53*AI36/144</f>
        <v>6.7597145626464031E-2</v>
      </c>
      <c r="AJ57" s="436"/>
      <c r="AK57" s="436"/>
      <c r="AL57" s="436"/>
      <c r="AM57" s="436"/>
      <c r="AN57" s="436"/>
      <c r="AO57" s="436">
        <f>AO53*AO36/144</f>
        <v>6.8358278654861063E-2</v>
      </c>
      <c r="AP57" s="436"/>
      <c r="AQ57" s="436"/>
      <c r="AR57" s="436"/>
      <c r="AS57" s="436"/>
      <c r="AT57" s="436"/>
      <c r="AU57" s="436">
        <f>AU53*AU36/144</f>
        <v>7.6485579797216874E-2</v>
      </c>
      <c r="AV57" s="436"/>
      <c r="AW57" s="436"/>
      <c r="AX57" s="436"/>
      <c r="AY57" s="436"/>
      <c r="AZ57" s="436"/>
      <c r="BA57" s="436">
        <f>BA53*BA36/144</f>
        <v>7.4631654409558434E-2</v>
      </c>
      <c r="BB57" s="436"/>
      <c r="BC57" s="436"/>
      <c r="BD57" s="436"/>
      <c r="BE57" s="436"/>
      <c r="BF57" s="436"/>
      <c r="BG57" s="436">
        <f>BG53*BG36/144</f>
        <v>0</v>
      </c>
      <c r="BH57" s="436"/>
      <c r="BI57" s="436"/>
      <c r="BJ57" s="436"/>
      <c r="BK57" s="436"/>
      <c r="BL57" s="436"/>
      <c r="BM57" s="436">
        <f>BM53*BM36/144</f>
        <v>0</v>
      </c>
      <c r="BN57" s="436"/>
      <c r="BO57" s="436"/>
      <c r="BP57" s="436"/>
      <c r="BQ57" s="436"/>
      <c r="BR57" s="436"/>
      <c r="BS57" s="436">
        <f>BS53*BS36/144</f>
        <v>6.0282660934542669E-3</v>
      </c>
      <c r="BT57" s="436"/>
      <c r="BU57" s="436"/>
      <c r="BV57" s="436"/>
      <c r="BW57" s="436"/>
      <c r="BX57" s="436"/>
      <c r="BY57" s="436">
        <f>BY53*BY36/144</f>
        <v>2.1167963794844782E-2</v>
      </c>
      <c r="BZ57" s="436"/>
      <c r="CA57" s="436"/>
      <c r="CB57" s="436"/>
      <c r="CC57" s="436"/>
      <c r="CD57" s="436"/>
      <c r="CE57" s="436">
        <f>CE53*CE36/144</f>
        <v>2.5262256277207677E-2</v>
      </c>
      <c r="CF57" s="436"/>
      <c r="CG57" s="436"/>
      <c r="CH57" s="436"/>
      <c r="CI57" s="436"/>
      <c r="CJ57" s="436"/>
      <c r="CK57" s="436">
        <f>CK53*CK36/144</f>
        <v>3.391595777432127E-2</v>
      </c>
      <c r="CL57" s="436"/>
      <c r="CM57" s="436"/>
      <c r="CN57" s="436"/>
      <c r="CO57" s="436"/>
      <c r="CP57" s="436"/>
      <c r="CQ57" s="436">
        <f>CQ53*CQ36/144</f>
        <v>4.4909364380176973E-2</v>
      </c>
      <c r="CR57" s="436"/>
      <c r="CS57" s="436"/>
      <c r="CT57" s="436"/>
      <c r="CU57" s="436"/>
      <c r="CV57" s="436"/>
      <c r="CW57" s="436">
        <f>CW53*CW36/144</f>
        <v>5.2169371411110776E-2</v>
      </c>
      <c r="CX57" s="436"/>
      <c r="CY57" s="436"/>
      <c r="CZ57" s="436"/>
      <c r="DA57" s="436"/>
      <c r="DB57" s="436"/>
      <c r="DC57" s="436">
        <f>DC53*DC36/144</f>
        <v>5.3293633775730237E-2</v>
      </c>
      <c r="DD57" s="436"/>
      <c r="DE57" s="436"/>
      <c r="DF57" s="436"/>
      <c r="DG57" s="436"/>
      <c r="DH57" s="436"/>
      <c r="DI57" s="436">
        <f>DI53*DI36/144</f>
        <v>5.3103774018780726E-2</v>
      </c>
      <c r="DJ57" s="436"/>
      <c r="DK57" s="436"/>
      <c r="DL57" s="436"/>
      <c r="DM57" s="436"/>
      <c r="DN57" s="436"/>
      <c r="DO57" s="436">
        <f>DO53*DO36/144</f>
        <v>8.6666666666666661</v>
      </c>
      <c r="DP57" s="436"/>
      <c r="DQ57" s="436"/>
      <c r="DR57" s="436"/>
      <c r="DS57" s="436"/>
      <c r="DT57" s="436"/>
    </row>
    <row r="58" spans="2:124" x14ac:dyDescent="0.35">
      <c r="B58" s="15"/>
      <c r="C58" s="189" t="s">
        <v>510</v>
      </c>
      <c r="D58" s="188" t="s">
        <v>512</v>
      </c>
      <c r="E58" s="512">
        <f>((E54*E40^2/(2*32.174))*E36/144)</f>
        <v>0.21712356836319496</v>
      </c>
      <c r="F58" s="513"/>
      <c r="G58" s="513"/>
      <c r="H58" s="513"/>
      <c r="I58" s="513"/>
      <c r="J58" s="514"/>
      <c r="K58" s="438">
        <f>((K54*K40^2/(2*32.174))*K36/144)</f>
        <v>0.21285958966379703</v>
      </c>
      <c r="L58" s="438"/>
      <c r="M58" s="438"/>
      <c r="N58" s="438"/>
      <c r="O58" s="438"/>
      <c r="P58" s="438"/>
      <c r="Q58" s="438">
        <f>((Q54*Q40^2/(2*32.174))*Q36/144)</f>
        <v>0.21423821394918433</v>
      </c>
      <c r="R58" s="438"/>
      <c r="S58" s="438"/>
      <c r="T58" s="438"/>
      <c r="U58" s="438"/>
      <c r="V58" s="438"/>
      <c r="W58" s="438">
        <f>((W54*W40^2/(2*32.174))*W36/144)</f>
        <v>0.72576999753135574</v>
      </c>
      <c r="X58" s="438"/>
      <c r="Y58" s="438"/>
      <c r="Z58" s="438"/>
      <c r="AA58" s="438"/>
      <c r="AB58" s="438"/>
      <c r="AC58" s="438">
        <f>((AC54*AC40^2/(2*32.174))*AC36/144)</f>
        <v>1.8694074834946843</v>
      </c>
      <c r="AD58" s="438"/>
      <c r="AE58" s="438"/>
      <c r="AF58" s="438"/>
      <c r="AG58" s="438"/>
      <c r="AH58" s="438"/>
      <c r="AI58" s="438">
        <f>((AI54*AI40^2/(2*32.174))*AI36/144)</f>
        <v>1.5211725870714388</v>
      </c>
      <c r="AJ58" s="438"/>
      <c r="AK58" s="438"/>
      <c r="AL58" s="438"/>
      <c r="AM58" s="438"/>
      <c r="AN58" s="438"/>
      <c r="AO58" s="438">
        <f>((AO54*AO40^2/(2*32.174))*AO36/144)</f>
        <v>1.504235140419834</v>
      </c>
      <c r="AP58" s="438"/>
      <c r="AQ58" s="438"/>
      <c r="AR58" s="438"/>
      <c r="AS58" s="438"/>
      <c r="AT58" s="438"/>
      <c r="AU58" s="438">
        <f>((AU54*AU40^2/(2*32.174))*AU36/144)</f>
        <v>1.3436202553592891</v>
      </c>
      <c r="AV58" s="438"/>
      <c r="AW58" s="438"/>
      <c r="AX58" s="438"/>
      <c r="AY58" s="438"/>
      <c r="AZ58" s="438"/>
      <c r="BA58" s="438">
        <f>((BA54*BA40^2/(2*32.174))*BA36/144)</f>
        <v>1.3769971344126857</v>
      </c>
      <c r="BB58" s="438"/>
      <c r="BC58" s="438"/>
      <c r="BD58" s="438"/>
      <c r="BE58" s="438"/>
      <c r="BF58" s="438"/>
      <c r="BG58" s="438">
        <f>((BG54*BG40^2/(2*32.174))*BG36/144)</f>
        <v>1.3835636443526593</v>
      </c>
      <c r="BH58" s="438"/>
      <c r="BI58" s="438"/>
      <c r="BJ58" s="438"/>
      <c r="BK58" s="438"/>
      <c r="BL58" s="438"/>
      <c r="BM58" s="438">
        <f>((BM54*BM40^2/(2*32.174))*BM36/144)</f>
        <v>7.943297741149119E-2</v>
      </c>
      <c r="BN58" s="438"/>
      <c r="BO58" s="438"/>
      <c r="BP58" s="438"/>
      <c r="BQ58" s="438"/>
      <c r="BR58" s="438"/>
      <c r="BS58" s="438">
        <f>((BS54*BS40^2/(2*32.174))*BS36/144)</f>
        <v>0.19759581080287264</v>
      </c>
      <c r="BT58" s="438"/>
      <c r="BU58" s="438"/>
      <c r="BV58" s="438"/>
      <c r="BW58" s="438"/>
      <c r="BX58" s="438"/>
      <c r="BY58" s="438">
        <f>((BY54*BY40^2/(2*32.174))*BY36/144)</f>
        <v>1.0052150950459273</v>
      </c>
      <c r="BZ58" s="438"/>
      <c r="CA58" s="438"/>
      <c r="CB58" s="438"/>
      <c r="CC58" s="438"/>
      <c r="CD58" s="438"/>
      <c r="CE58" s="438">
        <f>((CE54*CE40^2/(2*32.174))*CE36/144)</f>
        <v>0.84229834835305606</v>
      </c>
      <c r="CF58" s="438"/>
      <c r="CG58" s="438"/>
      <c r="CH58" s="438"/>
      <c r="CI58" s="438"/>
      <c r="CJ58" s="438"/>
      <c r="CK58" s="438">
        <f>((CK54*CK40^2/(2*32.174))*CK36/144)</f>
        <v>0.47810744670925082</v>
      </c>
      <c r="CL58" s="438"/>
      <c r="CM58" s="438"/>
      <c r="CN58" s="438"/>
      <c r="CO58" s="438"/>
      <c r="CP58" s="438"/>
      <c r="CQ58" s="438">
        <f>((CQ54*CQ40^2/(2*32.174))*CQ36/144)</f>
        <v>0.36107106386339843</v>
      </c>
      <c r="CR58" s="438"/>
      <c r="CS58" s="438"/>
      <c r="CT58" s="438"/>
      <c r="CU58" s="438"/>
      <c r="CV58" s="438"/>
      <c r="CW58" s="438">
        <f>((CW54*CW40^2/(2*32.174))*CW36/144)</f>
        <v>0</v>
      </c>
      <c r="CX58" s="438"/>
      <c r="CY58" s="438"/>
      <c r="CZ58" s="438"/>
      <c r="DA58" s="438"/>
      <c r="DB58" s="438"/>
      <c r="DC58" s="438">
        <f>((DC54*DC40^2/(2*32.174))*DC36/144)</f>
        <v>0.3042665854315228</v>
      </c>
      <c r="DD58" s="438"/>
      <c r="DE58" s="438"/>
      <c r="DF58" s="438"/>
      <c r="DG58" s="438"/>
      <c r="DH58" s="438"/>
      <c r="DI58" s="438">
        <f>((DI54*DI40^2/(2*32.174))*DI36/144)</f>
        <v>0.30535441734225388</v>
      </c>
      <c r="DJ58" s="438"/>
      <c r="DK58" s="438"/>
      <c r="DL58" s="438"/>
      <c r="DM58" s="438"/>
      <c r="DN58" s="438"/>
      <c r="DO58" s="438">
        <f>((DO54*DO40^2/(2*32.174))*DO36/144)</f>
        <v>8.8057043046705551E-6</v>
      </c>
      <c r="DP58" s="438"/>
      <c r="DQ58" s="438"/>
      <c r="DR58" s="438"/>
      <c r="DS58" s="438"/>
      <c r="DT58" s="438"/>
    </row>
    <row r="59" spans="2:124" x14ac:dyDescent="0.35">
      <c r="B59" s="15"/>
      <c r="C59" s="189" t="s">
        <v>513</v>
      </c>
      <c r="D59" s="188"/>
      <c r="E59" s="509">
        <f>SUM(E56+E57+E58)</f>
        <v>0.29834968994767042</v>
      </c>
      <c r="F59" s="510"/>
      <c r="G59" s="510"/>
      <c r="H59" s="510"/>
      <c r="I59" s="510"/>
      <c r="J59" s="511"/>
      <c r="K59" s="436">
        <f>SUM(K56+K57+K58)</f>
        <v>0.40505544371161473</v>
      </c>
      <c r="L59" s="437"/>
      <c r="M59" s="437"/>
      <c r="N59" s="437"/>
      <c r="O59" s="437"/>
      <c r="P59" s="437"/>
      <c r="Q59" s="436">
        <f>SUM(Q56+Q57+Q58)</f>
        <v>0.40734859120127553</v>
      </c>
      <c r="R59" s="437"/>
      <c r="S59" s="437"/>
      <c r="T59" s="437"/>
      <c r="U59" s="437"/>
      <c r="V59" s="437"/>
      <c r="W59" s="436">
        <f>SUM(W56+W57+W58)</f>
        <v>1.3081442298720636</v>
      </c>
      <c r="X59" s="437"/>
      <c r="Y59" s="437"/>
      <c r="Z59" s="437"/>
      <c r="AA59" s="437"/>
      <c r="AB59" s="437"/>
      <c r="AC59" s="436">
        <f>SUM(AC56+AC57+AC58)</f>
        <v>4.0596633366461186</v>
      </c>
      <c r="AD59" s="437"/>
      <c r="AE59" s="437"/>
      <c r="AF59" s="437"/>
      <c r="AG59" s="437"/>
      <c r="AH59" s="437"/>
      <c r="AI59" s="436">
        <f>SUM(AI56+AI57+AI58)</f>
        <v>3.3262640766130165</v>
      </c>
      <c r="AJ59" s="437"/>
      <c r="AK59" s="437"/>
      <c r="AL59" s="437"/>
      <c r="AM59" s="437"/>
      <c r="AN59" s="437"/>
      <c r="AO59" s="436">
        <f>SUM(AO56+AO57+AO58)</f>
        <v>3.290741688778609</v>
      </c>
      <c r="AP59" s="437"/>
      <c r="AQ59" s="437"/>
      <c r="AR59" s="437"/>
      <c r="AS59" s="437"/>
      <c r="AT59" s="437"/>
      <c r="AU59" s="436">
        <f>SUM(AU56+AU57+AU58)</f>
        <v>2.9548037780512573</v>
      </c>
      <c r="AV59" s="437"/>
      <c r="AW59" s="437"/>
      <c r="AX59" s="437"/>
      <c r="AY59" s="437"/>
      <c r="AZ59" s="437"/>
      <c r="BA59" s="436">
        <f>SUM(BA56+BA57+BA58)</f>
        <v>3.024450172785393</v>
      </c>
      <c r="BB59" s="437"/>
      <c r="BC59" s="437"/>
      <c r="BD59" s="437"/>
      <c r="BE59" s="437"/>
      <c r="BF59" s="437"/>
      <c r="BG59" s="436">
        <f>SUM(BG56+BG57+BG58)</f>
        <v>2.9638853687257409</v>
      </c>
      <c r="BH59" s="437"/>
      <c r="BI59" s="437"/>
      <c r="BJ59" s="437"/>
      <c r="BK59" s="437"/>
      <c r="BL59" s="437"/>
      <c r="BM59" s="436">
        <f>SUM(BM56+BM57+BM58)</f>
        <v>0.30573599351419994</v>
      </c>
      <c r="BN59" s="437"/>
      <c r="BO59" s="437"/>
      <c r="BP59" s="437"/>
      <c r="BQ59" s="437"/>
      <c r="BR59" s="437"/>
      <c r="BS59" s="436">
        <f>SUM(BS56+BS57+BS58)</f>
        <v>0.32617550009577834</v>
      </c>
      <c r="BT59" s="437"/>
      <c r="BU59" s="437"/>
      <c r="BV59" s="437"/>
      <c r="BW59" s="437"/>
      <c r="BX59" s="437"/>
      <c r="BY59" s="436">
        <f>SUM(BY56+BY57+BY58)</f>
        <v>2.1901027518923977</v>
      </c>
      <c r="BZ59" s="437"/>
      <c r="CA59" s="437"/>
      <c r="CB59" s="437"/>
      <c r="CC59" s="437"/>
      <c r="CD59" s="437"/>
      <c r="CE59" s="436">
        <f>SUM(CE56+CE57+CE58)</f>
        <v>1.8426744685526164</v>
      </c>
      <c r="CF59" s="437"/>
      <c r="CG59" s="437"/>
      <c r="CH59" s="437"/>
      <c r="CI59" s="437"/>
      <c r="CJ59" s="437"/>
      <c r="CK59" s="436">
        <f>SUM(CK56+CK57+CK58)</f>
        <v>1.2918532154864806</v>
      </c>
      <c r="CL59" s="437"/>
      <c r="CM59" s="437"/>
      <c r="CN59" s="437"/>
      <c r="CO59" s="437"/>
      <c r="CP59" s="437"/>
      <c r="CQ59" s="436">
        <f>SUM(CQ56+CQ57+CQ58)</f>
        <v>0.9949149479404531</v>
      </c>
      <c r="CR59" s="437"/>
      <c r="CS59" s="437"/>
      <c r="CT59" s="437"/>
      <c r="CU59" s="437"/>
      <c r="CV59" s="437"/>
      <c r="CW59" s="436">
        <f>SUM(CW56+CW57+CW58)</f>
        <v>0.55914643909911999</v>
      </c>
      <c r="CX59" s="437"/>
      <c r="CY59" s="437"/>
      <c r="CZ59" s="437"/>
      <c r="DA59" s="437"/>
      <c r="DB59" s="437"/>
      <c r="DC59" s="436">
        <f>SUM(DC56+DC57+DC58)</f>
        <v>0.85384229020343727</v>
      </c>
      <c r="DD59" s="437"/>
      <c r="DE59" s="437"/>
      <c r="DF59" s="437"/>
      <c r="DG59" s="437"/>
      <c r="DH59" s="437"/>
      <c r="DI59" s="436">
        <f>SUM(DI56+DI57+DI58)</f>
        <v>0.8565145994004657</v>
      </c>
      <c r="DJ59" s="437"/>
      <c r="DK59" s="437"/>
      <c r="DL59" s="437"/>
      <c r="DM59" s="437"/>
      <c r="DN59" s="437"/>
      <c r="DO59" s="436">
        <f>SUM(DO56+DO57+DO58)</f>
        <v>8.667720671454731</v>
      </c>
      <c r="DP59" s="437"/>
      <c r="DQ59" s="437"/>
      <c r="DR59" s="437"/>
      <c r="DS59" s="437"/>
      <c r="DT59" s="437"/>
    </row>
    <row r="60" spans="2:124" x14ac:dyDescent="0.35">
      <c r="B60" s="15"/>
      <c r="C60" s="178" t="s">
        <v>42</v>
      </c>
      <c r="D60" s="190" t="s">
        <v>62</v>
      </c>
      <c r="E60" s="500">
        <f>((((E50*(100/(E30/12)))*E36)*(E40^2))/2)/(144*32.2)</f>
        <v>0.16245224316895085</v>
      </c>
      <c r="F60" s="501"/>
      <c r="G60" s="501"/>
      <c r="H60" s="501"/>
      <c r="I60" s="501"/>
      <c r="J60" s="502"/>
      <c r="K60" s="439">
        <f>((((K50*(100/(K30/12)))*K36)*(K40^2))/2)/(144*32.2)</f>
        <v>0.16661681776226972</v>
      </c>
      <c r="L60" s="439"/>
      <c r="M60" s="439"/>
      <c r="N60" s="439"/>
      <c r="O60" s="439"/>
      <c r="P60" s="439"/>
      <c r="Q60" s="439">
        <f>((((Q50*(100/(Q30/12)))*Q36)*(Q40^2))/2)/(144*32.2)</f>
        <v>0.1676959422296419</v>
      </c>
      <c r="R60" s="439"/>
      <c r="S60" s="439"/>
      <c r="T60" s="439"/>
      <c r="U60" s="439"/>
      <c r="V60" s="439"/>
      <c r="W60" s="439">
        <f>((((W50*(100/(W30/12)))*W36)*(W40^2))/2)/(144*32.2)</f>
        <v>0.55714777438764029</v>
      </c>
      <c r="X60" s="439"/>
      <c r="Y60" s="439"/>
      <c r="Z60" s="439"/>
      <c r="AA60" s="439"/>
      <c r="AB60" s="439"/>
      <c r="AC60" s="439">
        <f>((((AC50*(100/(AC30/12)))*AC36)*(AC40^2))/2)/(144*32.2)</f>
        <v>2.1352507642132927</v>
      </c>
      <c r="AD60" s="439"/>
      <c r="AE60" s="439"/>
      <c r="AF60" s="439"/>
      <c r="AG60" s="439"/>
      <c r="AH60" s="439"/>
      <c r="AI60" s="439">
        <f>((((AI50*(100/(AI30/12)))*AI36)*(AI40^2))/2)/(144*32.2)</f>
        <v>1.7374943439151136</v>
      </c>
      <c r="AJ60" s="439"/>
      <c r="AK60" s="439"/>
      <c r="AL60" s="439"/>
      <c r="AM60" s="439"/>
      <c r="AN60" s="439"/>
      <c r="AO60" s="439">
        <f>((((AO50*(100/(AO30/12)))*AO36)*(AO40^2))/2)/(144*32.2)</f>
        <v>1.7181482697039139</v>
      </c>
      <c r="AP60" s="439"/>
      <c r="AQ60" s="439"/>
      <c r="AR60" s="439"/>
      <c r="AS60" s="439"/>
      <c r="AT60" s="439"/>
      <c r="AU60" s="439">
        <f>((((AU50*(100/(AU30/12)))*AU36)*(AU40^2))/2)/(144*32.2)</f>
        <v>1.5346979428947516</v>
      </c>
      <c r="AV60" s="439"/>
      <c r="AW60" s="439"/>
      <c r="AX60" s="439"/>
      <c r="AY60" s="439"/>
      <c r="AZ60" s="439"/>
      <c r="BA60" s="439">
        <f>((((BA50*(100/(BA30/12)))*BA36)*(BA40^2))/2)/(144*32.2)</f>
        <v>1.5728213839631489</v>
      </c>
      <c r="BB60" s="439"/>
      <c r="BC60" s="439"/>
      <c r="BD60" s="439"/>
      <c r="BE60" s="439"/>
      <c r="BF60" s="439"/>
      <c r="BG60" s="439">
        <f>((((BG50*(100/(BG30/12)))*BG36)*(BG40^2))/2)/(144*32.2)</f>
        <v>1.5803217243730816</v>
      </c>
      <c r="BH60" s="439"/>
      <c r="BI60" s="439"/>
      <c r="BJ60" s="439"/>
      <c r="BK60" s="439"/>
      <c r="BL60" s="439"/>
      <c r="BM60" s="439">
        <f>((((BM50*(100/(BM30/12)))*BM36)*(BM40^2))/2)/(144*32.2)</f>
        <v>5.0289559133935277E-2</v>
      </c>
      <c r="BN60" s="439"/>
      <c r="BO60" s="439"/>
      <c r="BP60" s="439"/>
      <c r="BQ60" s="439"/>
      <c r="BR60" s="439"/>
      <c r="BS60" s="439">
        <f>((((BS50*(100/(BS30/12)))*BS36)*(BS40^2))/2)/(144*32.2)</f>
        <v>0.12255142319945141</v>
      </c>
      <c r="BT60" s="439"/>
      <c r="BU60" s="439"/>
      <c r="BV60" s="439"/>
      <c r="BW60" s="439"/>
      <c r="BX60" s="439"/>
      <c r="BY60" s="439">
        <f>((((BY50*(100/(BY30/12)))*BY36)*(BY40^2))/2)/(144*32.2)</f>
        <v>1.1637196930516254</v>
      </c>
      <c r="BZ60" s="439"/>
      <c r="CA60" s="439"/>
      <c r="CB60" s="439"/>
      <c r="CC60" s="439"/>
      <c r="CD60" s="439"/>
      <c r="CE60" s="439">
        <f>((((CE50*(100/(CE30/12)))*CE36)*(CE40^2))/2)/(144*32.2)</f>
        <v>0.97511386392235277</v>
      </c>
      <c r="CF60" s="439"/>
      <c r="CG60" s="439"/>
      <c r="CH60" s="439"/>
      <c r="CI60" s="439"/>
      <c r="CJ60" s="439"/>
      <c r="CK60" s="439">
        <f>((((CK50*(100/(CK30/12)))*CK36)*(CK40^2))/2)/(144*32.2)</f>
        <v>0.77982981100290871</v>
      </c>
      <c r="CL60" s="439"/>
      <c r="CM60" s="439"/>
      <c r="CN60" s="439"/>
      <c r="CO60" s="439"/>
      <c r="CP60" s="439"/>
      <c r="CQ60" s="439">
        <f>((((CQ50*(100/(CQ30/12)))*CQ36)*(CQ40^2))/2)/(144*32.2)</f>
        <v>0.5889345196968776</v>
      </c>
      <c r="CR60" s="439"/>
      <c r="CS60" s="439"/>
      <c r="CT60" s="439"/>
      <c r="CU60" s="439"/>
      <c r="CV60" s="439"/>
      <c r="CW60" s="439">
        <f>((((CW50*(100/(CW30/12)))*CW36)*(CW40^2))/2)/(144*32.2)</f>
        <v>0.50697706768800932</v>
      </c>
      <c r="CX60" s="439"/>
      <c r="CY60" s="439"/>
      <c r="CZ60" s="439"/>
      <c r="DA60" s="439"/>
      <c r="DB60" s="439"/>
      <c r="DC60" s="439">
        <f>((((DC50*(100/(DC30/12)))*DC36)*(DC40^2))/2)/(144*32.2)</f>
        <v>0.49628207099618415</v>
      </c>
      <c r="DD60" s="439"/>
      <c r="DE60" s="439"/>
      <c r="DF60" s="439"/>
      <c r="DG60" s="439"/>
      <c r="DH60" s="439"/>
      <c r="DI60" s="439">
        <f>((((DI50*(100/(DI30/12)))*DI36)*(DI40^2))/2)/(144*32.2)</f>
        <v>0.49805640803943096</v>
      </c>
      <c r="DJ60" s="439"/>
      <c r="DK60" s="439"/>
      <c r="DL60" s="439"/>
      <c r="DM60" s="439"/>
      <c r="DN60" s="439"/>
      <c r="DO60" s="439">
        <f>((((DO50*(100/(DO30/12)))*DO36)*(DO40^2))/2)/(144*32.2)</f>
        <v>1.4931415482297053E-4</v>
      </c>
      <c r="DP60" s="439"/>
      <c r="DQ60" s="439"/>
      <c r="DR60" s="439"/>
      <c r="DS60" s="439"/>
      <c r="DT60" s="439"/>
    </row>
    <row r="61" spans="2:124" x14ac:dyDescent="0.35">
      <c r="B61" s="15"/>
      <c r="C61" s="191" t="s">
        <v>110</v>
      </c>
      <c r="D61" s="14"/>
      <c r="E61" s="333"/>
      <c r="F61" s="333"/>
      <c r="G61" s="337"/>
      <c r="H61" s="339"/>
      <c r="I61" s="337"/>
      <c r="J61" s="337"/>
      <c r="K61" s="14"/>
      <c r="L61" s="14"/>
      <c r="M61" s="73"/>
      <c r="N61" s="185"/>
      <c r="O61" s="73"/>
      <c r="P61" s="73"/>
      <c r="Q61" s="14"/>
      <c r="R61" s="14"/>
      <c r="S61" s="73"/>
      <c r="T61" s="185"/>
      <c r="U61" s="73"/>
      <c r="V61" s="73"/>
      <c r="W61" s="14"/>
      <c r="X61" s="14"/>
      <c r="Y61" s="73"/>
      <c r="Z61" s="185"/>
      <c r="AA61" s="73"/>
      <c r="AB61" s="73"/>
      <c r="AC61" s="14"/>
      <c r="AD61" s="14"/>
      <c r="AE61" s="73"/>
      <c r="AF61" s="185"/>
      <c r="AG61" s="73"/>
      <c r="AH61" s="73"/>
      <c r="AI61" s="14"/>
      <c r="AJ61" s="14"/>
      <c r="AK61" s="73"/>
      <c r="AL61" s="185"/>
      <c r="AM61" s="73"/>
      <c r="AN61" s="73"/>
      <c r="AO61" s="14"/>
      <c r="AP61" s="14"/>
      <c r="AQ61" s="73"/>
      <c r="AR61" s="185"/>
      <c r="AS61" s="73"/>
      <c r="AT61" s="73"/>
      <c r="AU61" s="14"/>
      <c r="AV61" s="14"/>
      <c r="AW61" s="73"/>
      <c r="AX61" s="185"/>
      <c r="AY61" s="73"/>
      <c r="AZ61" s="73"/>
      <c r="BA61" s="14"/>
      <c r="BB61" s="14"/>
      <c r="BC61" s="73"/>
      <c r="BD61" s="185"/>
      <c r="BE61" s="73"/>
      <c r="BF61" s="73"/>
      <c r="BG61" s="14"/>
      <c r="BH61" s="14"/>
      <c r="BI61" s="73"/>
      <c r="BJ61" s="185"/>
      <c r="BK61" s="73"/>
      <c r="BL61" s="73"/>
      <c r="BM61" s="14"/>
      <c r="BN61" s="14"/>
      <c r="BO61" s="73"/>
      <c r="BP61" s="185"/>
      <c r="BQ61" s="73"/>
      <c r="BR61" s="73"/>
      <c r="BS61" s="14"/>
      <c r="BT61" s="14"/>
      <c r="BU61" s="73"/>
      <c r="BV61" s="185"/>
      <c r="BW61" s="73"/>
      <c r="BX61" s="73"/>
      <c r="BY61" s="14"/>
      <c r="BZ61" s="14"/>
      <c r="CA61" s="73"/>
      <c r="CB61" s="185"/>
      <c r="CC61" s="73"/>
      <c r="CD61" s="73"/>
      <c r="CE61" s="14"/>
      <c r="CF61" s="14"/>
      <c r="CG61" s="73"/>
      <c r="CH61" s="185"/>
      <c r="CI61" s="73"/>
      <c r="CJ61" s="73"/>
      <c r="CK61" s="14"/>
      <c r="CL61" s="14"/>
      <c r="CM61" s="73"/>
      <c r="CN61" s="185"/>
      <c r="CO61" s="73"/>
      <c r="CP61" s="73"/>
      <c r="CQ61" s="14"/>
      <c r="CR61" s="14"/>
      <c r="CS61" s="73"/>
      <c r="CT61" s="185"/>
      <c r="CU61" s="73"/>
      <c r="CV61" s="73"/>
      <c r="CW61" s="14"/>
      <c r="CX61" s="14"/>
      <c r="CY61" s="73"/>
      <c r="CZ61" s="185"/>
      <c r="DA61" s="73"/>
      <c r="DB61" s="73"/>
      <c r="DC61" s="14"/>
      <c r="DD61" s="14"/>
      <c r="DE61" s="73"/>
      <c r="DF61" s="185"/>
      <c r="DG61" s="73"/>
      <c r="DH61" s="73"/>
      <c r="DI61" s="14"/>
      <c r="DJ61" s="14"/>
      <c r="DK61" s="73"/>
      <c r="DL61" s="185"/>
      <c r="DM61" s="73"/>
      <c r="DN61" s="73"/>
      <c r="DO61" s="421"/>
      <c r="DP61" s="421"/>
      <c r="DQ61" s="426"/>
      <c r="DR61" s="428"/>
      <c r="DS61" s="426"/>
      <c r="DT61" s="426"/>
    </row>
    <row r="62" spans="2:124" x14ac:dyDescent="0.35">
      <c r="B62" s="15"/>
      <c r="C62" s="178" t="s">
        <v>115</v>
      </c>
      <c r="D62" s="14"/>
      <c r="E62" s="467" t="s">
        <v>100</v>
      </c>
      <c r="F62" s="468"/>
      <c r="G62" s="468"/>
      <c r="H62" s="468"/>
      <c r="I62" s="468"/>
      <c r="J62" s="469"/>
      <c r="K62" s="440" t="s">
        <v>100</v>
      </c>
      <c r="L62" s="440"/>
      <c r="M62" s="440"/>
      <c r="N62" s="440"/>
      <c r="O62" s="440"/>
      <c r="P62" s="440"/>
      <c r="Q62" s="440" t="s">
        <v>100</v>
      </c>
      <c r="R62" s="440"/>
      <c r="S62" s="440"/>
      <c r="T62" s="440"/>
      <c r="U62" s="440"/>
      <c r="V62" s="440"/>
      <c r="W62" s="440" t="s">
        <v>100</v>
      </c>
      <c r="X62" s="440"/>
      <c r="Y62" s="440"/>
      <c r="Z62" s="440"/>
      <c r="AA62" s="440"/>
      <c r="AB62" s="440"/>
      <c r="AC62" s="440" t="s">
        <v>100</v>
      </c>
      <c r="AD62" s="440"/>
      <c r="AE62" s="440"/>
      <c r="AF62" s="440"/>
      <c r="AG62" s="440"/>
      <c r="AH62" s="440"/>
      <c r="AI62" s="440" t="s">
        <v>100</v>
      </c>
      <c r="AJ62" s="440"/>
      <c r="AK62" s="440"/>
      <c r="AL62" s="440"/>
      <c r="AM62" s="440"/>
      <c r="AN62" s="440"/>
      <c r="AO62" s="440" t="s">
        <v>100</v>
      </c>
      <c r="AP62" s="440"/>
      <c r="AQ62" s="440"/>
      <c r="AR62" s="440"/>
      <c r="AS62" s="440"/>
      <c r="AT62" s="440"/>
      <c r="AU62" s="440" t="s">
        <v>100</v>
      </c>
      <c r="AV62" s="440"/>
      <c r="AW62" s="440"/>
      <c r="AX62" s="440"/>
      <c r="AY62" s="440"/>
      <c r="AZ62" s="440"/>
      <c r="BA62" s="440" t="s">
        <v>100</v>
      </c>
      <c r="BB62" s="440"/>
      <c r="BC62" s="440"/>
      <c r="BD62" s="440"/>
      <c r="BE62" s="440"/>
      <c r="BF62" s="440"/>
      <c r="BG62" s="440" t="s">
        <v>100</v>
      </c>
      <c r="BH62" s="440"/>
      <c r="BI62" s="440"/>
      <c r="BJ62" s="440"/>
      <c r="BK62" s="440"/>
      <c r="BL62" s="440"/>
      <c r="BM62" s="440" t="s">
        <v>100</v>
      </c>
      <c r="BN62" s="440"/>
      <c r="BO62" s="440"/>
      <c r="BP62" s="440"/>
      <c r="BQ62" s="440"/>
      <c r="BR62" s="440"/>
      <c r="BS62" s="440" t="s">
        <v>100</v>
      </c>
      <c r="BT62" s="440"/>
      <c r="BU62" s="440"/>
      <c r="BV62" s="440"/>
      <c r="BW62" s="440"/>
      <c r="BX62" s="440"/>
      <c r="BY62" s="440" t="s">
        <v>100</v>
      </c>
      <c r="BZ62" s="440"/>
      <c r="CA62" s="440"/>
      <c r="CB62" s="440"/>
      <c r="CC62" s="440"/>
      <c r="CD62" s="440"/>
      <c r="CE62" s="440" t="s">
        <v>100</v>
      </c>
      <c r="CF62" s="440"/>
      <c r="CG62" s="440"/>
      <c r="CH62" s="440"/>
      <c r="CI62" s="440"/>
      <c r="CJ62" s="440"/>
      <c r="CK62" s="440" t="s">
        <v>100</v>
      </c>
      <c r="CL62" s="440"/>
      <c r="CM62" s="440"/>
      <c r="CN62" s="440"/>
      <c r="CO62" s="440"/>
      <c r="CP62" s="440"/>
      <c r="CQ62" s="440" t="s">
        <v>100</v>
      </c>
      <c r="CR62" s="440"/>
      <c r="CS62" s="440"/>
      <c r="CT62" s="440"/>
      <c r="CU62" s="440"/>
      <c r="CV62" s="440"/>
      <c r="CW62" s="440" t="s">
        <v>100</v>
      </c>
      <c r="CX62" s="440"/>
      <c r="CY62" s="440"/>
      <c r="CZ62" s="440"/>
      <c r="DA62" s="440"/>
      <c r="DB62" s="440"/>
      <c r="DC62" s="440" t="s">
        <v>100</v>
      </c>
      <c r="DD62" s="440"/>
      <c r="DE62" s="440"/>
      <c r="DF62" s="440"/>
      <c r="DG62" s="440"/>
      <c r="DH62" s="440"/>
      <c r="DI62" s="440" t="s">
        <v>100</v>
      </c>
      <c r="DJ62" s="440"/>
      <c r="DK62" s="440"/>
      <c r="DL62" s="440"/>
      <c r="DM62" s="440"/>
      <c r="DN62" s="440"/>
      <c r="DO62" s="440" t="s">
        <v>95</v>
      </c>
      <c r="DP62" s="440"/>
      <c r="DQ62" s="440"/>
      <c r="DR62" s="440"/>
      <c r="DS62" s="440"/>
      <c r="DT62" s="440"/>
    </row>
    <row r="63" spans="2:124" x14ac:dyDescent="0.35">
      <c r="B63" s="15"/>
      <c r="C63" s="178" t="s">
        <v>114</v>
      </c>
      <c r="D63" s="14"/>
      <c r="E63" s="467" t="s">
        <v>109</v>
      </c>
      <c r="F63" s="468"/>
      <c r="G63" s="468"/>
      <c r="H63" s="468"/>
      <c r="I63" s="468"/>
      <c r="J63" s="469"/>
      <c r="K63" s="440" t="s">
        <v>109</v>
      </c>
      <c r="L63" s="440"/>
      <c r="M63" s="440"/>
      <c r="N63" s="440"/>
      <c r="O63" s="440"/>
      <c r="P63" s="440"/>
      <c r="Q63" s="440" t="s">
        <v>109</v>
      </c>
      <c r="R63" s="440"/>
      <c r="S63" s="440"/>
      <c r="T63" s="440"/>
      <c r="U63" s="440"/>
      <c r="V63" s="440"/>
      <c r="W63" s="440" t="s">
        <v>109</v>
      </c>
      <c r="X63" s="440"/>
      <c r="Y63" s="440"/>
      <c r="Z63" s="440"/>
      <c r="AA63" s="440"/>
      <c r="AB63" s="440"/>
      <c r="AC63" s="440" t="s">
        <v>109</v>
      </c>
      <c r="AD63" s="440"/>
      <c r="AE63" s="440"/>
      <c r="AF63" s="440"/>
      <c r="AG63" s="440"/>
      <c r="AH63" s="440"/>
      <c r="AI63" s="440" t="s">
        <v>109</v>
      </c>
      <c r="AJ63" s="440"/>
      <c r="AK63" s="440"/>
      <c r="AL63" s="440"/>
      <c r="AM63" s="440"/>
      <c r="AN63" s="440"/>
      <c r="AO63" s="440" t="s">
        <v>109</v>
      </c>
      <c r="AP63" s="440"/>
      <c r="AQ63" s="440"/>
      <c r="AR63" s="440"/>
      <c r="AS63" s="440"/>
      <c r="AT63" s="440"/>
      <c r="AU63" s="440" t="s">
        <v>109</v>
      </c>
      <c r="AV63" s="440"/>
      <c r="AW63" s="440"/>
      <c r="AX63" s="440"/>
      <c r="AY63" s="440"/>
      <c r="AZ63" s="440"/>
      <c r="BA63" s="440" t="s">
        <v>109</v>
      </c>
      <c r="BB63" s="440"/>
      <c r="BC63" s="440"/>
      <c r="BD63" s="440"/>
      <c r="BE63" s="440"/>
      <c r="BF63" s="440"/>
      <c r="BG63" s="440" t="s">
        <v>109</v>
      </c>
      <c r="BH63" s="440"/>
      <c r="BI63" s="440"/>
      <c r="BJ63" s="440"/>
      <c r="BK63" s="440"/>
      <c r="BL63" s="440"/>
      <c r="BM63" s="440" t="s">
        <v>101</v>
      </c>
      <c r="BN63" s="440"/>
      <c r="BO63" s="440"/>
      <c r="BP63" s="440"/>
      <c r="BQ63" s="440"/>
      <c r="BR63" s="440"/>
      <c r="BS63" s="440" t="s">
        <v>101</v>
      </c>
      <c r="BT63" s="440"/>
      <c r="BU63" s="440"/>
      <c r="BV63" s="440"/>
      <c r="BW63" s="440"/>
      <c r="BX63" s="440"/>
      <c r="BY63" s="440" t="s">
        <v>109</v>
      </c>
      <c r="BZ63" s="440"/>
      <c r="CA63" s="440"/>
      <c r="CB63" s="440"/>
      <c r="CC63" s="440"/>
      <c r="CD63" s="440"/>
      <c r="CE63" s="440" t="s">
        <v>109</v>
      </c>
      <c r="CF63" s="440"/>
      <c r="CG63" s="440"/>
      <c r="CH63" s="440"/>
      <c r="CI63" s="440"/>
      <c r="CJ63" s="440"/>
      <c r="CK63" s="440" t="s">
        <v>109</v>
      </c>
      <c r="CL63" s="440"/>
      <c r="CM63" s="440"/>
      <c r="CN63" s="440"/>
      <c r="CO63" s="440"/>
      <c r="CP63" s="440"/>
      <c r="CQ63" s="440" t="s">
        <v>109</v>
      </c>
      <c r="CR63" s="440"/>
      <c r="CS63" s="440"/>
      <c r="CT63" s="440"/>
      <c r="CU63" s="440"/>
      <c r="CV63" s="440"/>
      <c r="CW63" s="440" t="s">
        <v>102</v>
      </c>
      <c r="CX63" s="440"/>
      <c r="CY63" s="440"/>
      <c r="CZ63" s="440"/>
      <c r="DA63" s="440"/>
      <c r="DB63" s="440"/>
      <c r="DC63" s="440" t="s">
        <v>102</v>
      </c>
      <c r="DD63" s="440"/>
      <c r="DE63" s="440"/>
      <c r="DF63" s="440"/>
      <c r="DG63" s="440"/>
      <c r="DH63" s="440"/>
      <c r="DI63" s="440" t="s">
        <v>102</v>
      </c>
      <c r="DJ63" s="440"/>
      <c r="DK63" s="440"/>
      <c r="DL63" s="440"/>
      <c r="DM63" s="440"/>
      <c r="DN63" s="440"/>
      <c r="DO63" s="440" t="s">
        <v>113</v>
      </c>
      <c r="DP63" s="440"/>
      <c r="DQ63" s="440"/>
      <c r="DR63" s="440"/>
      <c r="DS63" s="440"/>
      <c r="DT63" s="440"/>
    </row>
    <row r="64" spans="2:124" x14ac:dyDescent="0.35">
      <c r="B64" s="15"/>
      <c r="C64" s="178" t="s">
        <v>116</v>
      </c>
      <c r="D64" s="14"/>
      <c r="E64" s="470" t="str">
        <f>IF(E$60&lt;=VLOOKUP(E$63,'Calculation Basis'!$X$37:$AB$51,2,FALSE),"Reduce the line size",IF(E$60&gt;=VLOOKUP(E$63,'Calculation Basis'!$X$37:$AB$51,3,FALSE),"Increase the line size","Line Size is Okay"))</f>
        <v>Line Size is Okay</v>
      </c>
      <c r="F64" s="471"/>
      <c r="G64" s="471"/>
      <c r="H64" s="471"/>
      <c r="I64" s="471"/>
      <c r="J64" s="472"/>
      <c r="K64" s="434" t="str">
        <f>IF(K$60&lt;=VLOOKUP(K$63,'Calculation Basis'!$X$37:$AB$51,2,FALSE),"Reduce the line size",IF(K$60&gt;=VLOOKUP(K$63,'Calculation Basis'!$X$37:$AB$51,3,FALSE),"Increase the line size","Line Size is Okay"))</f>
        <v>Line Size is Okay</v>
      </c>
      <c r="L64" s="434"/>
      <c r="M64" s="434"/>
      <c r="N64" s="434"/>
      <c r="O64" s="434"/>
      <c r="P64" s="434"/>
      <c r="Q64" s="434" t="str">
        <f>IF(Q$60&lt;=VLOOKUP(Q$63,'Calculation Basis'!$X$37:$AB$51,2,FALSE),"Reduce the line size",IF(Q$60&gt;=VLOOKUP(Q$63,'Calculation Basis'!$X$37:$AB$51,3,FALSE),"Increase the line size","Line Size is Okay"))</f>
        <v>Line Size is Okay</v>
      </c>
      <c r="R64" s="434"/>
      <c r="S64" s="434"/>
      <c r="T64" s="434"/>
      <c r="U64" s="434"/>
      <c r="V64" s="434"/>
      <c r="W64" s="434" t="str">
        <f>IF(W$60&lt;=VLOOKUP(W$63,'Calculation Basis'!$X$37:$AB$51,2,FALSE),"Reduce the line size",IF(W$60&gt;=VLOOKUP(W$63,'Calculation Basis'!$X$37:$AB$51,3,FALSE),"Increase the line size","Line Size is Okay"))</f>
        <v>Line Size is Okay</v>
      </c>
      <c r="X64" s="434"/>
      <c r="Y64" s="434"/>
      <c r="Z64" s="434"/>
      <c r="AA64" s="434"/>
      <c r="AB64" s="434"/>
      <c r="AC64" s="434" t="str">
        <f>IF(AC$60&lt;=VLOOKUP(AC$63,'Calculation Basis'!$X$37:$AB$51,2,FALSE),"Reduce the line size",IF(AC$60&gt;=VLOOKUP(AC$63,'Calculation Basis'!$X$37:$AB$51,3,FALSE),"Increase the line size","Line Size is Okay"))</f>
        <v>Increase the line size</v>
      </c>
      <c r="AD64" s="434"/>
      <c r="AE64" s="434"/>
      <c r="AF64" s="434"/>
      <c r="AG64" s="434"/>
      <c r="AH64" s="434"/>
      <c r="AI64" s="434" t="str">
        <f>IF(AI$60&lt;=VLOOKUP(AI$63,'Calculation Basis'!$X$37:$AB$51,2,FALSE),"Reduce the line size",IF(AI$60&gt;=VLOOKUP(AI$63,'Calculation Basis'!$X$37:$AB$51,3,FALSE),"Increase the line size","Line Size is Okay"))</f>
        <v>Line Size is Okay</v>
      </c>
      <c r="AJ64" s="434"/>
      <c r="AK64" s="434"/>
      <c r="AL64" s="434"/>
      <c r="AM64" s="434"/>
      <c r="AN64" s="434"/>
      <c r="AO64" s="434" t="str">
        <f>IF(AO$60&lt;=VLOOKUP(AO$63,'Calculation Basis'!$X$37:$AB$51,2,FALSE),"Reduce the line size",IF(AO$60&gt;=VLOOKUP(AO$63,'Calculation Basis'!$X$37:$AB$51,3,FALSE),"Increase the line size","Line Size is Okay"))</f>
        <v>Line Size is Okay</v>
      </c>
      <c r="AP64" s="434"/>
      <c r="AQ64" s="434"/>
      <c r="AR64" s="434"/>
      <c r="AS64" s="434"/>
      <c r="AT64" s="434"/>
      <c r="AU64" s="434" t="str">
        <f>IF(AU$60&lt;=VLOOKUP(AU$63,'Calculation Basis'!$X$37:$AB$51,2,FALSE),"Reduce the line size",IF(AU$60&gt;=VLOOKUP(AU$63,'Calculation Basis'!$X$37:$AB$51,3,FALSE),"Increase the line size","Line Size is Okay"))</f>
        <v>Line Size is Okay</v>
      </c>
      <c r="AV64" s="434"/>
      <c r="AW64" s="434"/>
      <c r="AX64" s="434"/>
      <c r="AY64" s="434"/>
      <c r="AZ64" s="434"/>
      <c r="BA64" s="434" t="str">
        <f>IF(BA$60&lt;=VLOOKUP(BA$63,'Calculation Basis'!$X$37:$AB$51,2,FALSE),"Reduce the line size",IF(BA$60&gt;=VLOOKUP(BA$63,'Calculation Basis'!$X$37:$AB$51,3,FALSE),"Increase the line size","Line Size is Okay"))</f>
        <v>Line Size is Okay</v>
      </c>
      <c r="BB64" s="434"/>
      <c r="BC64" s="434"/>
      <c r="BD64" s="434"/>
      <c r="BE64" s="434"/>
      <c r="BF64" s="434"/>
      <c r="BG64" s="434" t="str">
        <f>IF(BG$60&lt;=VLOOKUP(BG$63,'Calculation Basis'!$X$37:$AB$51,2,FALSE),"Reduce the line size",IF(BG$60&gt;=VLOOKUP(BG$63,'Calculation Basis'!$X$37:$AB$51,3,FALSE),"Increase the line size","Line Size is Okay"))</f>
        <v>Line Size is Okay</v>
      </c>
      <c r="BH64" s="434"/>
      <c r="BI64" s="434"/>
      <c r="BJ64" s="434"/>
      <c r="BK64" s="434"/>
      <c r="BL64" s="434"/>
      <c r="BM64" s="434" t="str">
        <f>IF(BM$60&lt;=VLOOKUP(BM$63,'Calculation Basis'!$X$37:$AB$51,2,FALSE),"Reduce the line size",IF(BM$60&gt;=VLOOKUP(BM$63,'Calculation Basis'!$X$37:$AB$51,3,FALSE),"Increase the line size","Line Size is Okay"))</f>
        <v>Line Size is Okay</v>
      </c>
      <c r="BN64" s="434"/>
      <c r="BO64" s="434"/>
      <c r="BP64" s="434"/>
      <c r="BQ64" s="434"/>
      <c r="BR64" s="434"/>
      <c r="BS64" s="434" t="str">
        <f>IF(BS$60&lt;=VLOOKUP(BS$63,'Calculation Basis'!$X$37:$AB$51,2,FALSE),"Reduce the line size",IF(BS$60&gt;=VLOOKUP(BS$63,'Calculation Basis'!$X$37:$AB$51,3,FALSE),"Increase the line size","Line Size is Okay"))</f>
        <v>Increase the line size</v>
      </c>
      <c r="BT64" s="434"/>
      <c r="BU64" s="434"/>
      <c r="BV64" s="434"/>
      <c r="BW64" s="434"/>
      <c r="BX64" s="434"/>
      <c r="BY64" s="434" t="str">
        <f>IF(BY$60&lt;=VLOOKUP(BY$63,'Calculation Basis'!$X$37:$AB$51,2,FALSE),"Reduce the line size",IF(BY$60&gt;=VLOOKUP(BY$63,'Calculation Basis'!$X$37:$AB$51,3,FALSE),"Increase the line size","Line Size is Okay"))</f>
        <v>Line Size is Okay</v>
      </c>
      <c r="BZ64" s="434"/>
      <c r="CA64" s="434"/>
      <c r="CB64" s="434"/>
      <c r="CC64" s="434"/>
      <c r="CD64" s="434"/>
      <c r="CE64" s="434" t="str">
        <f>IF(CE$60&lt;=VLOOKUP(CE$63,'Calculation Basis'!$X$37:$AB$51,2,FALSE),"Reduce the line size",IF(CE$60&gt;=VLOOKUP(CE$63,'Calculation Basis'!$X$37:$AB$51,3,FALSE),"Increase the line size","Line Size is Okay"))</f>
        <v>Line Size is Okay</v>
      </c>
      <c r="CF64" s="434"/>
      <c r="CG64" s="434"/>
      <c r="CH64" s="434"/>
      <c r="CI64" s="434"/>
      <c r="CJ64" s="434"/>
      <c r="CK64" s="434" t="str">
        <f>IF(CK$60&lt;=VLOOKUP(CK$63,'Calculation Basis'!$X$37:$AB$51,2,FALSE),"Reduce the line size",IF(CK$60&gt;=VLOOKUP(CK$63,'Calculation Basis'!$X$37:$AB$51,3,FALSE),"Increase the line size","Line Size is Okay"))</f>
        <v>Line Size is Okay</v>
      </c>
      <c r="CL64" s="434"/>
      <c r="CM64" s="434"/>
      <c r="CN64" s="434"/>
      <c r="CO64" s="434"/>
      <c r="CP64" s="434"/>
      <c r="CQ64" s="434" t="str">
        <f>IF(CQ$60&lt;=VLOOKUP(CQ$63,'Calculation Basis'!$X$37:$AB$51,2,FALSE),"Reduce the line size",IF(CQ$60&gt;=VLOOKUP(CQ$63,'Calculation Basis'!$X$37:$AB$51,3,FALSE),"Increase the line size","Line Size is Okay"))</f>
        <v>Line Size is Okay</v>
      </c>
      <c r="CR64" s="434"/>
      <c r="CS64" s="434"/>
      <c r="CT64" s="434"/>
      <c r="CU64" s="434"/>
      <c r="CV64" s="434"/>
      <c r="CW64" s="434" t="str">
        <f>IF(CW$60&lt;=VLOOKUP(CW$63,'Calculation Basis'!$X$37:$AB$51,2,FALSE),"Reduce the line size",IF(CW$60&gt;=VLOOKUP(CW$63,'Calculation Basis'!$X$37:$AB$51,3,FALSE),"Increase the line size","Line Size is Okay"))</f>
        <v>Reduce the line size</v>
      </c>
      <c r="CX64" s="434"/>
      <c r="CY64" s="434"/>
      <c r="CZ64" s="434"/>
      <c r="DA64" s="434"/>
      <c r="DB64" s="434"/>
      <c r="DC64" s="434" t="str">
        <f>IF(DC$60&lt;=VLOOKUP(DC$63,'Calculation Basis'!$X$37:$AB$51,2,FALSE),"Reduce the line size",IF(DC$60&gt;=VLOOKUP(DC$63,'Calculation Basis'!$X$37:$AB$51,3,FALSE),"Increase the line size","Line Size is Okay"))</f>
        <v>Reduce the line size</v>
      </c>
      <c r="DD64" s="434"/>
      <c r="DE64" s="434"/>
      <c r="DF64" s="434"/>
      <c r="DG64" s="434"/>
      <c r="DH64" s="434"/>
      <c r="DI64" s="434" t="str">
        <f>IF(DI$60&lt;=VLOOKUP(DI$63,'Calculation Basis'!$X$37:$AB$51,2,FALSE),"Reduce the line size",IF(DI$60&gt;=VLOOKUP(DI$63,'Calculation Basis'!$X$37:$AB$51,3,FALSE),"Increase the line size","Line Size is Okay"))</f>
        <v>Reduce the line size</v>
      </c>
      <c r="DJ64" s="434"/>
      <c r="DK64" s="434"/>
      <c r="DL64" s="434"/>
      <c r="DM64" s="434"/>
      <c r="DN64" s="434"/>
      <c r="DO64" s="434" t="str">
        <f>IF(DO$60&lt;=VLOOKUP(DO$63,'Calculation Basis'!$X$37:$AB$51,2,FALSE),"Reduce the line size",IF(DO$60&gt;=VLOOKUP(DO$63,'Calculation Basis'!$X$37:$AB$51,3,FALSE),"Increase the line size","Line Size is Okay"))</f>
        <v>Reduce the line size</v>
      </c>
      <c r="DP64" s="434"/>
      <c r="DQ64" s="434"/>
      <c r="DR64" s="434"/>
      <c r="DS64" s="434"/>
      <c r="DT64" s="434"/>
    </row>
    <row r="65" spans="2:124" x14ac:dyDescent="0.35">
      <c r="B65" s="15"/>
      <c r="C65" s="178" t="s">
        <v>117</v>
      </c>
      <c r="D65" s="14"/>
      <c r="E65" s="470" t="str">
        <f>IF(E62="Liquid",IF(E$60&lt;=VLOOKUP(E$63,'Calculation Basis'!$X$37:$AB$51,2,FALSE),"Reduce the line size",IF(E$60&gt;=VLOOKUP(E$63,'Calculation Basis'!$X$37:$AB$51,3,FALSE),"Increase the line size","Line Size is Okay")),"Refer Pressure Drop Criteria")</f>
        <v>Refer Pressure Drop Criteria</v>
      </c>
      <c r="F65" s="471"/>
      <c r="G65" s="471"/>
      <c r="H65" s="471"/>
      <c r="I65" s="471"/>
      <c r="J65" s="472"/>
      <c r="K65" s="434" t="str">
        <f>IF(K62="Liquid",IF(K$60&lt;=VLOOKUP(K$63,'Calculation Basis'!$X$37:$AB$51,2,FALSE),"Reduce the line size",IF(K$60&gt;=VLOOKUP(K$63,'Calculation Basis'!$X$37:$AB$51,3,FALSE),"Increase the line size","Line Size is Okay")),"Refer Pressure Drop Criteria")</f>
        <v>Refer Pressure Drop Criteria</v>
      </c>
      <c r="L65" s="434"/>
      <c r="M65" s="434"/>
      <c r="N65" s="434"/>
      <c r="O65" s="434"/>
      <c r="P65" s="434"/>
      <c r="Q65" s="434" t="str">
        <f>IF(Q62="Liquid",IF(Q$60&lt;=VLOOKUP(Q$63,'Calculation Basis'!$X$37:$AB$51,2,FALSE),"Reduce the line size",IF(Q$60&gt;=VLOOKUP(Q$63,'Calculation Basis'!$X$37:$AB$51,3,FALSE),"Increase the line size","Line Size is Okay")),"Refer Pressure Drop Criteria")</f>
        <v>Refer Pressure Drop Criteria</v>
      </c>
      <c r="R65" s="434"/>
      <c r="S65" s="434"/>
      <c r="T65" s="434"/>
      <c r="U65" s="434"/>
      <c r="V65" s="434"/>
      <c r="W65" s="434" t="str">
        <f>IF(W62="Liquid",IF(W$60&lt;=VLOOKUP(W$63,'Calculation Basis'!$X$37:$AB$51,2,FALSE),"Reduce the line size",IF(W$60&gt;=VLOOKUP(W$63,'Calculation Basis'!$X$37:$AB$51,3,FALSE),"Increase the line size","Line Size is Okay")),"Refer Pressure Drop Criteria")</f>
        <v>Refer Pressure Drop Criteria</v>
      </c>
      <c r="X65" s="434"/>
      <c r="Y65" s="434"/>
      <c r="Z65" s="434"/>
      <c r="AA65" s="434"/>
      <c r="AB65" s="434"/>
      <c r="AC65" s="434" t="str">
        <f>IF(AC62="Liquid",IF(AC$60&lt;=VLOOKUP(AC$63,'Calculation Basis'!$X$37:$AB$51,2,FALSE),"Reduce the line size",IF(AC$60&gt;=VLOOKUP(AC$63,'Calculation Basis'!$X$37:$AB$51,3,FALSE),"Increase the line size","Line Size is Okay")),"Refer Pressure Drop Criteria")</f>
        <v>Refer Pressure Drop Criteria</v>
      </c>
      <c r="AD65" s="434"/>
      <c r="AE65" s="434"/>
      <c r="AF65" s="434"/>
      <c r="AG65" s="434"/>
      <c r="AH65" s="434"/>
      <c r="AI65" s="434" t="str">
        <f>IF(AI62="Liquid",IF(AI$60&lt;=VLOOKUP(AI$63,'Calculation Basis'!$X$37:$AB$51,2,FALSE),"Reduce the line size",IF(AI$60&gt;=VLOOKUP(AI$63,'Calculation Basis'!$X$37:$AB$51,3,FALSE),"Increase the line size","Line Size is Okay")),"Refer Pressure Drop Criteria")</f>
        <v>Refer Pressure Drop Criteria</v>
      </c>
      <c r="AJ65" s="434"/>
      <c r="AK65" s="434"/>
      <c r="AL65" s="434"/>
      <c r="AM65" s="434"/>
      <c r="AN65" s="434"/>
      <c r="AO65" s="434" t="str">
        <f>IF(AO62="Liquid",IF(AO$60&lt;=VLOOKUP(AO$63,'Calculation Basis'!$X$37:$AB$51,2,FALSE),"Reduce the line size",IF(AO$60&gt;=VLOOKUP(AO$63,'Calculation Basis'!$X$37:$AB$51,3,FALSE),"Increase the line size","Line Size is Okay")),"Refer Pressure Drop Criteria")</f>
        <v>Refer Pressure Drop Criteria</v>
      </c>
      <c r="AP65" s="434"/>
      <c r="AQ65" s="434"/>
      <c r="AR65" s="434"/>
      <c r="AS65" s="434"/>
      <c r="AT65" s="434"/>
      <c r="AU65" s="434" t="str">
        <f>IF(AU62="Liquid",IF(AU$60&lt;=VLOOKUP(AU$63,'Calculation Basis'!$X$37:$AB$51,2,FALSE),"Reduce the line size",IF(AU$60&gt;=VLOOKUP(AU$63,'Calculation Basis'!$X$37:$AB$51,3,FALSE),"Increase the line size","Line Size is Okay")),"Refer Pressure Drop Criteria")</f>
        <v>Refer Pressure Drop Criteria</v>
      </c>
      <c r="AV65" s="434"/>
      <c r="AW65" s="434"/>
      <c r="AX65" s="434"/>
      <c r="AY65" s="434"/>
      <c r="AZ65" s="434"/>
      <c r="BA65" s="434" t="str">
        <f>IF(BA62="Liquid",IF(BA$60&lt;=VLOOKUP(BA$63,'Calculation Basis'!$X$37:$AB$51,2,FALSE),"Reduce the line size",IF(BA$60&gt;=VLOOKUP(BA$63,'Calculation Basis'!$X$37:$AB$51,3,FALSE),"Increase the line size","Line Size is Okay")),"Refer Pressure Drop Criteria")</f>
        <v>Refer Pressure Drop Criteria</v>
      </c>
      <c r="BB65" s="434"/>
      <c r="BC65" s="434"/>
      <c r="BD65" s="434"/>
      <c r="BE65" s="434"/>
      <c r="BF65" s="434"/>
      <c r="BG65" s="434" t="str">
        <f>IF(BG62="Liquid",IF(BG$60&lt;=VLOOKUP(BG$63,'Calculation Basis'!$X$37:$AB$51,2,FALSE),"Reduce the line size",IF(BG$60&gt;=VLOOKUP(BG$63,'Calculation Basis'!$X$37:$AB$51,3,FALSE),"Increase the line size","Line Size is Okay")),"Refer Pressure Drop Criteria")</f>
        <v>Refer Pressure Drop Criteria</v>
      </c>
      <c r="BH65" s="434"/>
      <c r="BI65" s="434"/>
      <c r="BJ65" s="434"/>
      <c r="BK65" s="434"/>
      <c r="BL65" s="434"/>
      <c r="BM65" s="434" t="str">
        <f>IF(BM62="Liquid",IF(BM$60&lt;=VLOOKUP(BM$63,'Calculation Basis'!$X$37:$AB$51,2,FALSE),"Reduce the line size",IF(BM$60&gt;=VLOOKUP(BM$63,'Calculation Basis'!$X$37:$AB$51,3,FALSE),"Increase the line size","Line Size is Okay")),"Refer Pressure Drop Criteria")</f>
        <v>Refer Pressure Drop Criteria</v>
      </c>
      <c r="BN65" s="434"/>
      <c r="BO65" s="434"/>
      <c r="BP65" s="434"/>
      <c r="BQ65" s="434"/>
      <c r="BR65" s="434"/>
      <c r="BS65" s="434" t="str">
        <f>IF(BS62="Liquid",IF(BS$60&lt;=VLOOKUP(BS$63,'Calculation Basis'!$X$37:$AB$51,2,FALSE),"Reduce the line size",IF(BS$60&gt;=VLOOKUP(BS$63,'Calculation Basis'!$X$37:$AB$51,3,FALSE),"Increase the line size","Line Size is Okay")),"Refer Pressure Drop Criteria")</f>
        <v>Refer Pressure Drop Criteria</v>
      </c>
      <c r="BT65" s="434"/>
      <c r="BU65" s="434"/>
      <c r="BV65" s="434"/>
      <c r="BW65" s="434"/>
      <c r="BX65" s="434"/>
      <c r="BY65" s="434" t="str">
        <f>IF(BY62="Liquid",IF(BY$60&lt;=VLOOKUP(BY$63,'Calculation Basis'!$X$37:$AB$51,2,FALSE),"Reduce the line size",IF(BY$60&gt;=VLOOKUP(BY$63,'Calculation Basis'!$X$37:$AB$51,3,FALSE),"Increase the line size","Line Size is Okay")),"Refer Pressure Drop Criteria")</f>
        <v>Refer Pressure Drop Criteria</v>
      </c>
      <c r="BZ65" s="434"/>
      <c r="CA65" s="434"/>
      <c r="CB65" s="434"/>
      <c r="CC65" s="434"/>
      <c r="CD65" s="434"/>
      <c r="CE65" s="434" t="str">
        <f>IF(CE62="Liquid",IF(CE$60&lt;=VLOOKUP(CE$63,'Calculation Basis'!$X$37:$AB$51,2,FALSE),"Reduce the line size",IF(CE$60&gt;=VLOOKUP(CE$63,'Calculation Basis'!$X$37:$AB$51,3,FALSE),"Increase the line size","Line Size is Okay")),"Refer Pressure Drop Criteria")</f>
        <v>Refer Pressure Drop Criteria</v>
      </c>
      <c r="CF65" s="434"/>
      <c r="CG65" s="434"/>
      <c r="CH65" s="434"/>
      <c r="CI65" s="434"/>
      <c r="CJ65" s="434"/>
      <c r="CK65" s="434" t="str">
        <f>IF(CK62="Liquid",IF(CK$60&lt;=VLOOKUP(CK$63,'Calculation Basis'!$X$37:$AB$51,2,FALSE),"Reduce the line size",IF(CK$60&gt;=VLOOKUP(CK$63,'Calculation Basis'!$X$37:$AB$51,3,FALSE),"Increase the line size","Line Size is Okay")),"Refer Pressure Drop Criteria")</f>
        <v>Refer Pressure Drop Criteria</v>
      </c>
      <c r="CL65" s="434"/>
      <c r="CM65" s="434"/>
      <c r="CN65" s="434"/>
      <c r="CO65" s="434"/>
      <c r="CP65" s="434"/>
      <c r="CQ65" s="434" t="str">
        <f>IF(CQ62="Liquid",IF(CQ$60&lt;=VLOOKUP(CQ$63,'Calculation Basis'!$X$37:$AB$51,2,FALSE),"Reduce the line size",IF(CQ$60&gt;=VLOOKUP(CQ$63,'Calculation Basis'!$X$37:$AB$51,3,FALSE),"Increase the line size","Line Size is Okay")),"Refer Pressure Drop Criteria")</f>
        <v>Refer Pressure Drop Criteria</v>
      </c>
      <c r="CR65" s="434"/>
      <c r="CS65" s="434"/>
      <c r="CT65" s="434"/>
      <c r="CU65" s="434"/>
      <c r="CV65" s="434"/>
      <c r="CW65" s="434" t="str">
        <f>IF(CW62="Liquid",IF(CW$60&lt;=VLOOKUP(CW$63,'Calculation Basis'!$X$37:$AB$51,2,FALSE),"Reduce the line size",IF(CW$60&gt;=VLOOKUP(CW$63,'Calculation Basis'!$X$37:$AB$51,3,FALSE),"Increase the line size","Line Size is Okay")),"Refer Pressure Drop Criteria")</f>
        <v>Refer Pressure Drop Criteria</v>
      </c>
      <c r="CX65" s="434"/>
      <c r="CY65" s="434"/>
      <c r="CZ65" s="434"/>
      <c r="DA65" s="434"/>
      <c r="DB65" s="434"/>
      <c r="DC65" s="434" t="str">
        <f>IF(DC62="Liquid",IF(DC$60&lt;=VLOOKUP(DC$63,'Calculation Basis'!$X$37:$AB$51,2,FALSE),"Reduce the line size",IF(DC$60&gt;=VLOOKUP(DC$63,'Calculation Basis'!$X$37:$AB$51,3,FALSE),"Increase the line size","Line Size is Okay")),"Refer Pressure Drop Criteria")</f>
        <v>Refer Pressure Drop Criteria</v>
      </c>
      <c r="DD65" s="434"/>
      <c r="DE65" s="434"/>
      <c r="DF65" s="434"/>
      <c r="DG65" s="434"/>
      <c r="DH65" s="434"/>
      <c r="DI65" s="434" t="str">
        <f>IF(DI62="Liquid",IF(DI$60&lt;=VLOOKUP(DI$63,'Calculation Basis'!$X$37:$AB$51,2,FALSE),"Reduce the line size",IF(DI$60&gt;=VLOOKUP(DI$63,'Calculation Basis'!$X$37:$AB$51,3,FALSE),"Increase the line size","Line Size is Okay")),"Refer Pressure Drop Criteria")</f>
        <v>Refer Pressure Drop Criteria</v>
      </c>
      <c r="DJ65" s="434"/>
      <c r="DK65" s="434"/>
      <c r="DL65" s="434"/>
      <c r="DM65" s="434"/>
      <c r="DN65" s="434"/>
      <c r="DO65" s="434" t="str">
        <f>IF(DO62="Liquid",IF(DO$60&lt;=VLOOKUP(DO$63,'Calculation Basis'!$X$37:$AB$51,2,FALSE),"Reduce the line size",IF(DO$60&gt;=VLOOKUP(DO$63,'Calculation Basis'!$X$37:$AB$51,3,FALSE),"Increase the line size","Line Size is Okay")),"Refer Pressure Drop Criteria")</f>
        <v>Reduce the line size</v>
      </c>
      <c r="DP65" s="434"/>
      <c r="DQ65" s="434"/>
      <c r="DR65" s="434"/>
      <c r="DS65" s="434"/>
      <c r="DT65" s="434"/>
    </row>
    <row r="66" spans="2:124" x14ac:dyDescent="0.35">
      <c r="B66" s="15"/>
      <c r="C66" s="178"/>
      <c r="D66" s="14"/>
      <c r="E66" s="330"/>
      <c r="F66" s="330"/>
      <c r="G66" s="330"/>
      <c r="H66" s="330"/>
      <c r="I66" s="330"/>
      <c r="J66" s="330"/>
      <c r="K66" s="199"/>
      <c r="L66" s="199"/>
      <c r="M66" s="199"/>
      <c r="N66" s="199"/>
      <c r="O66" s="199"/>
      <c r="P66" s="199"/>
      <c r="Q66" s="199"/>
      <c r="R66" s="199"/>
      <c r="S66" s="199"/>
      <c r="T66" s="199"/>
      <c r="U66" s="199"/>
      <c r="V66" s="199"/>
      <c r="W66" s="199"/>
      <c r="X66" s="199"/>
      <c r="Y66" s="199"/>
      <c r="Z66" s="199"/>
      <c r="AA66" s="199"/>
      <c r="AB66" s="199"/>
      <c r="AC66" s="199"/>
      <c r="AD66" s="199"/>
      <c r="AE66" s="199"/>
      <c r="AF66" s="199"/>
      <c r="AG66" s="199"/>
      <c r="AH66" s="199"/>
      <c r="AI66" s="199"/>
      <c r="AJ66" s="199"/>
      <c r="AK66" s="199"/>
      <c r="AL66" s="199"/>
      <c r="AM66" s="199"/>
      <c r="AN66" s="199"/>
      <c r="AO66" s="199"/>
      <c r="AP66" s="199"/>
      <c r="AQ66" s="199"/>
      <c r="AR66" s="199"/>
      <c r="AS66" s="199"/>
      <c r="AT66" s="199"/>
      <c r="AU66" s="199"/>
      <c r="AV66" s="199"/>
      <c r="AW66" s="199"/>
      <c r="AX66" s="199"/>
      <c r="AY66" s="199"/>
      <c r="AZ66" s="199"/>
      <c r="BA66" s="199"/>
      <c r="BB66" s="199"/>
      <c r="BC66" s="199"/>
      <c r="BD66" s="199"/>
      <c r="BE66" s="199"/>
      <c r="BF66" s="199"/>
      <c r="BG66" s="199"/>
      <c r="BH66" s="199"/>
      <c r="BI66" s="199"/>
      <c r="BJ66" s="199"/>
      <c r="BK66" s="199"/>
      <c r="BL66" s="199"/>
      <c r="BM66" s="199"/>
      <c r="BN66" s="199"/>
      <c r="BO66" s="199"/>
      <c r="BP66" s="199"/>
      <c r="BQ66" s="199"/>
      <c r="BR66" s="199"/>
      <c r="BS66" s="199"/>
      <c r="BT66" s="199"/>
      <c r="BU66" s="199"/>
      <c r="BV66" s="199"/>
      <c r="BW66" s="199"/>
      <c r="BX66" s="199"/>
      <c r="BY66" s="199"/>
      <c r="BZ66" s="199"/>
      <c r="CA66" s="199"/>
      <c r="CB66" s="199"/>
      <c r="CC66" s="199"/>
      <c r="CD66" s="199"/>
      <c r="CE66" s="199"/>
      <c r="CF66" s="199"/>
      <c r="CG66" s="199"/>
      <c r="CH66" s="199"/>
      <c r="CI66" s="199"/>
      <c r="CJ66" s="199"/>
      <c r="CK66" s="199"/>
      <c r="CL66" s="199"/>
      <c r="CM66" s="199"/>
      <c r="CN66" s="199"/>
      <c r="CO66" s="199"/>
      <c r="CP66" s="199"/>
      <c r="CQ66" s="199"/>
      <c r="CR66" s="199"/>
      <c r="CS66" s="199"/>
      <c r="CT66" s="199"/>
      <c r="CU66" s="199"/>
      <c r="CV66" s="199"/>
      <c r="CW66" s="199"/>
      <c r="CX66" s="199"/>
      <c r="CY66" s="199"/>
      <c r="CZ66" s="199"/>
      <c r="DA66" s="199"/>
      <c r="DB66" s="199"/>
      <c r="DC66" s="199"/>
      <c r="DD66" s="199"/>
      <c r="DE66" s="199"/>
      <c r="DF66" s="199"/>
      <c r="DG66" s="199"/>
      <c r="DH66" s="199"/>
      <c r="DI66" s="199"/>
      <c r="DJ66" s="199"/>
      <c r="DK66" s="13"/>
      <c r="DL66" s="13"/>
      <c r="DM66" s="13"/>
      <c r="DN66" s="13"/>
      <c r="DO66" s="422"/>
      <c r="DP66" s="422"/>
      <c r="DQ66" s="13"/>
      <c r="DR66" s="13"/>
      <c r="DS66" s="13"/>
      <c r="DT66" s="13"/>
    </row>
    <row r="67" spans="2:124" x14ac:dyDescent="0.35">
      <c r="B67" s="200" t="s">
        <v>426</v>
      </c>
      <c r="C67" s="200"/>
      <c r="D67" s="200"/>
      <c r="E67" s="464" t="s">
        <v>516</v>
      </c>
      <c r="F67" s="465"/>
      <c r="G67" s="465"/>
      <c r="H67" s="465"/>
      <c r="I67" s="465"/>
      <c r="J67" s="466"/>
      <c r="K67" s="435" t="s">
        <v>516</v>
      </c>
      <c r="L67" s="435"/>
      <c r="M67" s="435"/>
      <c r="N67" s="435"/>
      <c r="O67" s="435"/>
      <c r="P67" s="435"/>
      <c r="Q67" s="435" t="s">
        <v>516</v>
      </c>
      <c r="R67" s="435"/>
      <c r="S67" s="435"/>
      <c r="T67" s="435"/>
      <c r="U67" s="435"/>
      <c r="V67" s="435"/>
      <c r="W67" s="435" t="s">
        <v>516</v>
      </c>
      <c r="X67" s="435"/>
      <c r="Y67" s="435"/>
      <c r="Z67" s="435"/>
      <c r="AA67" s="435"/>
      <c r="AB67" s="435"/>
      <c r="AC67" s="435" t="s">
        <v>516</v>
      </c>
      <c r="AD67" s="435"/>
      <c r="AE67" s="435"/>
      <c r="AF67" s="435"/>
      <c r="AG67" s="435"/>
      <c r="AH67" s="435"/>
      <c r="AI67" s="435" t="s">
        <v>516</v>
      </c>
      <c r="AJ67" s="435"/>
      <c r="AK67" s="435"/>
      <c r="AL67" s="435"/>
      <c r="AM67" s="435"/>
      <c r="AN67" s="435"/>
      <c r="AO67" s="435" t="s">
        <v>516</v>
      </c>
      <c r="AP67" s="435"/>
      <c r="AQ67" s="435"/>
      <c r="AR67" s="435"/>
      <c r="AS67" s="435"/>
      <c r="AT67" s="435"/>
      <c r="AU67" s="435" t="s">
        <v>516</v>
      </c>
      <c r="AV67" s="435"/>
      <c r="AW67" s="435"/>
      <c r="AX67" s="435"/>
      <c r="AY67" s="435"/>
      <c r="AZ67" s="435"/>
      <c r="BA67" s="435" t="s">
        <v>516</v>
      </c>
      <c r="BB67" s="435"/>
      <c r="BC67" s="435"/>
      <c r="BD67" s="435"/>
      <c r="BE67" s="435"/>
      <c r="BF67" s="435"/>
      <c r="BG67" s="435" t="s">
        <v>516</v>
      </c>
      <c r="BH67" s="435"/>
      <c r="BI67" s="435"/>
      <c r="BJ67" s="435"/>
      <c r="BK67" s="435"/>
      <c r="BL67" s="435"/>
      <c r="BM67" s="435" t="s">
        <v>516</v>
      </c>
      <c r="BN67" s="435"/>
      <c r="BO67" s="435"/>
      <c r="BP67" s="435"/>
      <c r="BQ67" s="435"/>
      <c r="BR67" s="435"/>
      <c r="BS67" s="435" t="s">
        <v>516</v>
      </c>
      <c r="BT67" s="435"/>
      <c r="BU67" s="435"/>
      <c r="BV67" s="435"/>
      <c r="BW67" s="435"/>
      <c r="BX67" s="435"/>
      <c r="BY67" s="435" t="s">
        <v>516</v>
      </c>
      <c r="BZ67" s="435"/>
      <c r="CA67" s="435"/>
      <c r="CB67" s="435"/>
      <c r="CC67" s="435"/>
      <c r="CD67" s="435"/>
      <c r="CE67" s="435" t="s">
        <v>516</v>
      </c>
      <c r="CF67" s="435"/>
      <c r="CG67" s="435"/>
      <c r="CH67" s="435"/>
      <c r="CI67" s="435"/>
      <c r="CJ67" s="435"/>
      <c r="CK67" s="435" t="s">
        <v>516</v>
      </c>
      <c r="CL67" s="435"/>
      <c r="CM67" s="435"/>
      <c r="CN67" s="435"/>
      <c r="CO67" s="435"/>
      <c r="CP67" s="435"/>
      <c r="CQ67" s="435" t="s">
        <v>516</v>
      </c>
      <c r="CR67" s="435"/>
      <c r="CS67" s="435"/>
      <c r="CT67" s="435"/>
      <c r="CU67" s="435"/>
      <c r="CV67" s="435"/>
      <c r="CW67" s="435" t="s">
        <v>516</v>
      </c>
      <c r="CX67" s="435"/>
      <c r="CY67" s="435"/>
      <c r="CZ67" s="435"/>
      <c r="DA67" s="435"/>
      <c r="DB67" s="435"/>
      <c r="DC67" s="435" t="s">
        <v>516</v>
      </c>
      <c r="DD67" s="435"/>
      <c r="DE67" s="435"/>
      <c r="DF67" s="435"/>
      <c r="DG67" s="435"/>
      <c r="DH67" s="435"/>
      <c r="DI67" s="435" t="s">
        <v>516</v>
      </c>
      <c r="DJ67" s="435"/>
      <c r="DK67" s="435"/>
      <c r="DL67" s="435"/>
      <c r="DM67" s="435"/>
      <c r="DN67" s="435"/>
      <c r="DO67" s="435" t="s">
        <v>516</v>
      </c>
      <c r="DP67" s="435"/>
      <c r="DQ67" s="435"/>
      <c r="DR67" s="435"/>
      <c r="DS67" s="435"/>
      <c r="DT67" s="435"/>
    </row>
    <row r="68" spans="2:124" ht="6.75" customHeight="1" x14ac:dyDescent="0.35">
      <c r="B68" s="201"/>
      <c r="C68" s="13"/>
      <c r="D68" s="202"/>
      <c r="E68" s="202"/>
      <c r="F68" s="13"/>
      <c r="G68" s="13"/>
      <c r="H68" s="13"/>
      <c r="I68" s="13"/>
      <c r="J68" s="13"/>
      <c r="K68" s="202"/>
      <c r="L68" s="13"/>
      <c r="M68" s="13"/>
      <c r="N68" s="13"/>
      <c r="O68" s="13"/>
      <c r="P68" s="13"/>
      <c r="Q68" s="202"/>
      <c r="R68" s="13"/>
      <c r="S68" s="13"/>
      <c r="T68" s="13"/>
      <c r="U68" s="13"/>
      <c r="V68" s="13"/>
      <c r="W68" s="202"/>
      <c r="X68" s="13"/>
      <c r="Y68" s="13"/>
      <c r="Z68" s="13"/>
      <c r="AA68" s="13"/>
      <c r="AB68" s="13"/>
      <c r="AC68" s="202"/>
      <c r="AD68" s="13"/>
      <c r="AE68" s="13"/>
      <c r="AF68" s="13"/>
      <c r="AG68" s="13"/>
      <c r="AH68" s="13"/>
      <c r="AI68" s="202"/>
      <c r="AJ68" s="13"/>
      <c r="AK68" s="13"/>
      <c r="AL68" s="13"/>
      <c r="AM68" s="13"/>
      <c r="AN68" s="13"/>
      <c r="AO68" s="202"/>
      <c r="AP68" s="13"/>
      <c r="AQ68" s="13"/>
      <c r="AR68" s="13"/>
      <c r="AS68" s="13"/>
      <c r="AT68" s="13"/>
      <c r="AU68" s="202"/>
      <c r="AV68" s="13"/>
      <c r="AW68" s="13"/>
      <c r="AX68" s="13"/>
      <c r="AY68" s="13"/>
      <c r="AZ68" s="13"/>
      <c r="BA68" s="202"/>
      <c r="BB68" s="13"/>
      <c r="BC68" s="13"/>
      <c r="BD68" s="13"/>
      <c r="BE68" s="13"/>
      <c r="BF68" s="13"/>
      <c r="BG68" s="202"/>
      <c r="BH68" s="13"/>
      <c r="BI68" s="13"/>
      <c r="BJ68" s="13"/>
      <c r="BK68" s="13"/>
      <c r="BL68" s="13"/>
      <c r="BM68" s="202"/>
      <c r="BN68" s="13"/>
      <c r="BO68" s="13"/>
      <c r="BP68" s="13"/>
      <c r="BQ68" s="13"/>
      <c r="BR68" s="13"/>
      <c r="BS68" s="202"/>
      <c r="BT68" s="13"/>
      <c r="BU68" s="13"/>
      <c r="BV68" s="13"/>
      <c r="BW68" s="13"/>
      <c r="BX68" s="13"/>
      <c r="BY68" s="202"/>
      <c r="BZ68" s="13"/>
      <c r="CA68" s="13"/>
      <c r="CB68" s="13"/>
      <c r="CC68" s="13"/>
      <c r="CD68" s="13"/>
      <c r="CE68" s="202"/>
      <c r="CF68" s="13"/>
      <c r="CG68" s="13"/>
      <c r="CH68" s="13"/>
      <c r="CI68" s="13"/>
      <c r="CJ68" s="13"/>
      <c r="CK68" s="202"/>
      <c r="CL68" s="13"/>
      <c r="CM68" s="13"/>
      <c r="CN68" s="13"/>
      <c r="CO68" s="13"/>
      <c r="CP68" s="13"/>
      <c r="CQ68" s="202"/>
      <c r="CR68" s="13"/>
      <c r="CS68" s="13"/>
      <c r="CT68" s="13"/>
      <c r="CU68" s="13"/>
      <c r="CV68" s="13"/>
      <c r="CW68" s="435" t="s">
        <v>516</v>
      </c>
      <c r="CX68" s="435"/>
      <c r="CY68" s="435"/>
      <c r="CZ68" s="435"/>
      <c r="DA68" s="435"/>
      <c r="DB68" s="435"/>
      <c r="DC68" s="202"/>
      <c r="DD68" s="13"/>
      <c r="DE68" s="13"/>
      <c r="DF68" s="13"/>
      <c r="DG68" s="13"/>
      <c r="DH68" s="13"/>
      <c r="DI68" s="202"/>
      <c r="DJ68" s="13"/>
      <c r="DK68" s="13"/>
      <c r="DL68" s="13"/>
      <c r="DM68" s="13"/>
      <c r="DN68" s="13"/>
      <c r="DO68" s="202"/>
      <c r="DP68" s="13"/>
      <c r="DQ68" s="13"/>
      <c r="DR68" s="13"/>
      <c r="DS68" s="13"/>
      <c r="DT68" s="13"/>
    </row>
    <row r="69" spans="2:124" ht="26" x14ac:dyDescent="0.35">
      <c r="B69" s="203" t="s">
        <v>427</v>
      </c>
      <c r="C69" s="203"/>
      <c r="D69" s="203"/>
      <c r="E69" s="204" t="s">
        <v>515</v>
      </c>
      <c r="F69" s="204" t="s">
        <v>428</v>
      </c>
      <c r="G69" s="204" t="s">
        <v>429</v>
      </c>
      <c r="H69" s="204" t="s">
        <v>430</v>
      </c>
      <c r="I69" s="204" t="s">
        <v>431</v>
      </c>
      <c r="J69" s="204" t="s">
        <v>432</v>
      </c>
      <c r="K69" s="326" t="s">
        <v>515</v>
      </c>
      <c r="L69" s="204" t="s">
        <v>428</v>
      </c>
      <c r="M69" s="204" t="s">
        <v>429</v>
      </c>
      <c r="N69" s="204" t="s">
        <v>430</v>
      </c>
      <c r="O69" s="204" t="s">
        <v>431</v>
      </c>
      <c r="P69" s="204" t="s">
        <v>432</v>
      </c>
      <c r="Q69" s="204" t="s">
        <v>515</v>
      </c>
      <c r="R69" s="204" t="s">
        <v>428</v>
      </c>
      <c r="S69" s="204" t="s">
        <v>429</v>
      </c>
      <c r="T69" s="204" t="s">
        <v>430</v>
      </c>
      <c r="U69" s="204" t="s">
        <v>431</v>
      </c>
      <c r="V69" s="204" t="s">
        <v>432</v>
      </c>
      <c r="W69" s="204" t="s">
        <v>515</v>
      </c>
      <c r="X69" s="204" t="s">
        <v>428</v>
      </c>
      <c r="Y69" s="204" t="s">
        <v>429</v>
      </c>
      <c r="Z69" s="204" t="s">
        <v>430</v>
      </c>
      <c r="AA69" s="204" t="s">
        <v>431</v>
      </c>
      <c r="AB69" s="204" t="s">
        <v>432</v>
      </c>
      <c r="AC69" s="204" t="s">
        <v>515</v>
      </c>
      <c r="AD69" s="204" t="s">
        <v>428</v>
      </c>
      <c r="AE69" s="204" t="s">
        <v>429</v>
      </c>
      <c r="AF69" s="204" t="s">
        <v>430</v>
      </c>
      <c r="AG69" s="204" t="s">
        <v>431</v>
      </c>
      <c r="AH69" s="204" t="s">
        <v>432</v>
      </c>
      <c r="AI69" s="204" t="s">
        <v>515</v>
      </c>
      <c r="AJ69" s="204" t="s">
        <v>428</v>
      </c>
      <c r="AK69" s="204" t="s">
        <v>429</v>
      </c>
      <c r="AL69" s="204" t="s">
        <v>430</v>
      </c>
      <c r="AM69" s="204" t="s">
        <v>431</v>
      </c>
      <c r="AN69" s="204" t="s">
        <v>432</v>
      </c>
      <c r="AO69" s="204" t="s">
        <v>515</v>
      </c>
      <c r="AP69" s="204" t="s">
        <v>428</v>
      </c>
      <c r="AQ69" s="204" t="s">
        <v>429</v>
      </c>
      <c r="AR69" s="204" t="s">
        <v>430</v>
      </c>
      <c r="AS69" s="204" t="s">
        <v>431</v>
      </c>
      <c r="AT69" s="204" t="s">
        <v>432</v>
      </c>
      <c r="AU69" s="204" t="s">
        <v>515</v>
      </c>
      <c r="AV69" s="204" t="s">
        <v>428</v>
      </c>
      <c r="AW69" s="204" t="s">
        <v>429</v>
      </c>
      <c r="AX69" s="204" t="s">
        <v>430</v>
      </c>
      <c r="AY69" s="204" t="s">
        <v>431</v>
      </c>
      <c r="AZ69" s="204" t="s">
        <v>432</v>
      </c>
      <c r="BA69" s="204" t="s">
        <v>515</v>
      </c>
      <c r="BB69" s="204" t="s">
        <v>428</v>
      </c>
      <c r="BC69" s="204" t="s">
        <v>429</v>
      </c>
      <c r="BD69" s="204" t="s">
        <v>430</v>
      </c>
      <c r="BE69" s="204" t="s">
        <v>431</v>
      </c>
      <c r="BF69" s="204" t="s">
        <v>432</v>
      </c>
      <c r="BG69" s="204" t="s">
        <v>515</v>
      </c>
      <c r="BH69" s="204" t="s">
        <v>428</v>
      </c>
      <c r="BI69" s="204" t="s">
        <v>429</v>
      </c>
      <c r="BJ69" s="204" t="s">
        <v>430</v>
      </c>
      <c r="BK69" s="204" t="s">
        <v>431</v>
      </c>
      <c r="BL69" s="204" t="s">
        <v>432</v>
      </c>
      <c r="BM69" s="204" t="s">
        <v>515</v>
      </c>
      <c r="BN69" s="204" t="s">
        <v>428</v>
      </c>
      <c r="BO69" s="204" t="s">
        <v>429</v>
      </c>
      <c r="BP69" s="204" t="s">
        <v>430</v>
      </c>
      <c r="BQ69" s="204" t="s">
        <v>431</v>
      </c>
      <c r="BR69" s="204" t="s">
        <v>432</v>
      </c>
      <c r="BS69" s="204" t="s">
        <v>515</v>
      </c>
      <c r="BT69" s="204" t="s">
        <v>428</v>
      </c>
      <c r="BU69" s="204" t="s">
        <v>429</v>
      </c>
      <c r="BV69" s="204" t="s">
        <v>430</v>
      </c>
      <c r="BW69" s="204" t="s">
        <v>431</v>
      </c>
      <c r="BX69" s="204" t="s">
        <v>432</v>
      </c>
      <c r="BY69" s="204" t="s">
        <v>515</v>
      </c>
      <c r="BZ69" s="204" t="s">
        <v>428</v>
      </c>
      <c r="CA69" s="204" t="s">
        <v>429</v>
      </c>
      <c r="CB69" s="204" t="s">
        <v>430</v>
      </c>
      <c r="CC69" s="204" t="s">
        <v>431</v>
      </c>
      <c r="CD69" s="204" t="s">
        <v>432</v>
      </c>
      <c r="CE69" s="204" t="s">
        <v>515</v>
      </c>
      <c r="CF69" s="204" t="s">
        <v>428</v>
      </c>
      <c r="CG69" s="204" t="s">
        <v>429</v>
      </c>
      <c r="CH69" s="204" t="s">
        <v>430</v>
      </c>
      <c r="CI69" s="204" t="s">
        <v>431</v>
      </c>
      <c r="CJ69" s="204" t="s">
        <v>432</v>
      </c>
      <c r="CK69" s="204" t="s">
        <v>515</v>
      </c>
      <c r="CL69" s="204" t="s">
        <v>428</v>
      </c>
      <c r="CM69" s="204" t="s">
        <v>429</v>
      </c>
      <c r="CN69" s="204" t="s">
        <v>430</v>
      </c>
      <c r="CO69" s="204" t="s">
        <v>431</v>
      </c>
      <c r="CP69" s="204" t="s">
        <v>432</v>
      </c>
      <c r="CQ69" s="204" t="s">
        <v>515</v>
      </c>
      <c r="CR69" s="204" t="s">
        <v>428</v>
      </c>
      <c r="CS69" s="204" t="s">
        <v>429</v>
      </c>
      <c r="CT69" s="204" t="s">
        <v>430</v>
      </c>
      <c r="CU69" s="204" t="s">
        <v>431</v>
      </c>
      <c r="CV69" s="204" t="s">
        <v>432</v>
      </c>
      <c r="CW69" s="202"/>
      <c r="CX69" s="13"/>
      <c r="CY69" s="13"/>
      <c r="CZ69" s="13"/>
      <c r="DA69" s="13"/>
      <c r="DB69" s="13"/>
      <c r="DC69" s="204" t="s">
        <v>515</v>
      </c>
      <c r="DD69" s="204" t="s">
        <v>428</v>
      </c>
      <c r="DE69" s="204" t="s">
        <v>429</v>
      </c>
      <c r="DF69" s="204" t="s">
        <v>430</v>
      </c>
      <c r="DG69" s="204" t="s">
        <v>431</v>
      </c>
      <c r="DH69" s="204" t="s">
        <v>432</v>
      </c>
      <c r="DI69" s="204" t="s">
        <v>515</v>
      </c>
      <c r="DJ69" s="204" t="s">
        <v>428</v>
      </c>
      <c r="DK69" s="204" t="s">
        <v>429</v>
      </c>
      <c r="DL69" s="204" t="s">
        <v>430</v>
      </c>
      <c r="DM69" s="204" t="s">
        <v>431</v>
      </c>
      <c r="DN69" s="204" t="s">
        <v>432</v>
      </c>
      <c r="DO69" s="204" t="s">
        <v>515</v>
      </c>
      <c r="DP69" s="204" t="s">
        <v>428</v>
      </c>
      <c r="DQ69" s="204" t="s">
        <v>429</v>
      </c>
      <c r="DR69" s="204" t="s">
        <v>430</v>
      </c>
      <c r="DS69" s="204" t="s">
        <v>431</v>
      </c>
      <c r="DT69" s="204" t="s">
        <v>432</v>
      </c>
    </row>
    <row r="70" spans="2:124" x14ac:dyDescent="0.35">
      <c r="B70" s="201" t="s">
        <v>433</v>
      </c>
      <c r="C70" s="13"/>
      <c r="D70" s="13"/>
      <c r="E70" s="202">
        <v>0</v>
      </c>
      <c r="F70" s="205">
        <f>IF(ISNUMBER(E70),E70*(G70/E$41+H70*(1+I70/E$28^0.3)),0)</f>
        <v>0</v>
      </c>
      <c r="G70" s="202">
        <v>800</v>
      </c>
      <c r="H70" s="202">
        <v>0.14000000000000001</v>
      </c>
      <c r="I70" s="202">
        <v>4</v>
      </c>
      <c r="J70" s="202" t="s">
        <v>434</v>
      </c>
      <c r="K70" s="324">
        <v>0</v>
      </c>
      <c r="L70" s="205">
        <f>IF(ISNUMBER(K70),K70*(M70/K$41+N70*(1+O70/K$28^0.3)),0)</f>
        <v>0</v>
      </c>
      <c r="M70" s="202">
        <v>800</v>
      </c>
      <c r="N70" s="202">
        <v>0.14000000000000001</v>
      </c>
      <c r="O70" s="202">
        <v>4</v>
      </c>
      <c r="P70" s="202" t="s">
        <v>434</v>
      </c>
      <c r="Q70" s="202">
        <v>0</v>
      </c>
      <c r="R70" s="205">
        <f>IF(ISNUMBER(Q70),Q70*(S70/Q$41+T70*(1+U70/Q$28^0.3)),0)</f>
        <v>0</v>
      </c>
      <c r="S70" s="202">
        <v>800</v>
      </c>
      <c r="T70" s="202">
        <v>0.14000000000000001</v>
      </c>
      <c r="U70" s="202">
        <v>4</v>
      </c>
      <c r="V70" s="202" t="s">
        <v>434</v>
      </c>
      <c r="W70" s="202">
        <v>0</v>
      </c>
      <c r="X70" s="205">
        <f>IF(ISNUMBER(W70),W70*(Y70/W$41+Z70*(1+AA70/W$28^0.3)),0)</f>
        <v>0</v>
      </c>
      <c r="Y70" s="202">
        <v>800</v>
      </c>
      <c r="Z70" s="202">
        <v>0.14000000000000001</v>
      </c>
      <c r="AA70" s="202">
        <v>4</v>
      </c>
      <c r="AB70" s="202" t="s">
        <v>434</v>
      </c>
      <c r="AC70" s="202">
        <v>0</v>
      </c>
      <c r="AD70" s="205">
        <f>IF(ISNUMBER(AC70),AC70*(AE70/AC$41+AF70*(1+AG70/AC$28^0.3)),0)</f>
        <v>0</v>
      </c>
      <c r="AE70" s="202">
        <v>800</v>
      </c>
      <c r="AF70" s="202">
        <v>0.14000000000000001</v>
      </c>
      <c r="AG70" s="202">
        <v>4</v>
      </c>
      <c r="AH70" s="202" t="s">
        <v>434</v>
      </c>
      <c r="AI70" s="202">
        <v>0</v>
      </c>
      <c r="AJ70" s="205">
        <f>IF(ISNUMBER(AI70),AI70*(AK70/AI$41+AL70*(1+AM70/AI$28^0.3)),0)</f>
        <v>0</v>
      </c>
      <c r="AK70" s="202">
        <v>800</v>
      </c>
      <c r="AL70" s="202">
        <v>0.14000000000000001</v>
      </c>
      <c r="AM70" s="202">
        <v>4</v>
      </c>
      <c r="AN70" s="202" t="s">
        <v>434</v>
      </c>
      <c r="AO70" s="202">
        <v>0</v>
      </c>
      <c r="AP70" s="205">
        <f>IF(ISNUMBER(AO70),AO70*(AQ70/AO$41+AR70*(1+AS70/AO$28^0.3)),0)</f>
        <v>0</v>
      </c>
      <c r="AQ70" s="202">
        <v>800</v>
      </c>
      <c r="AR70" s="202">
        <v>0.14000000000000001</v>
      </c>
      <c r="AS70" s="202">
        <v>4</v>
      </c>
      <c r="AT70" s="202" t="s">
        <v>434</v>
      </c>
      <c r="AU70" s="202">
        <v>0</v>
      </c>
      <c r="AV70" s="205">
        <f>IF(ISNUMBER(AU70),AU70*(AW70/AU$41+AX70*(1+AY70/AU$28^0.3)),0)</f>
        <v>0</v>
      </c>
      <c r="AW70" s="202">
        <v>800</v>
      </c>
      <c r="AX70" s="202">
        <v>0.14000000000000001</v>
      </c>
      <c r="AY70" s="202">
        <v>4</v>
      </c>
      <c r="AZ70" s="202" t="s">
        <v>434</v>
      </c>
      <c r="BA70" s="202">
        <v>0</v>
      </c>
      <c r="BB70" s="205">
        <f>IF(ISNUMBER(BA70),BA70*(BC70/BA$41+BD70*(1+BE70/BA$28^0.3)),0)</f>
        <v>0</v>
      </c>
      <c r="BC70" s="202">
        <v>800</v>
      </c>
      <c r="BD70" s="202">
        <v>0.14000000000000001</v>
      </c>
      <c r="BE70" s="202">
        <v>4</v>
      </c>
      <c r="BF70" s="202" t="s">
        <v>434</v>
      </c>
      <c r="BG70" s="202">
        <v>0</v>
      </c>
      <c r="BH70" s="205">
        <f>IF(ISNUMBER(BG70),BG70*(BI70/BG$41+BJ70*(1+BK70/BG$28^0.3)),0)</f>
        <v>0</v>
      </c>
      <c r="BI70" s="202">
        <v>800</v>
      </c>
      <c r="BJ70" s="202">
        <v>0.14000000000000001</v>
      </c>
      <c r="BK70" s="202">
        <v>4</v>
      </c>
      <c r="BL70" s="202" t="s">
        <v>434</v>
      </c>
      <c r="BM70" s="202">
        <v>0</v>
      </c>
      <c r="BN70" s="205">
        <f>IF(ISNUMBER(BM70),BM70*(BO70/BM$41+BP70*(1+BQ70/BM$28^0.3)),0)</f>
        <v>0</v>
      </c>
      <c r="BO70" s="202">
        <v>800</v>
      </c>
      <c r="BP70" s="202">
        <v>0.14000000000000001</v>
      </c>
      <c r="BQ70" s="202">
        <v>4</v>
      </c>
      <c r="BR70" s="202" t="s">
        <v>434</v>
      </c>
      <c r="BS70" s="202">
        <v>0</v>
      </c>
      <c r="BT70" s="205">
        <f>IF(ISNUMBER(BS70),BS70*(BU70/BS$41+BV70*(1+BW70/BS$28^0.3)),0)</f>
        <v>0</v>
      </c>
      <c r="BU70" s="202">
        <v>800</v>
      </c>
      <c r="BV70" s="202">
        <v>0.14000000000000001</v>
      </c>
      <c r="BW70" s="202">
        <v>4</v>
      </c>
      <c r="BX70" s="202" t="s">
        <v>434</v>
      </c>
      <c r="BY70" s="202">
        <v>0</v>
      </c>
      <c r="BZ70" s="205">
        <f>IF(ISNUMBER(BY70),BY70*(CA70/BY$41+CB70*(1+CC70/BY$28^0.3)),0)</f>
        <v>0</v>
      </c>
      <c r="CA70" s="202">
        <v>800</v>
      </c>
      <c r="CB70" s="202">
        <v>0.14000000000000001</v>
      </c>
      <c r="CC70" s="202">
        <v>4</v>
      </c>
      <c r="CD70" s="202" t="s">
        <v>434</v>
      </c>
      <c r="CE70" s="202">
        <v>0</v>
      </c>
      <c r="CF70" s="205">
        <f>IF(ISNUMBER(CE70),CE70*(CG70/CE$41+CH70*(1+CI70/CE$28^0.3)),0)</f>
        <v>0</v>
      </c>
      <c r="CG70" s="202">
        <v>800</v>
      </c>
      <c r="CH70" s="202">
        <v>0.14000000000000001</v>
      </c>
      <c r="CI70" s="202">
        <v>4</v>
      </c>
      <c r="CJ70" s="202" t="s">
        <v>434</v>
      </c>
      <c r="CK70" s="202">
        <v>0</v>
      </c>
      <c r="CL70" s="205">
        <f>IF(ISNUMBER(CK70),CK70*(CM70/CK$41+CN70*(1+CO70/CK$28^0.3)),0)</f>
        <v>0</v>
      </c>
      <c r="CM70" s="202">
        <v>800</v>
      </c>
      <c r="CN70" s="202">
        <v>0.14000000000000001</v>
      </c>
      <c r="CO70" s="202">
        <v>4</v>
      </c>
      <c r="CP70" s="202" t="s">
        <v>434</v>
      </c>
      <c r="CQ70" s="202">
        <v>0</v>
      </c>
      <c r="CR70" s="205">
        <f>IF(ISNUMBER(CQ70),CQ70*(CS70/CQ$41+CT70*(1+CU70/CQ$28^0.3)),0)</f>
        <v>0</v>
      </c>
      <c r="CS70" s="202">
        <v>800</v>
      </c>
      <c r="CT70" s="202">
        <v>0.14000000000000001</v>
      </c>
      <c r="CU70" s="202">
        <v>4</v>
      </c>
      <c r="CV70" s="202" t="s">
        <v>434</v>
      </c>
      <c r="CW70" s="204" t="s">
        <v>515</v>
      </c>
      <c r="CX70" s="204" t="s">
        <v>428</v>
      </c>
      <c r="CY70" s="204" t="s">
        <v>429</v>
      </c>
      <c r="CZ70" s="204" t="s">
        <v>430</v>
      </c>
      <c r="DA70" s="204" t="s">
        <v>431</v>
      </c>
      <c r="DB70" s="204" t="s">
        <v>432</v>
      </c>
      <c r="DC70" s="202">
        <v>0</v>
      </c>
      <c r="DD70" s="205">
        <f>IF(ISNUMBER(DC70),DC70*(DE70/DC$41+DF70*(1+DG70/DC$28^0.3)),0)</f>
        <v>0</v>
      </c>
      <c r="DE70" s="202">
        <v>800</v>
      </c>
      <c r="DF70" s="202">
        <v>0.14000000000000001</v>
      </c>
      <c r="DG70" s="202">
        <v>4</v>
      </c>
      <c r="DH70" s="202" t="s">
        <v>434</v>
      </c>
      <c r="DI70" s="202">
        <v>0</v>
      </c>
      <c r="DJ70" s="205">
        <f>IF(ISNUMBER(DI70),DI70*(DK70/DI$41+DL70*(1+DM70/DI$28^0.3)),0)</f>
        <v>0</v>
      </c>
      <c r="DK70" s="202">
        <v>800</v>
      </c>
      <c r="DL70" s="202">
        <v>0.14000000000000001</v>
      </c>
      <c r="DM70" s="202">
        <v>4</v>
      </c>
      <c r="DN70" s="202" t="s">
        <v>434</v>
      </c>
      <c r="DO70" s="202">
        <v>0</v>
      </c>
      <c r="DP70" s="205">
        <f>IF(ISNUMBER(DO70),DO70*(DQ70/DO$41+DR70*(1+DS70/DO$28^0.3)),0)</f>
        <v>0</v>
      </c>
      <c r="DQ70" s="202">
        <v>800</v>
      </c>
      <c r="DR70" s="202">
        <v>0.14000000000000001</v>
      </c>
      <c r="DS70" s="202">
        <v>4</v>
      </c>
      <c r="DT70" s="202" t="s">
        <v>434</v>
      </c>
    </row>
    <row r="71" spans="2:124" x14ac:dyDescent="0.35">
      <c r="B71" s="201" t="s">
        <v>435</v>
      </c>
      <c r="C71" s="13"/>
      <c r="D71" s="13"/>
      <c r="E71" s="202">
        <v>0</v>
      </c>
      <c r="F71" s="205">
        <f t="shared" ref="F71:F77" si="114">IF(ISNUMBER(E71),E71*(G71/E$41+H71*(1+I71/E$28^0.3)),0)</f>
        <v>0</v>
      </c>
      <c r="G71" s="202">
        <v>800</v>
      </c>
      <c r="H71" s="202">
        <v>7.0999999999999994E-2</v>
      </c>
      <c r="I71" s="202">
        <v>4.2</v>
      </c>
      <c r="J71" s="202" t="s">
        <v>434</v>
      </c>
      <c r="K71" s="324">
        <v>1</v>
      </c>
      <c r="L71" s="205">
        <f t="shared" ref="L71:L77" si="115">IF(ISNUMBER(K71),K71*(M71/K$41+N71*(1+O71/K$28^0.3)),0)</f>
        <v>0.24598943023181918</v>
      </c>
      <c r="M71" s="202">
        <v>800</v>
      </c>
      <c r="N71" s="202">
        <v>7.0999999999999994E-2</v>
      </c>
      <c r="O71" s="202">
        <v>4.2</v>
      </c>
      <c r="P71" s="202" t="s">
        <v>434</v>
      </c>
      <c r="Q71" s="202">
        <v>1</v>
      </c>
      <c r="R71" s="205">
        <f t="shared" ref="R71:R77" si="116">IF(ISNUMBER(Q71),Q71*(S71/Q$41+T71*(1+U71/Q$28^0.3)),0)</f>
        <v>0.24598943023181918</v>
      </c>
      <c r="S71" s="202">
        <v>800</v>
      </c>
      <c r="T71" s="202">
        <v>7.0999999999999994E-2</v>
      </c>
      <c r="U71" s="202">
        <v>4.2</v>
      </c>
      <c r="V71" s="202" t="s">
        <v>434</v>
      </c>
      <c r="W71" s="202">
        <v>1</v>
      </c>
      <c r="X71" s="205">
        <f t="shared" ref="X71:X77" si="117">IF(ISNUMBER(W71),W71*(Y71/W$41+Z71*(1+AA71/W$28^0.3)),0)</f>
        <v>0.24563297054361841</v>
      </c>
      <c r="Y71" s="202">
        <v>800</v>
      </c>
      <c r="Z71" s="202">
        <v>7.0999999999999994E-2</v>
      </c>
      <c r="AA71" s="202">
        <v>4.2</v>
      </c>
      <c r="AB71" s="202" t="s">
        <v>434</v>
      </c>
      <c r="AC71" s="202">
        <v>1</v>
      </c>
      <c r="AD71" s="205">
        <f t="shared" ref="AD71:AD77" si="118">IF(ISNUMBER(AC71),AC71*(AE71/AC$41+AF71*(1+AG71/AC$28^0.3)),0)</f>
        <v>0.26802228124271871</v>
      </c>
      <c r="AE71" s="202">
        <v>800</v>
      </c>
      <c r="AF71" s="202">
        <v>7.0999999999999994E-2</v>
      </c>
      <c r="AG71" s="202">
        <v>4.2</v>
      </c>
      <c r="AH71" s="202" t="s">
        <v>434</v>
      </c>
      <c r="AI71" s="202">
        <v>1</v>
      </c>
      <c r="AJ71" s="205">
        <f t="shared" ref="AJ71:AJ77" si="119">IF(ISNUMBER(AI71),AI71*(AK71/AI$41+AL71*(1+AM71/AI$28^0.3)),0)</f>
        <v>0.26802228124271871</v>
      </c>
      <c r="AK71" s="202">
        <v>800</v>
      </c>
      <c r="AL71" s="202">
        <v>7.0999999999999994E-2</v>
      </c>
      <c r="AM71" s="202">
        <v>4.2</v>
      </c>
      <c r="AN71" s="202" t="s">
        <v>434</v>
      </c>
      <c r="AO71" s="202">
        <v>1</v>
      </c>
      <c r="AP71" s="205">
        <f t="shared" ref="AP71:AP77" si="120">IF(ISNUMBER(AO71),AO71*(AQ71/AO$41+AR71*(1+AS71/AO$28^0.3)),0)</f>
        <v>0.26802228124271871</v>
      </c>
      <c r="AQ71" s="202">
        <v>800</v>
      </c>
      <c r="AR71" s="202">
        <v>7.0999999999999994E-2</v>
      </c>
      <c r="AS71" s="202">
        <v>4.2</v>
      </c>
      <c r="AT71" s="202" t="s">
        <v>434</v>
      </c>
      <c r="AU71" s="202">
        <v>1</v>
      </c>
      <c r="AV71" s="205">
        <f t="shared" ref="AV71:AV77" si="121">IF(ISNUMBER(AU71),AU71*(AW71/AU$41+AX71*(1+AY71/AU$28^0.3)),0)</f>
        <v>0.26802236315328831</v>
      </c>
      <c r="AW71" s="202">
        <v>800</v>
      </c>
      <c r="AX71" s="202">
        <v>7.0999999999999994E-2</v>
      </c>
      <c r="AY71" s="202">
        <v>4.2</v>
      </c>
      <c r="AZ71" s="202" t="s">
        <v>434</v>
      </c>
      <c r="BA71" s="202">
        <v>1</v>
      </c>
      <c r="BB71" s="205">
        <f t="shared" ref="BB71:BB77" si="122">IF(ISNUMBER(BA71),BA71*(BC71/BA$41+BD71*(1+BE71/BA$28^0.3)),0)</f>
        <v>0.26802236315328831</v>
      </c>
      <c r="BC71" s="202">
        <v>800</v>
      </c>
      <c r="BD71" s="202">
        <v>7.0999999999999994E-2</v>
      </c>
      <c r="BE71" s="202">
        <v>4.2</v>
      </c>
      <c r="BF71" s="202" t="s">
        <v>434</v>
      </c>
      <c r="BG71" s="202">
        <v>1</v>
      </c>
      <c r="BH71" s="205">
        <f t="shared" ref="BH71:BH77" si="123">IF(ISNUMBER(BG71),BG71*(BI71/BG$41+BJ71*(1+BK71/BG$28^0.3)),0)</f>
        <v>0.26802236315328831</v>
      </c>
      <c r="BI71" s="202">
        <v>800</v>
      </c>
      <c r="BJ71" s="202">
        <v>7.0999999999999994E-2</v>
      </c>
      <c r="BK71" s="202">
        <v>4.2</v>
      </c>
      <c r="BL71" s="202" t="s">
        <v>434</v>
      </c>
      <c r="BM71" s="202">
        <v>1</v>
      </c>
      <c r="BN71" s="205">
        <f t="shared" ref="BN71:BN77" si="124">IF(ISNUMBER(BM71),BM71*(BO71/BM$41+BP71*(1+BQ71/BM$28^0.3)),0)</f>
        <v>0.23242947780274623</v>
      </c>
      <c r="BO71" s="202">
        <v>800</v>
      </c>
      <c r="BP71" s="202">
        <v>7.0999999999999994E-2</v>
      </c>
      <c r="BQ71" s="202">
        <v>4.2</v>
      </c>
      <c r="BR71" s="202" t="s">
        <v>434</v>
      </c>
      <c r="BS71" s="202">
        <v>1</v>
      </c>
      <c r="BT71" s="205">
        <f t="shared" ref="BT71:BT77" si="125">IF(ISNUMBER(BS71),BS71*(BU71/BS$41+BV71*(1+BW71/BS$28^0.3)),0)</f>
        <v>0.23203778836456096</v>
      </c>
      <c r="BU71" s="202">
        <v>800</v>
      </c>
      <c r="BV71" s="202">
        <v>7.0999999999999994E-2</v>
      </c>
      <c r="BW71" s="202">
        <v>4.2</v>
      </c>
      <c r="BX71" s="202" t="s">
        <v>434</v>
      </c>
      <c r="BY71" s="202">
        <v>1</v>
      </c>
      <c r="BZ71" s="205">
        <f t="shared" ref="BZ71:BZ77" si="126">IF(ISNUMBER(BY71),BY71*(CA71/BY$41+CB71*(1+CC71/BY$28^0.3)),0)</f>
        <v>0.26836231147772066</v>
      </c>
      <c r="CA71" s="202">
        <v>800</v>
      </c>
      <c r="CB71" s="202">
        <v>7.0999999999999994E-2</v>
      </c>
      <c r="CC71" s="202">
        <v>4.2</v>
      </c>
      <c r="CD71" s="202" t="s">
        <v>434</v>
      </c>
      <c r="CE71" s="202">
        <v>1</v>
      </c>
      <c r="CF71" s="205">
        <f t="shared" ref="CF71:CF77" si="127">IF(ISNUMBER(CE71),CE71*(CG71/CE$41+CH71*(1+CI71/CE$28^0.3)),0)</f>
        <v>0.26836231147772066</v>
      </c>
      <c r="CG71" s="202">
        <v>800</v>
      </c>
      <c r="CH71" s="202">
        <v>7.0999999999999994E-2</v>
      </c>
      <c r="CI71" s="202">
        <v>4.2</v>
      </c>
      <c r="CJ71" s="202" t="s">
        <v>434</v>
      </c>
      <c r="CK71" s="202">
        <v>1</v>
      </c>
      <c r="CL71" s="205">
        <f t="shared" ref="CL71:CL77" si="128">IF(ISNUMBER(CK71),CK71*(CM71/CK$41+CN71*(1+CO71/CK$28^0.3)),0)</f>
        <v>0.2864963447299293</v>
      </c>
      <c r="CM71" s="202">
        <v>800</v>
      </c>
      <c r="CN71" s="202">
        <v>7.0999999999999994E-2</v>
      </c>
      <c r="CO71" s="202">
        <v>4.2</v>
      </c>
      <c r="CP71" s="202" t="s">
        <v>434</v>
      </c>
      <c r="CQ71" s="202">
        <v>1</v>
      </c>
      <c r="CR71" s="205">
        <f t="shared" ref="CR71:CR77" si="129">IF(ISNUMBER(CQ71),CQ71*(CS71/CQ$41+CT71*(1+CU71/CQ$28^0.3)),0)</f>
        <v>0.2864963447299293</v>
      </c>
      <c r="CS71" s="202">
        <v>800</v>
      </c>
      <c r="CT71" s="202">
        <v>7.0999999999999994E-2</v>
      </c>
      <c r="CU71" s="202">
        <v>4.2</v>
      </c>
      <c r="CV71" s="202" t="s">
        <v>434</v>
      </c>
      <c r="CW71" s="202">
        <v>0</v>
      </c>
      <c r="CX71" s="205">
        <f>IF(ISNUMBER(CW71),CW71*(CY71/CW$41+CZ71*(1+DA71/CW$28^0.3)),0)</f>
        <v>0</v>
      </c>
      <c r="CY71" s="202">
        <v>800</v>
      </c>
      <c r="CZ71" s="202">
        <v>0.14000000000000001</v>
      </c>
      <c r="DA71" s="202">
        <v>4</v>
      </c>
      <c r="DB71" s="202" t="s">
        <v>434</v>
      </c>
      <c r="DC71" s="202">
        <v>1</v>
      </c>
      <c r="DD71" s="205">
        <f t="shared" ref="DD71:DD77" si="130">IF(ISNUMBER(DC71),DC71*(DE71/DC$41+DF71*(1+DG71/DC$28^0.3)),0)</f>
        <v>0.2864963447299293</v>
      </c>
      <c r="DE71" s="202">
        <v>800</v>
      </c>
      <c r="DF71" s="202">
        <v>7.0999999999999994E-2</v>
      </c>
      <c r="DG71" s="202">
        <v>4.2</v>
      </c>
      <c r="DH71" s="202" t="s">
        <v>434</v>
      </c>
      <c r="DI71" s="202">
        <v>1</v>
      </c>
      <c r="DJ71" s="205">
        <f t="shared" ref="DJ71:DJ77" si="131">IF(ISNUMBER(DI71),DI71*(DK71/DI$41+DL71*(1+DM71/DI$28^0.3)),0)</f>
        <v>0.28649634472992935</v>
      </c>
      <c r="DK71" s="202">
        <v>800</v>
      </c>
      <c r="DL71" s="202">
        <v>7.0999999999999994E-2</v>
      </c>
      <c r="DM71" s="202">
        <v>4.2</v>
      </c>
      <c r="DN71" s="202" t="s">
        <v>434</v>
      </c>
      <c r="DO71" s="202">
        <v>1</v>
      </c>
      <c r="DP71" s="205">
        <f t="shared" ref="DP71:DP77" si="132">IF(ISNUMBER(DO71),DO71*(DQ71/DO$41+DR71*(1+DS71/DO$28^0.3)),0)</f>
        <v>3.2934661352849202</v>
      </c>
      <c r="DQ71" s="202">
        <v>800</v>
      </c>
      <c r="DR71" s="202">
        <v>7.0999999999999994E-2</v>
      </c>
      <c r="DS71" s="202">
        <v>4.2</v>
      </c>
      <c r="DT71" s="202" t="s">
        <v>434</v>
      </c>
    </row>
    <row r="72" spans="2:124" x14ac:dyDescent="0.35">
      <c r="B72" s="201" t="s">
        <v>436</v>
      </c>
      <c r="C72" s="13"/>
      <c r="D72" s="13"/>
      <c r="E72" s="202">
        <v>4</v>
      </c>
      <c r="F72" s="205">
        <f t="shared" si="114"/>
        <v>1.2177165258529157</v>
      </c>
      <c r="G72" s="202">
        <v>800</v>
      </c>
      <c r="H72" s="202">
        <v>9.0999999999999998E-2</v>
      </c>
      <c r="I72" s="202">
        <v>4</v>
      </c>
      <c r="J72" s="202" t="s">
        <v>434</v>
      </c>
      <c r="K72" s="324">
        <v>0</v>
      </c>
      <c r="L72" s="205">
        <f t="shared" si="115"/>
        <v>0</v>
      </c>
      <c r="M72" s="202">
        <v>800</v>
      </c>
      <c r="N72" s="202">
        <v>9.0999999999999998E-2</v>
      </c>
      <c r="O72" s="202">
        <v>4</v>
      </c>
      <c r="P72" s="202" t="s">
        <v>434</v>
      </c>
      <c r="Q72" s="202">
        <v>0</v>
      </c>
      <c r="R72" s="205">
        <f t="shared" si="116"/>
        <v>0</v>
      </c>
      <c r="S72" s="202">
        <v>800</v>
      </c>
      <c r="T72" s="202">
        <v>9.0999999999999998E-2</v>
      </c>
      <c r="U72" s="202">
        <v>4</v>
      </c>
      <c r="V72" s="202" t="s">
        <v>434</v>
      </c>
      <c r="W72" s="202">
        <v>0</v>
      </c>
      <c r="X72" s="205">
        <f t="shared" si="117"/>
        <v>0</v>
      </c>
      <c r="Y72" s="202">
        <v>800</v>
      </c>
      <c r="Z72" s="202">
        <v>9.0999999999999998E-2</v>
      </c>
      <c r="AA72" s="202">
        <v>4</v>
      </c>
      <c r="AB72" s="202" t="s">
        <v>434</v>
      </c>
      <c r="AC72" s="202">
        <v>0</v>
      </c>
      <c r="AD72" s="205">
        <f t="shared" si="118"/>
        <v>0</v>
      </c>
      <c r="AE72" s="202">
        <v>800</v>
      </c>
      <c r="AF72" s="202">
        <v>9.0999999999999998E-2</v>
      </c>
      <c r="AG72" s="202">
        <v>4</v>
      </c>
      <c r="AH72" s="202" t="s">
        <v>434</v>
      </c>
      <c r="AI72" s="202">
        <v>0</v>
      </c>
      <c r="AJ72" s="205">
        <f t="shared" si="119"/>
        <v>0</v>
      </c>
      <c r="AK72" s="202">
        <v>800</v>
      </c>
      <c r="AL72" s="202">
        <v>9.0999999999999998E-2</v>
      </c>
      <c r="AM72" s="202">
        <v>4</v>
      </c>
      <c r="AN72" s="202" t="s">
        <v>434</v>
      </c>
      <c r="AO72" s="202">
        <v>0</v>
      </c>
      <c r="AP72" s="205">
        <f t="shared" si="120"/>
        <v>0</v>
      </c>
      <c r="AQ72" s="202">
        <v>800</v>
      </c>
      <c r="AR72" s="202">
        <v>9.0999999999999998E-2</v>
      </c>
      <c r="AS72" s="202">
        <v>4</v>
      </c>
      <c r="AT72" s="202" t="s">
        <v>434</v>
      </c>
      <c r="AU72" s="202">
        <v>0</v>
      </c>
      <c r="AV72" s="205">
        <f t="shared" si="121"/>
        <v>0</v>
      </c>
      <c r="AW72" s="202">
        <v>800</v>
      </c>
      <c r="AX72" s="202">
        <v>9.0999999999999998E-2</v>
      </c>
      <c r="AY72" s="202">
        <v>4</v>
      </c>
      <c r="AZ72" s="202" t="s">
        <v>434</v>
      </c>
      <c r="BA72" s="202">
        <v>0</v>
      </c>
      <c r="BB72" s="205">
        <f t="shared" si="122"/>
        <v>0</v>
      </c>
      <c r="BC72" s="202">
        <v>800</v>
      </c>
      <c r="BD72" s="202">
        <v>9.0999999999999998E-2</v>
      </c>
      <c r="BE72" s="202">
        <v>4</v>
      </c>
      <c r="BF72" s="202" t="s">
        <v>434</v>
      </c>
      <c r="BG72" s="202">
        <v>0</v>
      </c>
      <c r="BH72" s="205">
        <f t="shared" si="123"/>
        <v>0</v>
      </c>
      <c r="BI72" s="202">
        <v>800</v>
      </c>
      <c r="BJ72" s="202">
        <v>9.0999999999999998E-2</v>
      </c>
      <c r="BK72" s="202">
        <v>4</v>
      </c>
      <c r="BL72" s="202" t="s">
        <v>434</v>
      </c>
      <c r="BM72" s="202">
        <v>0</v>
      </c>
      <c r="BN72" s="205">
        <f t="shared" si="124"/>
        <v>0</v>
      </c>
      <c r="BO72" s="202">
        <v>800</v>
      </c>
      <c r="BP72" s="202">
        <v>9.0999999999999998E-2</v>
      </c>
      <c r="BQ72" s="202">
        <v>4</v>
      </c>
      <c r="BR72" s="202" t="s">
        <v>434</v>
      </c>
      <c r="BS72" s="202">
        <v>0</v>
      </c>
      <c r="BT72" s="205">
        <f t="shared" si="125"/>
        <v>0</v>
      </c>
      <c r="BU72" s="202">
        <v>800</v>
      </c>
      <c r="BV72" s="202">
        <v>9.0999999999999998E-2</v>
      </c>
      <c r="BW72" s="202">
        <v>4</v>
      </c>
      <c r="BX72" s="202" t="s">
        <v>434</v>
      </c>
      <c r="BY72" s="202">
        <v>0</v>
      </c>
      <c r="BZ72" s="205">
        <f t="shared" si="126"/>
        <v>0</v>
      </c>
      <c r="CA72" s="202">
        <v>800</v>
      </c>
      <c r="CB72" s="202">
        <v>9.0999999999999998E-2</v>
      </c>
      <c r="CC72" s="202">
        <v>4</v>
      </c>
      <c r="CD72" s="202" t="s">
        <v>434</v>
      </c>
      <c r="CE72" s="202">
        <v>0</v>
      </c>
      <c r="CF72" s="205">
        <f t="shared" si="127"/>
        <v>0</v>
      </c>
      <c r="CG72" s="202">
        <v>800</v>
      </c>
      <c r="CH72" s="202">
        <v>9.0999999999999998E-2</v>
      </c>
      <c r="CI72" s="202">
        <v>4</v>
      </c>
      <c r="CJ72" s="202" t="s">
        <v>434</v>
      </c>
      <c r="CK72" s="202">
        <v>0</v>
      </c>
      <c r="CL72" s="205">
        <f t="shared" si="128"/>
        <v>0</v>
      </c>
      <c r="CM72" s="202">
        <v>800</v>
      </c>
      <c r="CN72" s="202">
        <v>9.0999999999999998E-2</v>
      </c>
      <c r="CO72" s="202">
        <v>4</v>
      </c>
      <c r="CP72" s="202" t="s">
        <v>434</v>
      </c>
      <c r="CQ72" s="202">
        <v>0</v>
      </c>
      <c r="CR72" s="205">
        <f t="shared" si="129"/>
        <v>0</v>
      </c>
      <c r="CS72" s="202">
        <v>800</v>
      </c>
      <c r="CT72" s="202">
        <v>9.0999999999999998E-2</v>
      </c>
      <c r="CU72" s="202">
        <v>4</v>
      </c>
      <c r="CV72" s="202" t="s">
        <v>434</v>
      </c>
      <c r="CW72" s="202">
        <v>1</v>
      </c>
      <c r="CX72" s="205">
        <f t="shared" ref="CX72:CX78" si="133">IF(ISNUMBER(CW72),CW72*(CY72/CW$41+CZ72*(1+DA72/CW$28^0.3)),0)</f>
        <v>0.2864963447299293</v>
      </c>
      <c r="CY72" s="202">
        <v>800</v>
      </c>
      <c r="CZ72" s="202">
        <v>7.0999999999999994E-2</v>
      </c>
      <c r="DA72" s="202">
        <v>4.2</v>
      </c>
      <c r="DB72" s="202" t="s">
        <v>434</v>
      </c>
      <c r="DC72" s="202">
        <v>0</v>
      </c>
      <c r="DD72" s="205">
        <f t="shared" si="130"/>
        <v>0</v>
      </c>
      <c r="DE72" s="202">
        <v>800</v>
      </c>
      <c r="DF72" s="202">
        <v>9.0999999999999998E-2</v>
      </c>
      <c r="DG72" s="202">
        <v>4</v>
      </c>
      <c r="DH72" s="202" t="s">
        <v>434</v>
      </c>
      <c r="DI72" s="202">
        <v>0</v>
      </c>
      <c r="DJ72" s="205">
        <f t="shared" si="131"/>
        <v>0</v>
      </c>
      <c r="DK72" s="202">
        <v>800</v>
      </c>
      <c r="DL72" s="202">
        <v>9.0999999999999998E-2</v>
      </c>
      <c r="DM72" s="202">
        <v>4</v>
      </c>
      <c r="DN72" s="202" t="s">
        <v>434</v>
      </c>
      <c r="DO72" s="202">
        <v>0</v>
      </c>
      <c r="DP72" s="205">
        <f t="shared" si="132"/>
        <v>0</v>
      </c>
      <c r="DQ72" s="202">
        <v>800</v>
      </c>
      <c r="DR72" s="202">
        <v>9.0999999999999998E-2</v>
      </c>
      <c r="DS72" s="202">
        <v>4</v>
      </c>
      <c r="DT72" s="202" t="s">
        <v>434</v>
      </c>
    </row>
    <row r="73" spans="2:124" x14ac:dyDescent="0.35">
      <c r="B73" s="201" t="s">
        <v>437</v>
      </c>
      <c r="C73" s="13"/>
      <c r="D73" s="13"/>
      <c r="E73" s="202">
        <v>0</v>
      </c>
      <c r="F73" s="205">
        <f t="shared" si="114"/>
        <v>0</v>
      </c>
      <c r="G73" s="202">
        <v>800</v>
      </c>
      <c r="H73" s="202">
        <v>5.6000000000000001E-2</v>
      </c>
      <c r="I73" s="202">
        <v>3.9</v>
      </c>
      <c r="J73" s="202" t="s">
        <v>434</v>
      </c>
      <c r="K73" s="324">
        <v>0</v>
      </c>
      <c r="L73" s="205">
        <f t="shared" si="115"/>
        <v>0</v>
      </c>
      <c r="M73" s="202">
        <v>800</v>
      </c>
      <c r="N73" s="202">
        <v>5.6000000000000001E-2</v>
      </c>
      <c r="O73" s="202">
        <v>3.9</v>
      </c>
      <c r="P73" s="202" t="s">
        <v>434</v>
      </c>
      <c r="Q73" s="202">
        <v>0</v>
      </c>
      <c r="R73" s="205">
        <f t="shared" si="116"/>
        <v>0</v>
      </c>
      <c r="S73" s="202">
        <v>800</v>
      </c>
      <c r="T73" s="202">
        <v>5.6000000000000001E-2</v>
      </c>
      <c r="U73" s="202">
        <v>3.9</v>
      </c>
      <c r="V73" s="202" t="s">
        <v>434</v>
      </c>
      <c r="W73" s="202">
        <v>0</v>
      </c>
      <c r="X73" s="205">
        <f t="shared" si="117"/>
        <v>0</v>
      </c>
      <c r="Y73" s="202">
        <v>800</v>
      </c>
      <c r="Z73" s="202">
        <v>5.6000000000000001E-2</v>
      </c>
      <c r="AA73" s="202">
        <v>3.9</v>
      </c>
      <c r="AB73" s="202" t="s">
        <v>434</v>
      </c>
      <c r="AC73" s="202">
        <v>0</v>
      </c>
      <c r="AD73" s="205">
        <f t="shared" si="118"/>
        <v>0</v>
      </c>
      <c r="AE73" s="202">
        <v>800</v>
      </c>
      <c r="AF73" s="202">
        <v>5.6000000000000001E-2</v>
      </c>
      <c r="AG73" s="202">
        <v>3.9</v>
      </c>
      <c r="AH73" s="202" t="s">
        <v>434</v>
      </c>
      <c r="AI73" s="202">
        <v>0</v>
      </c>
      <c r="AJ73" s="205">
        <f t="shared" si="119"/>
        <v>0</v>
      </c>
      <c r="AK73" s="202">
        <v>800</v>
      </c>
      <c r="AL73" s="202">
        <v>5.6000000000000001E-2</v>
      </c>
      <c r="AM73" s="202">
        <v>3.9</v>
      </c>
      <c r="AN73" s="202" t="s">
        <v>434</v>
      </c>
      <c r="AO73" s="202">
        <v>0</v>
      </c>
      <c r="AP73" s="205">
        <f t="shared" si="120"/>
        <v>0</v>
      </c>
      <c r="AQ73" s="202">
        <v>800</v>
      </c>
      <c r="AR73" s="202">
        <v>5.6000000000000001E-2</v>
      </c>
      <c r="AS73" s="202">
        <v>3.9</v>
      </c>
      <c r="AT73" s="202" t="s">
        <v>434</v>
      </c>
      <c r="AU73" s="202">
        <v>0</v>
      </c>
      <c r="AV73" s="205">
        <f t="shared" si="121"/>
        <v>0</v>
      </c>
      <c r="AW73" s="202">
        <v>800</v>
      </c>
      <c r="AX73" s="202">
        <v>5.6000000000000001E-2</v>
      </c>
      <c r="AY73" s="202">
        <v>3.9</v>
      </c>
      <c r="AZ73" s="202" t="s">
        <v>434</v>
      </c>
      <c r="BA73" s="202">
        <v>0</v>
      </c>
      <c r="BB73" s="205">
        <f t="shared" si="122"/>
        <v>0</v>
      </c>
      <c r="BC73" s="202">
        <v>800</v>
      </c>
      <c r="BD73" s="202">
        <v>5.6000000000000001E-2</v>
      </c>
      <c r="BE73" s="202">
        <v>3.9</v>
      </c>
      <c r="BF73" s="202" t="s">
        <v>434</v>
      </c>
      <c r="BG73" s="202">
        <v>0</v>
      </c>
      <c r="BH73" s="205">
        <f t="shared" si="123"/>
        <v>0</v>
      </c>
      <c r="BI73" s="202">
        <v>800</v>
      </c>
      <c r="BJ73" s="202">
        <v>5.6000000000000001E-2</v>
      </c>
      <c r="BK73" s="202">
        <v>3.9</v>
      </c>
      <c r="BL73" s="202" t="s">
        <v>434</v>
      </c>
      <c r="BM73" s="202">
        <v>0</v>
      </c>
      <c r="BN73" s="205">
        <f t="shared" si="124"/>
        <v>0</v>
      </c>
      <c r="BO73" s="202">
        <v>800</v>
      </c>
      <c r="BP73" s="202">
        <v>5.6000000000000001E-2</v>
      </c>
      <c r="BQ73" s="202">
        <v>3.9</v>
      </c>
      <c r="BR73" s="202" t="s">
        <v>434</v>
      </c>
      <c r="BS73" s="202">
        <v>0</v>
      </c>
      <c r="BT73" s="205">
        <f t="shared" si="125"/>
        <v>0</v>
      </c>
      <c r="BU73" s="202">
        <v>800</v>
      </c>
      <c r="BV73" s="202">
        <v>5.6000000000000001E-2</v>
      </c>
      <c r="BW73" s="202">
        <v>3.9</v>
      </c>
      <c r="BX73" s="202" t="s">
        <v>434</v>
      </c>
      <c r="BY73" s="202">
        <v>0</v>
      </c>
      <c r="BZ73" s="205">
        <f t="shared" si="126"/>
        <v>0</v>
      </c>
      <c r="CA73" s="202">
        <v>800</v>
      </c>
      <c r="CB73" s="202">
        <v>5.6000000000000001E-2</v>
      </c>
      <c r="CC73" s="202">
        <v>3.9</v>
      </c>
      <c r="CD73" s="202" t="s">
        <v>434</v>
      </c>
      <c r="CE73" s="202">
        <v>0</v>
      </c>
      <c r="CF73" s="205">
        <f t="shared" si="127"/>
        <v>0</v>
      </c>
      <c r="CG73" s="202">
        <v>800</v>
      </c>
      <c r="CH73" s="202">
        <v>5.6000000000000001E-2</v>
      </c>
      <c r="CI73" s="202">
        <v>3.9</v>
      </c>
      <c r="CJ73" s="202" t="s">
        <v>434</v>
      </c>
      <c r="CK73" s="202">
        <v>0</v>
      </c>
      <c r="CL73" s="205">
        <f t="shared" si="128"/>
        <v>0</v>
      </c>
      <c r="CM73" s="202">
        <v>800</v>
      </c>
      <c r="CN73" s="202">
        <v>5.6000000000000001E-2</v>
      </c>
      <c r="CO73" s="202">
        <v>3.9</v>
      </c>
      <c r="CP73" s="202" t="s">
        <v>434</v>
      </c>
      <c r="CQ73" s="202">
        <v>0</v>
      </c>
      <c r="CR73" s="205">
        <f t="shared" si="129"/>
        <v>0</v>
      </c>
      <c r="CS73" s="202">
        <v>800</v>
      </c>
      <c r="CT73" s="202">
        <v>5.6000000000000001E-2</v>
      </c>
      <c r="CU73" s="202">
        <v>3.9</v>
      </c>
      <c r="CV73" s="202" t="s">
        <v>434</v>
      </c>
      <c r="CW73" s="202">
        <v>0</v>
      </c>
      <c r="CX73" s="205">
        <f t="shared" si="133"/>
        <v>0</v>
      </c>
      <c r="CY73" s="202">
        <v>800</v>
      </c>
      <c r="CZ73" s="202">
        <v>9.0999999999999998E-2</v>
      </c>
      <c r="DA73" s="202">
        <v>4</v>
      </c>
      <c r="DB73" s="202" t="s">
        <v>434</v>
      </c>
      <c r="DC73" s="202">
        <v>0</v>
      </c>
      <c r="DD73" s="205">
        <f t="shared" si="130"/>
        <v>0</v>
      </c>
      <c r="DE73" s="202">
        <v>800</v>
      </c>
      <c r="DF73" s="202">
        <v>5.6000000000000001E-2</v>
      </c>
      <c r="DG73" s="202">
        <v>3.9</v>
      </c>
      <c r="DH73" s="202" t="s">
        <v>434</v>
      </c>
      <c r="DI73" s="202">
        <v>0</v>
      </c>
      <c r="DJ73" s="205">
        <f t="shared" si="131"/>
        <v>0</v>
      </c>
      <c r="DK73" s="202">
        <v>800</v>
      </c>
      <c r="DL73" s="202">
        <v>5.6000000000000001E-2</v>
      </c>
      <c r="DM73" s="202">
        <v>3.9</v>
      </c>
      <c r="DN73" s="202" t="s">
        <v>434</v>
      </c>
      <c r="DO73" s="202">
        <v>0</v>
      </c>
      <c r="DP73" s="205">
        <f t="shared" si="132"/>
        <v>0</v>
      </c>
      <c r="DQ73" s="202">
        <v>800</v>
      </c>
      <c r="DR73" s="202">
        <v>5.6000000000000001E-2</v>
      </c>
      <c r="DS73" s="202">
        <v>3.9</v>
      </c>
      <c r="DT73" s="202" t="s">
        <v>434</v>
      </c>
    </row>
    <row r="74" spans="2:124" x14ac:dyDescent="0.35">
      <c r="B74" s="201" t="s">
        <v>438</v>
      </c>
      <c r="C74" s="13"/>
      <c r="D74" s="13"/>
      <c r="E74" s="202">
        <v>0</v>
      </c>
      <c r="F74" s="205">
        <f t="shared" si="114"/>
        <v>0</v>
      </c>
      <c r="G74" s="202">
        <v>800</v>
      </c>
      <c r="H74" s="202">
        <v>6.6000000000000003E-2</v>
      </c>
      <c r="I74" s="202">
        <v>3.9</v>
      </c>
      <c r="J74" s="202" t="s">
        <v>434</v>
      </c>
      <c r="K74" s="324">
        <v>0</v>
      </c>
      <c r="L74" s="205">
        <f t="shared" si="115"/>
        <v>0</v>
      </c>
      <c r="M74" s="202">
        <v>800</v>
      </c>
      <c r="N74" s="202">
        <v>6.6000000000000003E-2</v>
      </c>
      <c r="O74" s="202">
        <v>3.9</v>
      </c>
      <c r="P74" s="202" t="s">
        <v>434</v>
      </c>
      <c r="Q74" s="202">
        <v>0</v>
      </c>
      <c r="R74" s="205">
        <f t="shared" si="116"/>
        <v>0</v>
      </c>
      <c r="S74" s="202">
        <v>800</v>
      </c>
      <c r="T74" s="202">
        <v>6.6000000000000003E-2</v>
      </c>
      <c r="U74" s="202">
        <v>3.9</v>
      </c>
      <c r="V74" s="202" t="s">
        <v>434</v>
      </c>
      <c r="W74" s="202">
        <v>0</v>
      </c>
      <c r="X74" s="205">
        <f t="shared" si="117"/>
        <v>0</v>
      </c>
      <c r="Y74" s="202">
        <v>800</v>
      </c>
      <c r="Z74" s="202">
        <v>6.6000000000000003E-2</v>
      </c>
      <c r="AA74" s="202">
        <v>3.9</v>
      </c>
      <c r="AB74" s="202" t="s">
        <v>434</v>
      </c>
      <c r="AC74" s="202">
        <v>0</v>
      </c>
      <c r="AD74" s="205">
        <f t="shared" si="118"/>
        <v>0</v>
      </c>
      <c r="AE74" s="202">
        <v>800</v>
      </c>
      <c r="AF74" s="202">
        <v>6.6000000000000003E-2</v>
      </c>
      <c r="AG74" s="202">
        <v>3.9</v>
      </c>
      <c r="AH74" s="202" t="s">
        <v>434</v>
      </c>
      <c r="AI74" s="202">
        <v>0</v>
      </c>
      <c r="AJ74" s="205">
        <f t="shared" si="119"/>
        <v>0</v>
      </c>
      <c r="AK74" s="202">
        <v>800</v>
      </c>
      <c r="AL74" s="202">
        <v>6.6000000000000003E-2</v>
      </c>
      <c r="AM74" s="202">
        <v>3.9</v>
      </c>
      <c r="AN74" s="202" t="s">
        <v>434</v>
      </c>
      <c r="AO74" s="202">
        <v>0</v>
      </c>
      <c r="AP74" s="205">
        <f t="shared" si="120"/>
        <v>0</v>
      </c>
      <c r="AQ74" s="202">
        <v>800</v>
      </c>
      <c r="AR74" s="202">
        <v>6.6000000000000003E-2</v>
      </c>
      <c r="AS74" s="202">
        <v>3.9</v>
      </c>
      <c r="AT74" s="202" t="s">
        <v>434</v>
      </c>
      <c r="AU74" s="202">
        <v>0</v>
      </c>
      <c r="AV74" s="205">
        <f t="shared" si="121"/>
        <v>0</v>
      </c>
      <c r="AW74" s="202">
        <v>800</v>
      </c>
      <c r="AX74" s="202">
        <v>6.6000000000000003E-2</v>
      </c>
      <c r="AY74" s="202">
        <v>3.9</v>
      </c>
      <c r="AZ74" s="202" t="s">
        <v>434</v>
      </c>
      <c r="BA74" s="202">
        <v>0</v>
      </c>
      <c r="BB74" s="205">
        <f t="shared" si="122"/>
        <v>0</v>
      </c>
      <c r="BC74" s="202">
        <v>800</v>
      </c>
      <c r="BD74" s="202">
        <v>6.6000000000000003E-2</v>
      </c>
      <c r="BE74" s="202">
        <v>3.9</v>
      </c>
      <c r="BF74" s="202" t="s">
        <v>434</v>
      </c>
      <c r="BG74" s="202">
        <v>0</v>
      </c>
      <c r="BH74" s="205">
        <f t="shared" si="123"/>
        <v>0</v>
      </c>
      <c r="BI74" s="202">
        <v>800</v>
      </c>
      <c r="BJ74" s="202">
        <v>6.6000000000000003E-2</v>
      </c>
      <c r="BK74" s="202">
        <v>3.9</v>
      </c>
      <c r="BL74" s="202" t="s">
        <v>434</v>
      </c>
      <c r="BM74" s="202">
        <v>0</v>
      </c>
      <c r="BN74" s="205">
        <f t="shared" si="124"/>
        <v>0</v>
      </c>
      <c r="BO74" s="202">
        <v>800</v>
      </c>
      <c r="BP74" s="202">
        <v>6.6000000000000003E-2</v>
      </c>
      <c r="BQ74" s="202">
        <v>3.9</v>
      </c>
      <c r="BR74" s="202" t="s">
        <v>434</v>
      </c>
      <c r="BS74" s="202">
        <v>0</v>
      </c>
      <c r="BT74" s="205">
        <f t="shared" si="125"/>
        <v>0</v>
      </c>
      <c r="BU74" s="202">
        <v>800</v>
      </c>
      <c r="BV74" s="202">
        <v>6.6000000000000003E-2</v>
      </c>
      <c r="BW74" s="202">
        <v>3.9</v>
      </c>
      <c r="BX74" s="202" t="s">
        <v>434</v>
      </c>
      <c r="BY74" s="202">
        <v>0</v>
      </c>
      <c r="BZ74" s="205">
        <f t="shared" si="126"/>
        <v>0</v>
      </c>
      <c r="CA74" s="202">
        <v>800</v>
      </c>
      <c r="CB74" s="202">
        <v>6.6000000000000003E-2</v>
      </c>
      <c r="CC74" s="202">
        <v>3.9</v>
      </c>
      <c r="CD74" s="202" t="s">
        <v>434</v>
      </c>
      <c r="CE74" s="202">
        <v>0</v>
      </c>
      <c r="CF74" s="205">
        <f t="shared" si="127"/>
        <v>0</v>
      </c>
      <c r="CG74" s="202">
        <v>800</v>
      </c>
      <c r="CH74" s="202">
        <v>6.6000000000000003E-2</v>
      </c>
      <c r="CI74" s="202">
        <v>3.9</v>
      </c>
      <c r="CJ74" s="202" t="s">
        <v>434</v>
      </c>
      <c r="CK74" s="202">
        <v>0</v>
      </c>
      <c r="CL74" s="205">
        <f t="shared" si="128"/>
        <v>0</v>
      </c>
      <c r="CM74" s="202">
        <v>800</v>
      </c>
      <c r="CN74" s="202">
        <v>6.6000000000000003E-2</v>
      </c>
      <c r="CO74" s="202">
        <v>3.9</v>
      </c>
      <c r="CP74" s="202" t="s">
        <v>434</v>
      </c>
      <c r="CQ74" s="202">
        <v>0</v>
      </c>
      <c r="CR74" s="205">
        <f t="shared" si="129"/>
        <v>0</v>
      </c>
      <c r="CS74" s="202">
        <v>800</v>
      </c>
      <c r="CT74" s="202">
        <v>6.6000000000000003E-2</v>
      </c>
      <c r="CU74" s="202">
        <v>3.9</v>
      </c>
      <c r="CV74" s="202" t="s">
        <v>434</v>
      </c>
      <c r="CW74" s="202">
        <v>0</v>
      </c>
      <c r="CX74" s="205">
        <f t="shared" si="133"/>
        <v>0</v>
      </c>
      <c r="CY74" s="202">
        <v>800</v>
      </c>
      <c r="CZ74" s="202">
        <v>5.6000000000000001E-2</v>
      </c>
      <c r="DA74" s="202">
        <v>3.9</v>
      </c>
      <c r="DB74" s="202" t="s">
        <v>434</v>
      </c>
      <c r="DC74" s="202">
        <v>0</v>
      </c>
      <c r="DD74" s="205">
        <f t="shared" si="130"/>
        <v>0</v>
      </c>
      <c r="DE74" s="202">
        <v>800</v>
      </c>
      <c r="DF74" s="202">
        <v>6.6000000000000003E-2</v>
      </c>
      <c r="DG74" s="202">
        <v>3.9</v>
      </c>
      <c r="DH74" s="202" t="s">
        <v>434</v>
      </c>
      <c r="DI74" s="202">
        <v>0</v>
      </c>
      <c r="DJ74" s="205">
        <f t="shared" si="131"/>
        <v>0</v>
      </c>
      <c r="DK74" s="202">
        <v>800</v>
      </c>
      <c r="DL74" s="202">
        <v>6.6000000000000003E-2</v>
      </c>
      <c r="DM74" s="202">
        <v>3.9</v>
      </c>
      <c r="DN74" s="202" t="s">
        <v>434</v>
      </c>
      <c r="DO74" s="202">
        <v>0</v>
      </c>
      <c r="DP74" s="205">
        <f t="shared" si="132"/>
        <v>0</v>
      </c>
      <c r="DQ74" s="202">
        <v>800</v>
      </c>
      <c r="DR74" s="202">
        <v>6.6000000000000003E-2</v>
      </c>
      <c r="DS74" s="202">
        <v>3.9</v>
      </c>
      <c r="DT74" s="202" t="s">
        <v>434</v>
      </c>
    </row>
    <row r="75" spans="2:124" x14ac:dyDescent="0.35">
      <c r="B75" s="201" t="s">
        <v>439</v>
      </c>
      <c r="C75" s="13"/>
      <c r="D75" s="13"/>
      <c r="E75" s="202">
        <v>0</v>
      </c>
      <c r="F75" s="205">
        <f t="shared" si="114"/>
        <v>0</v>
      </c>
      <c r="G75" s="202">
        <v>800</v>
      </c>
      <c r="H75" s="202">
        <v>7.4999999999999997E-2</v>
      </c>
      <c r="I75" s="202">
        <v>4.2</v>
      </c>
      <c r="J75" s="202" t="s">
        <v>434</v>
      </c>
      <c r="K75" s="324">
        <v>0</v>
      </c>
      <c r="L75" s="205">
        <f t="shared" si="115"/>
        <v>0</v>
      </c>
      <c r="M75" s="202">
        <v>800</v>
      </c>
      <c r="N75" s="202">
        <v>7.4999999999999997E-2</v>
      </c>
      <c r="O75" s="202">
        <v>4.2</v>
      </c>
      <c r="P75" s="202" t="s">
        <v>434</v>
      </c>
      <c r="Q75" s="202">
        <v>0</v>
      </c>
      <c r="R75" s="205">
        <f t="shared" si="116"/>
        <v>0</v>
      </c>
      <c r="S75" s="202">
        <v>800</v>
      </c>
      <c r="T75" s="202">
        <v>7.4999999999999997E-2</v>
      </c>
      <c r="U75" s="202">
        <v>4.2</v>
      </c>
      <c r="V75" s="202" t="s">
        <v>434</v>
      </c>
      <c r="W75" s="202">
        <v>0</v>
      </c>
      <c r="X75" s="205">
        <f t="shared" si="117"/>
        <v>0</v>
      </c>
      <c r="Y75" s="202">
        <v>800</v>
      </c>
      <c r="Z75" s="202">
        <v>7.4999999999999997E-2</v>
      </c>
      <c r="AA75" s="202">
        <v>4.2</v>
      </c>
      <c r="AB75" s="202" t="s">
        <v>434</v>
      </c>
      <c r="AC75" s="202">
        <v>0</v>
      </c>
      <c r="AD75" s="205">
        <f t="shared" si="118"/>
        <v>0</v>
      </c>
      <c r="AE75" s="202">
        <v>800</v>
      </c>
      <c r="AF75" s="202">
        <v>7.4999999999999997E-2</v>
      </c>
      <c r="AG75" s="202">
        <v>4.2</v>
      </c>
      <c r="AH75" s="202" t="s">
        <v>434</v>
      </c>
      <c r="AI75" s="202">
        <v>0</v>
      </c>
      <c r="AJ75" s="205">
        <f t="shared" si="119"/>
        <v>0</v>
      </c>
      <c r="AK75" s="202">
        <v>800</v>
      </c>
      <c r="AL75" s="202">
        <v>7.4999999999999997E-2</v>
      </c>
      <c r="AM75" s="202">
        <v>4.2</v>
      </c>
      <c r="AN75" s="202" t="s">
        <v>434</v>
      </c>
      <c r="AO75" s="202">
        <v>0</v>
      </c>
      <c r="AP75" s="205">
        <f t="shared" si="120"/>
        <v>0</v>
      </c>
      <c r="AQ75" s="202">
        <v>800</v>
      </c>
      <c r="AR75" s="202">
        <v>7.4999999999999997E-2</v>
      </c>
      <c r="AS75" s="202">
        <v>4.2</v>
      </c>
      <c r="AT75" s="202" t="s">
        <v>434</v>
      </c>
      <c r="AU75" s="202">
        <v>0</v>
      </c>
      <c r="AV75" s="205">
        <f t="shared" si="121"/>
        <v>0</v>
      </c>
      <c r="AW75" s="202">
        <v>800</v>
      </c>
      <c r="AX75" s="202">
        <v>7.4999999999999997E-2</v>
      </c>
      <c r="AY75" s="202">
        <v>4.2</v>
      </c>
      <c r="AZ75" s="202" t="s">
        <v>434</v>
      </c>
      <c r="BA75" s="202">
        <v>0</v>
      </c>
      <c r="BB75" s="205">
        <f t="shared" si="122"/>
        <v>0</v>
      </c>
      <c r="BC75" s="202">
        <v>800</v>
      </c>
      <c r="BD75" s="202">
        <v>7.4999999999999997E-2</v>
      </c>
      <c r="BE75" s="202">
        <v>4.2</v>
      </c>
      <c r="BF75" s="202" t="s">
        <v>434</v>
      </c>
      <c r="BG75" s="202">
        <v>0</v>
      </c>
      <c r="BH75" s="205">
        <f t="shared" si="123"/>
        <v>0</v>
      </c>
      <c r="BI75" s="202">
        <v>800</v>
      </c>
      <c r="BJ75" s="202">
        <v>7.4999999999999997E-2</v>
      </c>
      <c r="BK75" s="202">
        <v>4.2</v>
      </c>
      <c r="BL75" s="202" t="s">
        <v>434</v>
      </c>
      <c r="BM75" s="202">
        <v>0</v>
      </c>
      <c r="BN75" s="205">
        <f t="shared" si="124"/>
        <v>0</v>
      </c>
      <c r="BO75" s="202">
        <v>800</v>
      </c>
      <c r="BP75" s="202">
        <v>7.4999999999999997E-2</v>
      </c>
      <c r="BQ75" s="202">
        <v>4.2</v>
      </c>
      <c r="BR75" s="202" t="s">
        <v>434</v>
      </c>
      <c r="BS75" s="202">
        <v>0</v>
      </c>
      <c r="BT75" s="205">
        <f t="shared" si="125"/>
        <v>0</v>
      </c>
      <c r="BU75" s="202">
        <v>800</v>
      </c>
      <c r="BV75" s="202">
        <v>7.4999999999999997E-2</v>
      </c>
      <c r="BW75" s="202">
        <v>4.2</v>
      </c>
      <c r="BX75" s="202" t="s">
        <v>434</v>
      </c>
      <c r="BY75" s="202">
        <v>0</v>
      </c>
      <c r="BZ75" s="205">
        <f t="shared" si="126"/>
        <v>0</v>
      </c>
      <c r="CA75" s="202">
        <v>800</v>
      </c>
      <c r="CB75" s="202">
        <v>7.4999999999999997E-2</v>
      </c>
      <c r="CC75" s="202">
        <v>4.2</v>
      </c>
      <c r="CD75" s="202" t="s">
        <v>434</v>
      </c>
      <c r="CE75" s="202">
        <v>0</v>
      </c>
      <c r="CF75" s="205">
        <f t="shared" si="127"/>
        <v>0</v>
      </c>
      <c r="CG75" s="202">
        <v>800</v>
      </c>
      <c r="CH75" s="202">
        <v>7.4999999999999997E-2</v>
      </c>
      <c r="CI75" s="202">
        <v>4.2</v>
      </c>
      <c r="CJ75" s="202" t="s">
        <v>434</v>
      </c>
      <c r="CK75" s="202">
        <v>0</v>
      </c>
      <c r="CL75" s="205">
        <f t="shared" si="128"/>
        <v>0</v>
      </c>
      <c r="CM75" s="202">
        <v>800</v>
      </c>
      <c r="CN75" s="202">
        <v>7.4999999999999997E-2</v>
      </c>
      <c r="CO75" s="202">
        <v>4.2</v>
      </c>
      <c r="CP75" s="202" t="s">
        <v>434</v>
      </c>
      <c r="CQ75" s="202">
        <v>0</v>
      </c>
      <c r="CR75" s="205">
        <f t="shared" si="129"/>
        <v>0</v>
      </c>
      <c r="CS75" s="202">
        <v>800</v>
      </c>
      <c r="CT75" s="202">
        <v>7.4999999999999997E-2</v>
      </c>
      <c r="CU75" s="202">
        <v>4.2</v>
      </c>
      <c r="CV75" s="202" t="s">
        <v>434</v>
      </c>
      <c r="CW75" s="202">
        <v>0</v>
      </c>
      <c r="CX75" s="205">
        <f t="shared" si="133"/>
        <v>0</v>
      </c>
      <c r="CY75" s="202">
        <v>800</v>
      </c>
      <c r="CZ75" s="202">
        <v>6.6000000000000003E-2</v>
      </c>
      <c r="DA75" s="202">
        <v>3.9</v>
      </c>
      <c r="DB75" s="202" t="s">
        <v>434</v>
      </c>
      <c r="DC75" s="202">
        <v>0</v>
      </c>
      <c r="DD75" s="205">
        <f t="shared" si="130"/>
        <v>0</v>
      </c>
      <c r="DE75" s="202">
        <v>800</v>
      </c>
      <c r="DF75" s="202">
        <v>7.4999999999999997E-2</v>
      </c>
      <c r="DG75" s="202">
        <v>4.2</v>
      </c>
      <c r="DH75" s="202" t="s">
        <v>434</v>
      </c>
      <c r="DI75" s="202">
        <v>0</v>
      </c>
      <c r="DJ75" s="205">
        <f t="shared" si="131"/>
        <v>0</v>
      </c>
      <c r="DK75" s="202">
        <v>800</v>
      </c>
      <c r="DL75" s="202">
        <v>7.4999999999999997E-2</v>
      </c>
      <c r="DM75" s="202">
        <v>4.2</v>
      </c>
      <c r="DN75" s="202" t="s">
        <v>434</v>
      </c>
      <c r="DO75" s="202">
        <v>0</v>
      </c>
      <c r="DP75" s="205">
        <f t="shared" si="132"/>
        <v>0</v>
      </c>
      <c r="DQ75" s="202">
        <v>800</v>
      </c>
      <c r="DR75" s="202">
        <v>7.4999999999999997E-2</v>
      </c>
      <c r="DS75" s="202">
        <v>4.2</v>
      </c>
      <c r="DT75" s="202" t="s">
        <v>434</v>
      </c>
    </row>
    <row r="76" spans="2:124" x14ac:dyDescent="0.35">
      <c r="B76" s="201" t="s">
        <v>440</v>
      </c>
      <c r="C76" s="13"/>
      <c r="D76" s="13"/>
      <c r="E76" s="202">
        <v>0</v>
      </c>
      <c r="F76" s="205">
        <f t="shared" si="114"/>
        <v>0</v>
      </c>
      <c r="G76" s="202">
        <v>1000</v>
      </c>
      <c r="H76" s="202">
        <v>0.27</v>
      </c>
      <c r="I76" s="202">
        <v>4</v>
      </c>
      <c r="J76" s="202" t="s">
        <v>434</v>
      </c>
      <c r="K76" s="324">
        <v>0</v>
      </c>
      <c r="L76" s="205">
        <f t="shared" si="115"/>
        <v>0</v>
      </c>
      <c r="M76" s="202">
        <v>1000</v>
      </c>
      <c r="N76" s="202">
        <v>0.27</v>
      </c>
      <c r="O76" s="202">
        <v>4</v>
      </c>
      <c r="P76" s="202" t="s">
        <v>434</v>
      </c>
      <c r="Q76" s="202">
        <v>0</v>
      </c>
      <c r="R76" s="205">
        <f t="shared" si="116"/>
        <v>0</v>
      </c>
      <c r="S76" s="202">
        <v>1000</v>
      </c>
      <c r="T76" s="202">
        <v>0.27</v>
      </c>
      <c r="U76" s="202">
        <v>4</v>
      </c>
      <c r="V76" s="202" t="s">
        <v>434</v>
      </c>
      <c r="W76" s="202">
        <v>0</v>
      </c>
      <c r="X76" s="205">
        <f t="shared" si="117"/>
        <v>0</v>
      </c>
      <c r="Y76" s="202">
        <v>1000</v>
      </c>
      <c r="Z76" s="202">
        <v>0.27</v>
      </c>
      <c r="AA76" s="202">
        <v>4</v>
      </c>
      <c r="AB76" s="202" t="s">
        <v>434</v>
      </c>
      <c r="AC76" s="202">
        <v>0</v>
      </c>
      <c r="AD76" s="205">
        <f t="shared" si="118"/>
        <v>0</v>
      </c>
      <c r="AE76" s="202">
        <v>1000</v>
      </c>
      <c r="AF76" s="202">
        <v>0.27</v>
      </c>
      <c r="AG76" s="202">
        <v>4</v>
      </c>
      <c r="AH76" s="202" t="s">
        <v>434</v>
      </c>
      <c r="AI76" s="202">
        <v>0</v>
      </c>
      <c r="AJ76" s="205">
        <f t="shared" si="119"/>
        <v>0</v>
      </c>
      <c r="AK76" s="202">
        <v>1000</v>
      </c>
      <c r="AL76" s="202">
        <v>0.27</v>
      </c>
      <c r="AM76" s="202">
        <v>4</v>
      </c>
      <c r="AN76" s="202" t="s">
        <v>434</v>
      </c>
      <c r="AO76" s="202">
        <v>0</v>
      </c>
      <c r="AP76" s="205">
        <f t="shared" si="120"/>
        <v>0</v>
      </c>
      <c r="AQ76" s="202">
        <v>1000</v>
      </c>
      <c r="AR76" s="202">
        <v>0.27</v>
      </c>
      <c r="AS76" s="202">
        <v>4</v>
      </c>
      <c r="AT76" s="202" t="s">
        <v>434</v>
      </c>
      <c r="AU76" s="202">
        <v>0</v>
      </c>
      <c r="AV76" s="205">
        <f t="shared" si="121"/>
        <v>0</v>
      </c>
      <c r="AW76" s="202">
        <v>1000</v>
      </c>
      <c r="AX76" s="202">
        <v>0.27</v>
      </c>
      <c r="AY76" s="202">
        <v>4</v>
      </c>
      <c r="AZ76" s="202" t="s">
        <v>434</v>
      </c>
      <c r="BA76" s="202">
        <v>0</v>
      </c>
      <c r="BB76" s="205">
        <f t="shared" si="122"/>
        <v>0</v>
      </c>
      <c r="BC76" s="202">
        <v>1000</v>
      </c>
      <c r="BD76" s="202">
        <v>0.27</v>
      </c>
      <c r="BE76" s="202">
        <v>4</v>
      </c>
      <c r="BF76" s="202" t="s">
        <v>434</v>
      </c>
      <c r="BG76" s="202">
        <v>0</v>
      </c>
      <c r="BH76" s="205">
        <f t="shared" si="123"/>
        <v>0</v>
      </c>
      <c r="BI76" s="202">
        <v>1000</v>
      </c>
      <c r="BJ76" s="202">
        <v>0.27</v>
      </c>
      <c r="BK76" s="202">
        <v>4</v>
      </c>
      <c r="BL76" s="202" t="s">
        <v>434</v>
      </c>
      <c r="BM76" s="202">
        <v>0</v>
      </c>
      <c r="BN76" s="205">
        <f t="shared" si="124"/>
        <v>0</v>
      </c>
      <c r="BO76" s="202">
        <v>1000</v>
      </c>
      <c r="BP76" s="202">
        <v>0.27</v>
      </c>
      <c r="BQ76" s="202">
        <v>4</v>
      </c>
      <c r="BR76" s="202" t="s">
        <v>434</v>
      </c>
      <c r="BS76" s="202">
        <v>0</v>
      </c>
      <c r="BT76" s="205">
        <f t="shared" si="125"/>
        <v>0</v>
      </c>
      <c r="BU76" s="202">
        <v>1000</v>
      </c>
      <c r="BV76" s="202">
        <v>0.27</v>
      </c>
      <c r="BW76" s="202">
        <v>4</v>
      </c>
      <c r="BX76" s="202" t="s">
        <v>434</v>
      </c>
      <c r="BY76" s="202">
        <v>0</v>
      </c>
      <c r="BZ76" s="205">
        <f t="shared" si="126"/>
        <v>0</v>
      </c>
      <c r="CA76" s="202">
        <v>1000</v>
      </c>
      <c r="CB76" s="202">
        <v>0.27</v>
      </c>
      <c r="CC76" s="202">
        <v>4</v>
      </c>
      <c r="CD76" s="202" t="s">
        <v>434</v>
      </c>
      <c r="CE76" s="202">
        <v>0</v>
      </c>
      <c r="CF76" s="205">
        <f t="shared" si="127"/>
        <v>0</v>
      </c>
      <c r="CG76" s="202">
        <v>1000</v>
      </c>
      <c r="CH76" s="202">
        <v>0.27</v>
      </c>
      <c r="CI76" s="202">
        <v>4</v>
      </c>
      <c r="CJ76" s="202" t="s">
        <v>434</v>
      </c>
      <c r="CK76" s="202">
        <v>0</v>
      </c>
      <c r="CL76" s="205">
        <f t="shared" si="128"/>
        <v>0</v>
      </c>
      <c r="CM76" s="202">
        <v>1000</v>
      </c>
      <c r="CN76" s="202">
        <v>0.27</v>
      </c>
      <c r="CO76" s="202">
        <v>4</v>
      </c>
      <c r="CP76" s="202" t="s">
        <v>434</v>
      </c>
      <c r="CQ76" s="202">
        <v>0</v>
      </c>
      <c r="CR76" s="205">
        <f t="shared" si="129"/>
        <v>0</v>
      </c>
      <c r="CS76" s="202">
        <v>1000</v>
      </c>
      <c r="CT76" s="202">
        <v>0.27</v>
      </c>
      <c r="CU76" s="202">
        <v>4</v>
      </c>
      <c r="CV76" s="202" t="s">
        <v>434</v>
      </c>
      <c r="CW76" s="202">
        <v>0</v>
      </c>
      <c r="CX76" s="205">
        <f t="shared" si="133"/>
        <v>0</v>
      </c>
      <c r="CY76" s="202">
        <v>800</v>
      </c>
      <c r="CZ76" s="202">
        <v>7.4999999999999997E-2</v>
      </c>
      <c r="DA76" s="202">
        <v>4.2</v>
      </c>
      <c r="DB76" s="202" t="s">
        <v>434</v>
      </c>
      <c r="DC76" s="202">
        <v>0</v>
      </c>
      <c r="DD76" s="205">
        <f t="shared" si="130"/>
        <v>0</v>
      </c>
      <c r="DE76" s="202">
        <v>1000</v>
      </c>
      <c r="DF76" s="202">
        <v>0.27</v>
      </c>
      <c r="DG76" s="202">
        <v>4</v>
      </c>
      <c r="DH76" s="202" t="s">
        <v>434</v>
      </c>
      <c r="DI76" s="202">
        <v>0</v>
      </c>
      <c r="DJ76" s="205">
        <f t="shared" si="131"/>
        <v>0</v>
      </c>
      <c r="DK76" s="202">
        <v>1000</v>
      </c>
      <c r="DL76" s="202">
        <v>0.27</v>
      </c>
      <c r="DM76" s="202">
        <v>4</v>
      </c>
      <c r="DN76" s="202" t="s">
        <v>434</v>
      </c>
      <c r="DO76" s="202">
        <v>0</v>
      </c>
      <c r="DP76" s="205">
        <f t="shared" si="132"/>
        <v>0</v>
      </c>
      <c r="DQ76" s="202">
        <v>1000</v>
      </c>
      <c r="DR76" s="202">
        <v>0.27</v>
      </c>
      <c r="DS76" s="202">
        <v>4</v>
      </c>
      <c r="DT76" s="202" t="s">
        <v>434</v>
      </c>
    </row>
    <row r="77" spans="2:124" x14ac:dyDescent="0.35">
      <c r="B77" s="201" t="s">
        <v>441</v>
      </c>
      <c r="C77" s="13"/>
      <c r="D77" s="13"/>
      <c r="E77" s="202">
        <v>0</v>
      </c>
      <c r="F77" s="205">
        <f t="shared" si="114"/>
        <v>0</v>
      </c>
      <c r="G77" s="202">
        <v>800</v>
      </c>
      <c r="H77" s="202">
        <v>6.8000000000000005E-2</v>
      </c>
      <c r="I77" s="202">
        <v>4.0999999999999996</v>
      </c>
      <c r="J77" s="202" t="s">
        <v>434</v>
      </c>
      <c r="K77" s="324">
        <v>0</v>
      </c>
      <c r="L77" s="205">
        <f t="shared" si="115"/>
        <v>0</v>
      </c>
      <c r="M77" s="202">
        <v>800</v>
      </c>
      <c r="N77" s="202">
        <v>6.8000000000000005E-2</v>
      </c>
      <c r="O77" s="202">
        <v>4.0999999999999996</v>
      </c>
      <c r="P77" s="202" t="s">
        <v>434</v>
      </c>
      <c r="Q77" s="202">
        <v>0</v>
      </c>
      <c r="R77" s="205">
        <f t="shared" si="116"/>
        <v>0</v>
      </c>
      <c r="S77" s="202">
        <v>800</v>
      </c>
      <c r="T77" s="202">
        <v>6.8000000000000005E-2</v>
      </c>
      <c r="U77" s="202">
        <v>4.0999999999999996</v>
      </c>
      <c r="V77" s="202" t="s">
        <v>434</v>
      </c>
      <c r="W77" s="202">
        <v>0</v>
      </c>
      <c r="X77" s="205">
        <f t="shared" si="117"/>
        <v>0</v>
      </c>
      <c r="Y77" s="202">
        <v>800</v>
      </c>
      <c r="Z77" s="202">
        <v>6.8000000000000005E-2</v>
      </c>
      <c r="AA77" s="202">
        <v>4.0999999999999996</v>
      </c>
      <c r="AB77" s="202" t="s">
        <v>434</v>
      </c>
      <c r="AC77" s="202">
        <v>0</v>
      </c>
      <c r="AD77" s="205">
        <f t="shared" si="118"/>
        <v>0</v>
      </c>
      <c r="AE77" s="202">
        <v>800</v>
      </c>
      <c r="AF77" s="202">
        <v>6.8000000000000005E-2</v>
      </c>
      <c r="AG77" s="202">
        <v>4.0999999999999996</v>
      </c>
      <c r="AH77" s="202" t="s">
        <v>434</v>
      </c>
      <c r="AI77" s="202">
        <v>0</v>
      </c>
      <c r="AJ77" s="205">
        <f t="shared" si="119"/>
        <v>0</v>
      </c>
      <c r="AK77" s="202">
        <v>800</v>
      </c>
      <c r="AL77" s="202">
        <v>6.8000000000000005E-2</v>
      </c>
      <c r="AM77" s="202">
        <v>4.0999999999999996</v>
      </c>
      <c r="AN77" s="202" t="s">
        <v>434</v>
      </c>
      <c r="AO77" s="202">
        <v>0</v>
      </c>
      <c r="AP77" s="205">
        <f t="shared" si="120"/>
        <v>0</v>
      </c>
      <c r="AQ77" s="202">
        <v>800</v>
      </c>
      <c r="AR77" s="202">
        <v>6.8000000000000005E-2</v>
      </c>
      <c r="AS77" s="202">
        <v>4.0999999999999996</v>
      </c>
      <c r="AT77" s="202" t="s">
        <v>434</v>
      </c>
      <c r="AU77" s="202">
        <v>0</v>
      </c>
      <c r="AV77" s="205">
        <f t="shared" si="121"/>
        <v>0</v>
      </c>
      <c r="AW77" s="202">
        <v>800</v>
      </c>
      <c r="AX77" s="202">
        <v>6.8000000000000005E-2</v>
      </c>
      <c r="AY77" s="202">
        <v>4.0999999999999996</v>
      </c>
      <c r="AZ77" s="202" t="s">
        <v>434</v>
      </c>
      <c r="BA77" s="202">
        <v>0</v>
      </c>
      <c r="BB77" s="205">
        <f t="shared" si="122"/>
        <v>0</v>
      </c>
      <c r="BC77" s="202">
        <v>800</v>
      </c>
      <c r="BD77" s="202">
        <v>6.8000000000000005E-2</v>
      </c>
      <c r="BE77" s="202">
        <v>4.0999999999999996</v>
      </c>
      <c r="BF77" s="202" t="s">
        <v>434</v>
      </c>
      <c r="BG77" s="202">
        <v>0</v>
      </c>
      <c r="BH77" s="205">
        <f t="shared" si="123"/>
        <v>0</v>
      </c>
      <c r="BI77" s="202">
        <v>800</v>
      </c>
      <c r="BJ77" s="202">
        <v>6.8000000000000005E-2</v>
      </c>
      <c r="BK77" s="202">
        <v>4.0999999999999996</v>
      </c>
      <c r="BL77" s="202" t="s">
        <v>434</v>
      </c>
      <c r="BM77" s="202">
        <v>0</v>
      </c>
      <c r="BN77" s="205">
        <f t="shared" si="124"/>
        <v>0</v>
      </c>
      <c r="BO77" s="202">
        <v>800</v>
      </c>
      <c r="BP77" s="202">
        <v>6.8000000000000005E-2</v>
      </c>
      <c r="BQ77" s="202">
        <v>4.0999999999999996</v>
      </c>
      <c r="BR77" s="202" t="s">
        <v>434</v>
      </c>
      <c r="BS77" s="202">
        <v>0</v>
      </c>
      <c r="BT77" s="205">
        <f t="shared" si="125"/>
        <v>0</v>
      </c>
      <c r="BU77" s="202">
        <v>800</v>
      </c>
      <c r="BV77" s="202">
        <v>6.8000000000000005E-2</v>
      </c>
      <c r="BW77" s="202">
        <v>4.0999999999999996</v>
      </c>
      <c r="BX77" s="202" t="s">
        <v>434</v>
      </c>
      <c r="BY77" s="202">
        <v>0</v>
      </c>
      <c r="BZ77" s="205">
        <f t="shared" si="126"/>
        <v>0</v>
      </c>
      <c r="CA77" s="202">
        <v>800</v>
      </c>
      <c r="CB77" s="202">
        <v>6.8000000000000005E-2</v>
      </c>
      <c r="CC77" s="202">
        <v>4.0999999999999996</v>
      </c>
      <c r="CD77" s="202" t="s">
        <v>434</v>
      </c>
      <c r="CE77" s="202">
        <v>0</v>
      </c>
      <c r="CF77" s="205">
        <f t="shared" si="127"/>
        <v>0</v>
      </c>
      <c r="CG77" s="202">
        <v>800</v>
      </c>
      <c r="CH77" s="202">
        <v>6.8000000000000005E-2</v>
      </c>
      <c r="CI77" s="202">
        <v>4.0999999999999996</v>
      </c>
      <c r="CJ77" s="202" t="s">
        <v>434</v>
      </c>
      <c r="CK77" s="202">
        <v>0</v>
      </c>
      <c r="CL77" s="205">
        <f t="shared" si="128"/>
        <v>0</v>
      </c>
      <c r="CM77" s="202">
        <v>800</v>
      </c>
      <c r="CN77" s="202">
        <v>6.8000000000000005E-2</v>
      </c>
      <c r="CO77" s="202">
        <v>4.0999999999999996</v>
      </c>
      <c r="CP77" s="202" t="s">
        <v>434</v>
      </c>
      <c r="CQ77" s="202">
        <v>0</v>
      </c>
      <c r="CR77" s="205">
        <f t="shared" si="129"/>
        <v>0</v>
      </c>
      <c r="CS77" s="202">
        <v>800</v>
      </c>
      <c r="CT77" s="202">
        <v>6.8000000000000005E-2</v>
      </c>
      <c r="CU77" s="202">
        <v>4.0999999999999996</v>
      </c>
      <c r="CV77" s="202" t="s">
        <v>434</v>
      </c>
      <c r="CW77" s="202">
        <v>0</v>
      </c>
      <c r="CX77" s="205">
        <f t="shared" si="133"/>
        <v>0</v>
      </c>
      <c r="CY77" s="202">
        <v>1000</v>
      </c>
      <c r="CZ77" s="202">
        <v>0.27</v>
      </c>
      <c r="DA77" s="202">
        <v>4</v>
      </c>
      <c r="DB77" s="202" t="s">
        <v>434</v>
      </c>
      <c r="DC77" s="202">
        <v>0</v>
      </c>
      <c r="DD77" s="205">
        <f t="shared" si="130"/>
        <v>0</v>
      </c>
      <c r="DE77" s="202">
        <v>800</v>
      </c>
      <c r="DF77" s="202">
        <v>6.8000000000000005E-2</v>
      </c>
      <c r="DG77" s="202">
        <v>4.0999999999999996</v>
      </c>
      <c r="DH77" s="202" t="s">
        <v>434</v>
      </c>
      <c r="DI77" s="202">
        <v>0</v>
      </c>
      <c r="DJ77" s="205">
        <f t="shared" si="131"/>
        <v>0</v>
      </c>
      <c r="DK77" s="202">
        <v>800</v>
      </c>
      <c r="DL77" s="202">
        <v>6.8000000000000005E-2</v>
      </c>
      <c r="DM77" s="202">
        <v>4.0999999999999996</v>
      </c>
      <c r="DN77" s="202" t="s">
        <v>434</v>
      </c>
      <c r="DO77" s="202">
        <v>0</v>
      </c>
      <c r="DP77" s="205">
        <f t="shared" si="132"/>
        <v>0</v>
      </c>
      <c r="DQ77" s="202">
        <v>800</v>
      </c>
      <c r="DR77" s="202">
        <v>6.8000000000000005E-2</v>
      </c>
      <c r="DS77" s="202">
        <v>4.0999999999999996</v>
      </c>
      <c r="DT77" s="202" t="s">
        <v>434</v>
      </c>
    </row>
    <row r="78" spans="2:124" x14ac:dyDescent="0.35">
      <c r="B78" s="201" t="s">
        <v>442</v>
      </c>
      <c r="C78" s="13"/>
      <c r="D78" s="13"/>
      <c r="E78" s="202">
        <v>0</v>
      </c>
      <c r="F78" s="205">
        <f>IF(ISNUMBER(E78),E78*(G78/E$41+H78*(1+I78/E$28^0.3)),0)</f>
        <v>0</v>
      </c>
      <c r="G78" s="202">
        <v>800</v>
      </c>
      <c r="H78" s="202">
        <v>3.5000000000000003E-2</v>
      </c>
      <c r="I78" s="202">
        <v>4.2</v>
      </c>
      <c r="J78" s="202" t="s">
        <v>434</v>
      </c>
      <c r="K78" s="324">
        <v>0</v>
      </c>
      <c r="L78" s="205">
        <f>IF(ISNUMBER(K78),K78*(M78/K$41+N78*(1+O78/K$28^0.3)),0)</f>
        <v>0</v>
      </c>
      <c r="M78" s="202">
        <v>800</v>
      </c>
      <c r="N78" s="202">
        <v>3.5000000000000003E-2</v>
      </c>
      <c r="O78" s="202">
        <v>4.2</v>
      </c>
      <c r="P78" s="202" t="s">
        <v>434</v>
      </c>
      <c r="Q78" s="202">
        <v>0</v>
      </c>
      <c r="R78" s="205">
        <f>IF(ISNUMBER(Q78),Q78*(S78/Q$41+T78*(1+U78/Q$28^0.3)),0)</f>
        <v>0</v>
      </c>
      <c r="S78" s="202">
        <v>800</v>
      </c>
      <c r="T78" s="202">
        <v>3.5000000000000003E-2</v>
      </c>
      <c r="U78" s="202">
        <v>4.2</v>
      </c>
      <c r="V78" s="202" t="s">
        <v>434</v>
      </c>
      <c r="W78" s="202">
        <v>0</v>
      </c>
      <c r="X78" s="205">
        <f>IF(ISNUMBER(W78),W78*(Y78/W$41+Z78*(1+AA78/W$28^0.3)),0)</f>
        <v>0</v>
      </c>
      <c r="Y78" s="202">
        <v>800</v>
      </c>
      <c r="Z78" s="202">
        <v>3.5000000000000003E-2</v>
      </c>
      <c r="AA78" s="202">
        <v>4.2</v>
      </c>
      <c r="AB78" s="202" t="s">
        <v>434</v>
      </c>
      <c r="AC78" s="202">
        <v>0</v>
      </c>
      <c r="AD78" s="205">
        <f>IF(ISNUMBER(AC78),AC78*(AE78/AC$41+AF78*(1+AG78/AC$28^0.3)),0)</f>
        <v>0</v>
      </c>
      <c r="AE78" s="202">
        <v>800</v>
      </c>
      <c r="AF78" s="202">
        <v>3.5000000000000003E-2</v>
      </c>
      <c r="AG78" s="202">
        <v>4.2</v>
      </c>
      <c r="AH78" s="202" t="s">
        <v>434</v>
      </c>
      <c r="AI78" s="202">
        <v>0</v>
      </c>
      <c r="AJ78" s="205">
        <f>IF(ISNUMBER(AI78),AI78*(AK78/AI$41+AL78*(1+AM78/AI$28^0.3)),0)</f>
        <v>0</v>
      </c>
      <c r="AK78" s="202">
        <v>800</v>
      </c>
      <c r="AL78" s="202">
        <v>3.5000000000000003E-2</v>
      </c>
      <c r="AM78" s="202">
        <v>4.2</v>
      </c>
      <c r="AN78" s="202" t="s">
        <v>434</v>
      </c>
      <c r="AO78" s="202">
        <v>0</v>
      </c>
      <c r="AP78" s="205">
        <f>IF(ISNUMBER(AO78),AO78*(AQ78/AO$41+AR78*(1+AS78/AO$28^0.3)),0)</f>
        <v>0</v>
      </c>
      <c r="AQ78" s="202">
        <v>800</v>
      </c>
      <c r="AR78" s="202">
        <v>3.5000000000000003E-2</v>
      </c>
      <c r="AS78" s="202">
        <v>4.2</v>
      </c>
      <c r="AT78" s="202" t="s">
        <v>434</v>
      </c>
      <c r="AU78" s="202">
        <v>0</v>
      </c>
      <c r="AV78" s="205">
        <f>IF(ISNUMBER(AU78),AU78*(AW78/AU$41+AX78*(1+AY78/AU$28^0.3)),0)</f>
        <v>0</v>
      </c>
      <c r="AW78" s="202">
        <v>800</v>
      </c>
      <c r="AX78" s="202">
        <v>3.5000000000000003E-2</v>
      </c>
      <c r="AY78" s="202">
        <v>4.2</v>
      </c>
      <c r="AZ78" s="202" t="s">
        <v>434</v>
      </c>
      <c r="BA78" s="202">
        <v>0</v>
      </c>
      <c r="BB78" s="205">
        <f>IF(ISNUMBER(BA78),BA78*(BC78/BA$41+BD78*(1+BE78/BA$28^0.3)),0)</f>
        <v>0</v>
      </c>
      <c r="BC78" s="202">
        <v>800</v>
      </c>
      <c r="BD78" s="202">
        <v>3.5000000000000003E-2</v>
      </c>
      <c r="BE78" s="202">
        <v>4.2</v>
      </c>
      <c r="BF78" s="202" t="s">
        <v>434</v>
      </c>
      <c r="BG78" s="202">
        <v>0</v>
      </c>
      <c r="BH78" s="205">
        <f>IF(ISNUMBER(BG78),BG78*(BI78/BG$41+BJ78*(1+BK78/BG$28^0.3)),0)</f>
        <v>0</v>
      </c>
      <c r="BI78" s="202">
        <v>800</v>
      </c>
      <c r="BJ78" s="202">
        <v>3.5000000000000003E-2</v>
      </c>
      <c r="BK78" s="202">
        <v>4.2</v>
      </c>
      <c r="BL78" s="202" t="s">
        <v>434</v>
      </c>
      <c r="BM78" s="202">
        <v>0</v>
      </c>
      <c r="BN78" s="205">
        <f>IF(ISNUMBER(BM78),BM78*(BO78/BM$41+BP78*(1+BQ78/BM$28^0.3)),0)</f>
        <v>0</v>
      </c>
      <c r="BO78" s="202">
        <v>800</v>
      </c>
      <c r="BP78" s="202">
        <v>3.5000000000000003E-2</v>
      </c>
      <c r="BQ78" s="202">
        <v>4.2</v>
      </c>
      <c r="BR78" s="202" t="s">
        <v>434</v>
      </c>
      <c r="BS78" s="202">
        <v>0</v>
      </c>
      <c r="BT78" s="205">
        <f>IF(ISNUMBER(BS78),BS78*(BU78/BS$41+BV78*(1+BW78/BS$28^0.3)),0)</f>
        <v>0</v>
      </c>
      <c r="BU78" s="202">
        <v>800</v>
      </c>
      <c r="BV78" s="202">
        <v>3.5000000000000003E-2</v>
      </c>
      <c r="BW78" s="202">
        <v>4.2</v>
      </c>
      <c r="BX78" s="202" t="s">
        <v>434</v>
      </c>
      <c r="BY78" s="202">
        <v>0</v>
      </c>
      <c r="BZ78" s="205">
        <f>IF(ISNUMBER(BY78),BY78*(CA78/BY$41+CB78*(1+CC78/BY$28^0.3)),0)</f>
        <v>0</v>
      </c>
      <c r="CA78" s="202">
        <v>800</v>
      </c>
      <c r="CB78" s="202">
        <v>3.5000000000000003E-2</v>
      </c>
      <c r="CC78" s="202">
        <v>4.2</v>
      </c>
      <c r="CD78" s="202" t="s">
        <v>434</v>
      </c>
      <c r="CE78" s="202">
        <v>0</v>
      </c>
      <c r="CF78" s="205">
        <f>IF(ISNUMBER(CE78),CE78*(CG78/CE$41+CH78*(1+CI78/CE$28^0.3)),0)</f>
        <v>0</v>
      </c>
      <c r="CG78" s="202">
        <v>800</v>
      </c>
      <c r="CH78" s="202">
        <v>3.5000000000000003E-2</v>
      </c>
      <c r="CI78" s="202">
        <v>4.2</v>
      </c>
      <c r="CJ78" s="202" t="s">
        <v>434</v>
      </c>
      <c r="CK78" s="202">
        <v>0</v>
      </c>
      <c r="CL78" s="205">
        <f>IF(ISNUMBER(CK78),CK78*(CM78/CK$41+CN78*(1+CO78/CK$28^0.3)),0)</f>
        <v>0</v>
      </c>
      <c r="CM78" s="202">
        <v>800</v>
      </c>
      <c r="CN78" s="202">
        <v>3.5000000000000003E-2</v>
      </c>
      <c r="CO78" s="202">
        <v>4.2</v>
      </c>
      <c r="CP78" s="202" t="s">
        <v>434</v>
      </c>
      <c r="CQ78" s="202">
        <v>0</v>
      </c>
      <c r="CR78" s="205">
        <f>IF(ISNUMBER(CQ78),CQ78*(CS78/CQ$41+CT78*(1+CU78/CQ$28^0.3)),0)</f>
        <v>0</v>
      </c>
      <c r="CS78" s="202">
        <v>800</v>
      </c>
      <c r="CT78" s="202">
        <v>3.5000000000000003E-2</v>
      </c>
      <c r="CU78" s="202">
        <v>4.2</v>
      </c>
      <c r="CV78" s="202" t="s">
        <v>434</v>
      </c>
      <c r="CW78" s="202">
        <v>0</v>
      </c>
      <c r="CX78" s="205">
        <f t="shared" si="133"/>
        <v>0</v>
      </c>
      <c r="CY78" s="202">
        <v>800</v>
      </c>
      <c r="CZ78" s="202">
        <v>6.8000000000000005E-2</v>
      </c>
      <c r="DA78" s="202">
        <v>4.0999999999999996</v>
      </c>
      <c r="DB78" s="202" t="s">
        <v>434</v>
      </c>
      <c r="DC78" s="202">
        <v>0</v>
      </c>
      <c r="DD78" s="205">
        <f>IF(ISNUMBER(DC78),DC78*(DE78/DC$41+DF78*(1+DG78/DC$28^0.3)),0)</f>
        <v>0</v>
      </c>
      <c r="DE78" s="202">
        <v>800</v>
      </c>
      <c r="DF78" s="202">
        <v>3.5000000000000003E-2</v>
      </c>
      <c r="DG78" s="202">
        <v>4.2</v>
      </c>
      <c r="DH78" s="202" t="s">
        <v>434</v>
      </c>
      <c r="DI78" s="202">
        <v>0</v>
      </c>
      <c r="DJ78" s="205">
        <f>IF(ISNUMBER(DI78),DI78*(DK78/DI$41+DL78*(1+DM78/DI$28^0.3)),0)</f>
        <v>0</v>
      </c>
      <c r="DK78" s="202">
        <v>800</v>
      </c>
      <c r="DL78" s="202">
        <v>3.5000000000000003E-2</v>
      </c>
      <c r="DM78" s="202">
        <v>4.2</v>
      </c>
      <c r="DN78" s="202" t="s">
        <v>434</v>
      </c>
      <c r="DO78" s="202">
        <v>0</v>
      </c>
      <c r="DP78" s="205">
        <f>IF(ISNUMBER(DO78),DO78*(DQ78/DO$41+DR78*(1+DS78/DO$28^0.3)),0)</f>
        <v>0</v>
      </c>
      <c r="DQ78" s="202">
        <v>800</v>
      </c>
      <c r="DR78" s="202">
        <v>3.5000000000000003E-2</v>
      </c>
      <c r="DS78" s="202">
        <v>4.2</v>
      </c>
      <c r="DT78" s="202" t="s">
        <v>434</v>
      </c>
    </row>
    <row r="79" spans="2:124" x14ac:dyDescent="0.35">
      <c r="B79" s="201" t="s">
        <v>443</v>
      </c>
      <c r="C79" s="13"/>
      <c r="D79" s="13"/>
      <c r="E79" s="202">
        <v>0</v>
      </c>
      <c r="F79" s="205">
        <f>IF(ISNUMBER(E79),E79*(G79/E$41+H79*(1+I79/E$30^0.3)),0)</f>
        <v>0</v>
      </c>
      <c r="G79" s="202">
        <v>800</v>
      </c>
      <c r="H79" s="202">
        <v>0.27</v>
      </c>
      <c r="I79" s="202"/>
      <c r="J79" s="202" t="s">
        <v>444</v>
      </c>
      <c r="K79" s="324">
        <v>0</v>
      </c>
      <c r="L79" s="205">
        <f>IF(ISNUMBER(K79),K79*(M79/K$41+N79*(1+O79/K$30^0.3)),0)</f>
        <v>0</v>
      </c>
      <c r="M79" s="202">
        <v>800</v>
      </c>
      <c r="N79" s="202">
        <v>0.27</v>
      </c>
      <c r="O79" s="202"/>
      <c r="P79" s="202" t="s">
        <v>444</v>
      </c>
      <c r="Q79" s="202">
        <v>0</v>
      </c>
      <c r="R79" s="205">
        <f>IF(ISNUMBER(Q79),Q79*(S79/Q$41+T79*(1+U79/Q$30^0.3)),0)</f>
        <v>0</v>
      </c>
      <c r="S79" s="202">
        <v>800</v>
      </c>
      <c r="T79" s="202">
        <v>0.27</v>
      </c>
      <c r="U79" s="202"/>
      <c r="V79" s="202" t="s">
        <v>444</v>
      </c>
      <c r="W79" s="202">
        <v>0</v>
      </c>
      <c r="X79" s="205">
        <f>IF(ISNUMBER(W79),W79*(Y79/W$41+Z79*(1+AA79/W$30^0.3)),0)</f>
        <v>0</v>
      </c>
      <c r="Y79" s="202">
        <v>800</v>
      </c>
      <c r="Z79" s="202">
        <v>0.27</v>
      </c>
      <c r="AA79" s="202"/>
      <c r="AB79" s="202" t="s">
        <v>444</v>
      </c>
      <c r="AC79" s="202">
        <v>0</v>
      </c>
      <c r="AD79" s="205">
        <f>IF(ISNUMBER(AC79),AC79*(AE79/AC$41+AF79*(1+AG79/AC$30^0.3)),0)</f>
        <v>0</v>
      </c>
      <c r="AE79" s="202">
        <v>800</v>
      </c>
      <c r="AF79" s="202">
        <v>0.27</v>
      </c>
      <c r="AG79" s="202"/>
      <c r="AH79" s="202" t="s">
        <v>444</v>
      </c>
      <c r="AI79" s="202">
        <v>0</v>
      </c>
      <c r="AJ79" s="205">
        <f>IF(ISNUMBER(AI79),AI79*(AK79/AI$41+AL79*(1+AM79/AI$30^0.3)),0)</f>
        <v>0</v>
      </c>
      <c r="AK79" s="202">
        <v>800</v>
      </c>
      <c r="AL79" s="202">
        <v>0.27</v>
      </c>
      <c r="AM79" s="202"/>
      <c r="AN79" s="202" t="s">
        <v>444</v>
      </c>
      <c r="AO79" s="202">
        <v>0</v>
      </c>
      <c r="AP79" s="205">
        <f>IF(ISNUMBER(AO79),AO79*(AQ79/AO$41+AR79*(1+AS79/AO$30^0.3)),0)</f>
        <v>0</v>
      </c>
      <c r="AQ79" s="202">
        <v>800</v>
      </c>
      <c r="AR79" s="202">
        <v>0.27</v>
      </c>
      <c r="AS79" s="202"/>
      <c r="AT79" s="202" t="s">
        <v>444</v>
      </c>
      <c r="AU79" s="202">
        <v>0</v>
      </c>
      <c r="AV79" s="205">
        <f>IF(ISNUMBER(AU79),AU79*(AW79/AU$41+AX79*(1+AY79/AU$30^0.3)),0)</f>
        <v>0</v>
      </c>
      <c r="AW79" s="202">
        <v>800</v>
      </c>
      <c r="AX79" s="202">
        <v>0.27</v>
      </c>
      <c r="AY79" s="202"/>
      <c r="AZ79" s="202" t="s">
        <v>444</v>
      </c>
      <c r="BA79" s="202">
        <v>0</v>
      </c>
      <c r="BB79" s="205">
        <f>IF(ISNUMBER(BA79),BA79*(BC79/BA$41+BD79*(1+BE79/BA$30^0.3)),0)</f>
        <v>0</v>
      </c>
      <c r="BC79" s="202">
        <v>800</v>
      </c>
      <c r="BD79" s="202">
        <v>0.27</v>
      </c>
      <c r="BE79" s="202"/>
      <c r="BF79" s="202" t="s">
        <v>444</v>
      </c>
      <c r="BG79" s="202">
        <v>0</v>
      </c>
      <c r="BH79" s="205">
        <f>IF(ISNUMBER(BG79),BG79*(BI79/BG$41+BJ79*(1+BK79/BG$30^0.3)),0)</f>
        <v>0</v>
      </c>
      <c r="BI79" s="202">
        <v>800</v>
      </c>
      <c r="BJ79" s="202">
        <v>0.27</v>
      </c>
      <c r="BK79" s="202"/>
      <c r="BL79" s="202" t="s">
        <v>444</v>
      </c>
      <c r="BM79" s="202">
        <v>0</v>
      </c>
      <c r="BN79" s="205">
        <f>IF(ISNUMBER(BM79),BM79*(BO79/BM$41+BP79*(1+BQ79/BM$30^0.3)),0)</f>
        <v>0</v>
      </c>
      <c r="BO79" s="202">
        <v>800</v>
      </c>
      <c r="BP79" s="202">
        <v>0.27</v>
      </c>
      <c r="BQ79" s="202"/>
      <c r="BR79" s="202" t="s">
        <v>444</v>
      </c>
      <c r="BS79" s="202">
        <v>0</v>
      </c>
      <c r="BT79" s="205">
        <f>IF(ISNUMBER(BS79),BS79*(BU79/BS$41+BV79*(1+BW79/BS$30^0.3)),0)</f>
        <v>0</v>
      </c>
      <c r="BU79" s="202">
        <v>800</v>
      </c>
      <c r="BV79" s="202">
        <v>0.27</v>
      </c>
      <c r="BW79" s="202"/>
      <c r="BX79" s="202" t="s">
        <v>444</v>
      </c>
      <c r="BY79" s="202">
        <v>0</v>
      </c>
      <c r="BZ79" s="205">
        <f>IF(ISNUMBER(BY79),BY79*(CA79/BY$41+CB79*(1+CC79/BY$30^0.3)),0)</f>
        <v>0</v>
      </c>
      <c r="CA79" s="202">
        <v>800</v>
      </c>
      <c r="CB79" s="202">
        <v>0.27</v>
      </c>
      <c r="CC79" s="202"/>
      <c r="CD79" s="202" t="s">
        <v>444</v>
      </c>
      <c r="CE79" s="202">
        <v>0</v>
      </c>
      <c r="CF79" s="205">
        <f>IF(ISNUMBER(CE79),CE79*(CG79/CE$41+CH79*(1+CI79/CE$30^0.3)),0)</f>
        <v>0</v>
      </c>
      <c r="CG79" s="202">
        <v>800</v>
      </c>
      <c r="CH79" s="202">
        <v>0.27</v>
      </c>
      <c r="CI79" s="202"/>
      <c r="CJ79" s="202" t="s">
        <v>444</v>
      </c>
      <c r="CK79" s="202">
        <v>0</v>
      </c>
      <c r="CL79" s="205">
        <f>IF(ISNUMBER(CK79),CK79*(CM79/CK$41+CN79*(1+CO79/CK$30^0.3)),0)</f>
        <v>0</v>
      </c>
      <c r="CM79" s="202">
        <v>800</v>
      </c>
      <c r="CN79" s="202">
        <v>0.27</v>
      </c>
      <c r="CO79" s="202"/>
      <c r="CP79" s="202" t="s">
        <v>444</v>
      </c>
      <c r="CQ79" s="202">
        <v>0</v>
      </c>
      <c r="CR79" s="205">
        <f>IF(ISNUMBER(CQ79),CQ79*(CS79/CQ$41+CT79*(1+CU79/CQ$30^0.3)),0)</f>
        <v>0</v>
      </c>
      <c r="CS79" s="202">
        <v>800</v>
      </c>
      <c r="CT79" s="202">
        <v>0.27</v>
      </c>
      <c r="CU79" s="202"/>
      <c r="CV79" s="202" t="s">
        <v>444</v>
      </c>
      <c r="CW79" s="202">
        <v>0</v>
      </c>
      <c r="CX79" s="205">
        <f>IF(ISNUMBER(CW79),CW79*(CY79/CW$41+CZ79*(1+DA79/CW$28^0.3)),0)</f>
        <v>0</v>
      </c>
      <c r="CY79" s="202">
        <v>800</v>
      </c>
      <c r="CZ79" s="202">
        <v>3.5000000000000003E-2</v>
      </c>
      <c r="DA79" s="202">
        <v>4.2</v>
      </c>
      <c r="DB79" s="202" t="s">
        <v>434</v>
      </c>
      <c r="DC79" s="202">
        <v>0</v>
      </c>
      <c r="DD79" s="205">
        <f>IF(ISNUMBER(DC79),DC79*(DE79/DC$41+DF79*(1+DG79/DC$30^0.3)),0)</f>
        <v>0</v>
      </c>
      <c r="DE79" s="202">
        <v>800</v>
      </c>
      <c r="DF79" s="202">
        <v>0.27</v>
      </c>
      <c r="DG79" s="202"/>
      <c r="DH79" s="202" t="s">
        <v>444</v>
      </c>
      <c r="DI79" s="202">
        <v>0</v>
      </c>
      <c r="DJ79" s="205">
        <f>IF(ISNUMBER(DI79),DI79*(DK79/DI$41+DL79*(1+DM79/DI$30^0.3)),0)</f>
        <v>0</v>
      </c>
      <c r="DK79" s="202">
        <v>800</v>
      </c>
      <c r="DL79" s="202">
        <v>0.27</v>
      </c>
      <c r="DM79" s="202"/>
      <c r="DN79" s="202" t="s">
        <v>444</v>
      </c>
      <c r="DO79" s="202">
        <v>0</v>
      </c>
      <c r="DP79" s="205">
        <f>IF(ISNUMBER(DO79),DO79*(DQ79/DO$41+DR79*(1+DS79/DO$30^0.3)),0)</f>
        <v>0</v>
      </c>
      <c r="DQ79" s="202">
        <v>800</v>
      </c>
      <c r="DR79" s="202">
        <v>0.27</v>
      </c>
      <c r="DS79" s="202"/>
      <c r="DT79" s="202" t="s">
        <v>444</v>
      </c>
    </row>
    <row r="80" spans="2:124" x14ac:dyDescent="0.35">
      <c r="B80" s="201" t="s">
        <v>445</v>
      </c>
      <c r="C80" s="201"/>
      <c r="D80" s="201"/>
      <c r="E80" s="202">
        <v>0</v>
      </c>
      <c r="F80" s="205">
        <f>IF(ISNUMBER(E80),E80*(G80/E$41+H80*(1+I80/E$30^0.3)),0)</f>
        <v>0</v>
      </c>
      <c r="G80" s="202">
        <v>800</v>
      </c>
      <c r="H80" s="202">
        <v>0.25</v>
      </c>
      <c r="I80" s="202"/>
      <c r="J80" s="202" t="s">
        <v>444</v>
      </c>
      <c r="K80" s="324">
        <v>0</v>
      </c>
      <c r="L80" s="205">
        <f>IF(ISNUMBER(K80),K80*(M80/K$41+N80*(1+O80/K$30^0.3)),0)</f>
        <v>0</v>
      </c>
      <c r="M80" s="202">
        <v>800</v>
      </c>
      <c r="N80" s="202">
        <v>0.25</v>
      </c>
      <c r="O80" s="202"/>
      <c r="P80" s="202" t="s">
        <v>444</v>
      </c>
      <c r="Q80" s="202">
        <v>0</v>
      </c>
      <c r="R80" s="205">
        <f>IF(ISNUMBER(Q80),Q80*(S80/Q$41+T80*(1+U80/Q$30^0.3)),0)</f>
        <v>0</v>
      </c>
      <c r="S80" s="202">
        <v>800</v>
      </c>
      <c r="T80" s="202">
        <v>0.25</v>
      </c>
      <c r="U80" s="202"/>
      <c r="V80" s="202" t="s">
        <v>444</v>
      </c>
      <c r="W80" s="202">
        <v>0</v>
      </c>
      <c r="X80" s="205">
        <f>IF(ISNUMBER(W80),W80*(Y80/W$41+Z80*(1+AA80/W$30^0.3)),0)</f>
        <v>0</v>
      </c>
      <c r="Y80" s="202">
        <v>800</v>
      </c>
      <c r="Z80" s="202">
        <v>0.25</v>
      </c>
      <c r="AA80" s="202"/>
      <c r="AB80" s="202" t="s">
        <v>444</v>
      </c>
      <c r="AC80" s="202">
        <v>0</v>
      </c>
      <c r="AD80" s="205">
        <f>IF(ISNUMBER(AC80),AC80*(AE80/AC$41+AF80*(1+AG80/AC$30^0.3)),0)</f>
        <v>0</v>
      </c>
      <c r="AE80" s="202">
        <v>800</v>
      </c>
      <c r="AF80" s="202">
        <v>0.25</v>
      </c>
      <c r="AG80" s="202"/>
      <c r="AH80" s="202" t="s">
        <v>444</v>
      </c>
      <c r="AI80" s="202">
        <v>0</v>
      </c>
      <c r="AJ80" s="205">
        <f>IF(ISNUMBER(AI80),AI80*(AK80/AI$41+AL80*(1+AM80/AI$30^0.3)),0)</f>
        <v>0</v>
      </c>
      <c r="AK80" s="202">
        <v>800</v>
      </c>
      <c r="AL80" s="202">
        <v>0.25</v>
      </c>
      <c r="AM80" s="202"/>
      <c r="AN80" s="202" t="s">
        <v>444</v>
      </c>
      <c r="AO80" s="202">
        <v>0</v>
      </c>
      <c r="AP80" s="205">
        <f>IF(ISNUMBER(AO80),AO80*(AQ80/AO$41+AR80*(1+AS80/AO$30^0.3)),0)</f>
        <v>0</v>
      </c>
      <c r="AQ80" s="202">
        <v>800</v>
      </c>
      <c r="AR80" s="202">
        <v>0.25</v>
      </c>
      <c r="AS80" s="202"/>
      <c r="AT80" s="202" t="s">
        <v>444</v>
      </c>
      <c r="AU80" s="202">
        <v>0</v>
      </c>
      <c r="AV80" s="205">
        <f>IF(ISNUMBER(AU80),AU80*(AW80/AU$41+AX80*(1+AY80/AU$30^0.3)),0)</f>
        <v>0</v>
      </c>
      <c r="AW80" s="202">
        <v>800</v>
      </c>
      <c r="AX80" s="202">
        <v>0.25</v>
      </c>
      <c r="AY80" s="202"/>
      <c r="AZ80" s="202" t="s">
        <v>444</v>
      </c>
      <c r="BA80" s="202">
        <v>0</v>
      </c>
      <c r="BB80" s="205">
        <f>IF(ISNUMBER(BA80),BA80*(BC80/BA$41+BD80*(1+BE80/BA$30^0.3)),0)</f>
        <v>0</v>
      </c>
      <c r="BC80" s="202">
        <v>800</v>
      </c>
      <c r="BD80" s="202">
        <v>0.25</v>
      </c>
      <c r="BE80" s="202"/>
      <c r="BF80" s="202" t="s">
        <v>444</v>
      </c>
      <c r="BG80" s="202">
        <v>0</v>
      </c>
      <c r="BH80" s="205">
        <f>IF(ISNUMBER(BG80),BG80*(BI80/BG$41+BJ80*(1+BK80/BG$30^0.3)),0)</f>
        <v>0</v>
      </c>
      <c r="BI80" s="202">
        <v>800</v>
      </c>
      <c r="BJ80" s="202">
        <v>0.25</v>
      </c>
      <c r="BK80" s="202"/>
      <c r="BL80" s="202" t="s">
        <v>444</v>
      </c>
      <c r="BM80" s="202">
        <v>0</v>
      </c>
      <c r="BN80" s="205">
        <f>IF(ISNUMBER(BM80),BM80*(BO80/BM$41+BP80*(1+BQ80/BM$30^0.3)),0)</f>
        <v>0</v>
      </c>
      <c r="BO80" s="202">
        <v>800</v>
      </c>
      <c r="BP80" s="202">
        <v>0.25</v>
      </c>
      <c r="BQ80" s="202"/>
      <c r="BR80" s="202" t="s">
        <v>444</v>
      </c>
      <c r="BS80" s="202">
        <v>0</v>
      </c>
      <c r="BT80" s="205">
        <f>IF(ISNUMBER(BS80),BS80*(BU80/BS$41+BV80*(1+BW80/BS$30^0.3)),0)</f>
        <v>0</v>
      </c>
      <c r="BU80" s="202">
        <v>800</v>
      </c>
      <c r="BV80" s="202">
        <v>0.25</v>
      </c>
      <c r="BW80" s="202"/>
      <c r="BX80" s="202" t="s">
        <v>444</v>
      </c>
      <c r="BY80" s="202">
        <v>0</v>
      </c>
      <c r="BZ80" s="205">
        <f>IF(ISNUMBER(BY80),BY80*(CA80/BY$41+CB80*(1+CC80/BY$30^0.3)),0)</f>
        <v>0</v>
      </c>
      <c r="CA80" s="202">
        <v>800</v>
      </c>
      <c r="CB80" s="202">
        <v>0.25</v>
      </c>
      <c r="CC80" s="202"/>
      <c r="CD80" s="202" t="s">
        <v>444</v>
      </c>
      <c r="CE80" s="202">
        <v>0</v>
      </c>
      <c r="CF80" s="205">
        <f>IF(ISNUMBER(CE80),CE80*(CG80/CE$41+CH80*(1+CI80/CE$30^0.3)),0)</f>
        <v>0</v>
      </c>
      <c r="CG80" s="202">
        <v>800</v>
      </c>
      <c r="CH80" s="202">
        <v>0.25</v>
      </c>
      <c r="CI80" s="202"/>
      <c r="CJ80" s="202" t="s">
        <v>444</v>
      </c>
      <c r="CK80" s="202">
        <v>0</v>
      </c>
      <c r="CL80" s="205">
        <f>IF(ISNUMBER(CK80),CK80*(CM80/CK$41+CN80*(1+CO80/CK$30^0.3)),0)</f>
        <v>0</v>
      </c>
      <c r="CM80" s="202">
        <v>800</v>
      </c>
      <c r="CN80" s="202">
        <v>0.25</v>
      </c>
      <c r="CO80" s="202"/>
      <c r="CP80" s="202" t="s">
        <v>444</v>
      </c>
      <c r="CQ80" s="202">
        <v>0</v>
      </c>
      <c r="CR80" s="205">
        <f>IF(ISNUMBER(CQ80),CQ80*(CS80/CQ$41+CT80*(1+CU80/CQ$30^0.3)),0)</f>
        <v>0</v>
      </c>
      <c r="CS80" s="202">
        <v>800</v>
      </c>
      <c r="CT80" s="202">
        <v>0.25</v>
      </c>
      <c r="CU80" s="202"/>
      <c r="CV80" s="202" t="s">
        <v>444</v>
      </c>
      <c r="CW80" s="202">
        <v>0</v>
      </c>
      <c r="CX80" s="205">
        <f>IF(ISNUMBER(CW80),CW80*(CY80/CW$41+CZ80*(1+DA80/CW$30^0.3)),0)</f>
        <v>0</v>
      </c>
      <c r="CY80" s="202">
        <v>800</v>
      </c>
      <c r="CZ80" s="202">
        <v>0.27</v>
      </c>
      <c r="DA80" s="202"/>
      <c r="DB80" s="202" t="s">
        <v>444</v>
      </c>
      <c r="DC80" s="202">
        <v>0</v>
      </c>
      <c r="DD80" s="205">
        <f>IF(ISNUMBER(DC80),DC80*(DE80/DC$41+DF80*(1+DG80/DC$30^0.3)),0)</f>
        <v>0</v>
      </c>
      <c r="DE80" s="202">
        <v>800</v>
      </c>
      <c r="DF80" s="202">
        <v>0.25</v>
      </c>
      <c r="DG80" s="202"/>
      <c r="DH80" s="202" t="s">
        <v>444</v>
      </c>
      <c r="DI80" s="202">
        <v>0</v>
      </c>
      <c r="DJ80" s="205">
        <f>IF(ISNUMBER(DI80),DI80*(DK80/DI$41+DL80*(1+DM80/DI$30^0.3)),0)</f>
        <v>0</v>
      </c>
      <c r="DK80" s="202">
        <v>800</v>
      </c>
      <c r="DL80" s="202">
        <v>0.25</v>
      </c>
      <c r="DM80" s="202"/>
      <c r="DN80" s="202" t="s">
        <v>444</v>
      </c>
      <c r="DO80" s="202">
        <v>0</v>
      </c>
      <c r="DP80" s="205">
        <f>IF(ISNUMBER(DO80),DO80*(DQ80/DO$41+DR80*(1+DS80/DO$30^0.3)),0)</f>
        <v>0</v>
      </c>
      <c r="DQ80" s="202">
        <v>800</v>
      </c>
      <c r="DR80" s="202">
        <v>0.25</v>
      </c>
      <c r="DS80" s="202"/>
      <c r="DT80" s="202" t="s">
        <v>444</v>
      </c>
    </row>
    <row r="81" spans="2:124" x14ac:dyDescent="0.35">
      <c r="B81" s="203" t="s">
        <v>446</v>
      </c>
      <c r="C81" s="203"/>
      <c r="D81" s="203"/>
      <c r="E81" s="204" t="s">
        <v>515</v>
      </c>
      <c r="F81" s="203"/>
      <c r="G81" s="203"/>
      <c r="H81" s="203"/>
      <c r="I81" s="203"/>
      <c r="J81" s="203"/>
      <c r="K81" s="204" t="s">
        <v>515</v>
      </c>
      <c r="L81" s="203"/>
      <c r="M81" s="203"/>
      <c r="N81" s="203"/>
      <c r="O81" s="203"/>
      <c r="P81" s="203"/>
      <c r="Q81" s="204" t="s">
        <v>515</v>
      </c>
      <c r="R81" s="203"/>
      <c r="S81" s="203"/>
      <c r="T81" s="203"/>
      <c r="U81" s="203"/>
      <c r="V81" s="203"/>
      <c r="W81" s="204" t="s">
        <v>515</v>
      </c>
      <c r="X81" s="203"/>
      <c r="Y81" s="203"/>
      <c r="Z81" s="203"/>
      <c r="AA81" s="203"/>
      <c r="AB81" s="203"/>
      <c r="AC81" s="204" t="s">
        <v>515</v>
      </c>
      <c r="AD81" s="203"/>
      <c r="AE81" s="203"/>
      <c r="AF81" s="203"/>
      <c r="AG81" s="203"/>
      <c r="AH81" s="203"/>
      <c r="AI81" s="204" t="s">
        <v>515</v>
      </c>
      <c r="AJ81" s="203"/>
      <c r="AK81" s="203"/>
      <c r="AL81" s="203"/>
      <c r="AM81" s="203"/>
      <c r="AN81" s="203"/>
      <c r="AO81" s="204" t="s">
        <v>515</v>
      </c>
      <c r="AP81" s="203"/>
      <c r="AQ81" s="203"/>
      <c r="AR81" s="203"/>
      <c r="AS81" s="203"/>
      <c r="AT81" s="203"/>
      <c r="AU81" s="204" t="s">
        <v>515</v>
      </c>
      <c r="AV81" s="203"/>
      <c r="AW81" s="203"/>
      <c r="AX81" s="203"/>
      <c r="AY81" s="203"/>
      <c r="AZ81" s="203"/>
      <c r="BA81" s="204" t="s">
        <v>515</v>
      </c>
      <c r="BB81" s="203"/>
      <c r="BC81" s="203"/>
      <c r="BD81" s="203"/>
      <c r="BE81" s="203"/>
      <c r="BF81" s="203"/>
      <c r="BG81" s="204" t="s">
        <v>515</v>
      </c>
      <c r="BH81" s="203"/>
      <c r="BI81" s="203"/>
      <c r="BJ81" s="203"/>
      <c r="BK81" s="203"/>
      <c r="BL81" s="203"/>
      <c r="BM81" s="204" t="s">
        <v>515</v>
      </c>
      <c r="BN81" s="203"/>
      <c r="BO81" s="203"/>
      <c r="BP81" s="203"/>
      <c r="BQ81" s="203"/>
      <c r="BR81" s="203"/>
      <c r="BS81" s="204" t="s">
        <v>515</v>
      </c>
      <c r="BT81" s="203"/>
      <c r="BU81" s="203"/>
      <c r="BV81" s="203"/>
      <c r="BW81" s="203"/>
      <c r="BX81" s="203"/>
      <c r="BY81" s="204" t="s">
        <v>515</v>
      </c>
      <c r="BZ81" s="203"/>
      <c r="CA81" s="203"/>
      <c r="CB81" s="203"/>
      <c r="CC81" s="203"/>
      <c r="CD81" s="203"/>
      <c r="CE81" s="204" t="s">
        <v>515</v>
      </c>
      <c r="CF81" s="203"/>
      <c r="CG81" s="203"/>
      <c r="CH81" s="203"/>
      <c r="CI81" s="203"/>
      <c r="CJ81" s="203"/>
      <c r="CK81" s="204" t="s">
        <v>515</v>
      </c>
      <c r="CL81" s="203"/>
      <c r="CM81" s="203"/>
      <c r="CN81" s="203"/>
      <c r="CO81" s="203"/>
      <c r="CP81" s="203"/>
      <c r="CQ81" s="204" t="s">
        <v>515</v>
      </c>
      <c r="CR81" s="203"/>
      <c r="CS81" s="203"/>
      <c r="CT81" s="203"/>
      <c r="CU81" s="203"/>
      <c r="CV81" s="203"/>
      <c r="CW81" s="202">
        <v>0</v>
      </c>
      <c r="CX81" s="205">
        <f>IF(ISNUMBER(CW81),CW81*(CY81/CW$41+CZ81*(1+DA81/CW$30^0.3)),0)</f>
        <v>0</v>
      </c>
      <c r="CY81" s="202">
        <v>800</v>
      </c>
      <c r="CZ81" s="202">
        <v>0.25</v>
      </c>
      <c r="DA81" s="202"/>
      <c r="DB81" s="202" t="s">
        <v>444</v>
      </c>
      <c r="DC81" s="204" t="s">
        <v>515</v>
      </c>
      <c r="DD81" s="203"/>
      <c r="DE81" s="203"/>
      <c r="DF81" s="203"/>
      <c r="DG81" s="203"/>
      <c r="DH81" s="203"/>
      <c r="DI81" s="204" t="s">
        <v>515</v>
      </c>
      <c r="DJ81" s="203"/>
      <c r="DK81" s="203"/>
      <c r="DL81" s="203"/>
      <c r="DM81" s="203"/>
      <c r="DN81" s="203"/>
      <c r="DO81" s="204" t="s">
        <v>515</v>
      </c>
      <c r="DP81" s="203"/>
      <c r="DQ81" s="203"/>
      <c r="DR81" s="203"/>
      <c r="DS81" s="203"/>
      <c r="DT81" s="203"/>
    </row>
    <row r="82" spans="2:124" x14ac:dyDescent="0.35">
      <c r="B82" s="201" t="s">
        <v>447</v>
      </c>
      <c r="C82" s="13"/>
      <c r="D82" s="13"/>
      <c r="E82" s="202">
        <v>0</v>
      </c>
      <c r="F82" s="205">
        <f t="shared" ref="F82:F110" si="134">IF(ISNUMBER(E82),E82*(G82/E$41+H82*(1+I82/E$28^0.3)),0)</f>
        <v>0</v>
      </c>
      <c r="G82" s="202">
        <v>500</v>
      </c>
      <c r="H82" s="202">
        <v>7.0999999999999994E-2</v>
      </c>
      <c r="I82" s="202">
        <v>4.2</v>
      </c>
      <c r="J82" s="202" t="s">
        <v>434</v>
      </c>
      <c r="K82" s="324">
        <v>1</v>
      </c>
      <c r="L82" s="205">
        <f t="shared" ref="L82:L85" si="135">IF(ISNUMBER(K82),K82*(M82/K$41+N82*(1+O82/K$28^0.3)),0)</f>
        <v>0.24569551680530105</v>
      </c>
      <c r="M82" s="202">
        <v>500</v>
      </c>
      <c r="N82" s="202">
        <v>7.0999999999999994E-2</v>
      </c>
      <c r="O82" s="202">
        <v>4.2</v>
      </c>
      <c r="P82" s="202" t="s">
        <v>434</v>
      </c>
      <c r="Q82" s="202">
        <v>1</v>
      </c>
      <c r="R82" s="205">
        <f t="shared" ref="R82:R85" si="136">IF(ISNUMBER(Q82),Q82*(S82/Q$41+T82*(1+U82/Q$28^0.3)),0)</f>
        <v>0.24569551680530105</v>
      </c>
      <c r="S82" s="202">
        <v>500</v>
      </c>
      <c r="T82" s="202">
        <v>7.0999999999999994E-2</v>
      </c>
      <c r="U82" s="202">
        <v>4.2</v>
      </c>
      <c r="V82" s="202" t="s">
        <v>434</v>
      </c>
      <c r="W82" s="202">
        <v>1</v>
      </c>
      <c r="X82" s="205">
        <f t="shared" ref="X82:X85" si="137">IF(ISNUMBER(W82),W82*(Y82/W$41+Z82*(1+AA82/W$28^0.3)),0)</f>
        <v>0.24547272950017557</v>
      </c>
      <c r="Y82" s="202">
        <v>500</v>
      </c>
      <c r="Z82" s="202">
        <v>7.0999999999999994E-2</v>
      </c>
      <c r="AA82" s="202">
        <v>4.2</v>
      </c>
      <c r="AB82" s="202" t="s">
        <v>434</v>
      </c>
      <c r="AC82" s="202">
        <v>1</v>
      </c>
      <c r="AD82" s="205">
        <f t="shared" ref="AD82:AD85" si="138">IF(ISNUMBER(AC82),AC82*(AE82/AC$41+AF82*(1+AG82/AC$28^0.3)),0)</f>
        <v>0.26791591183778862</v>
      </c>
      <c r="AE82" s="202">
        <v>500</v>
      </c>
      <c r="AF82" s="202">
        <v>7.0999999999999994E-2</v>
      </c>
      <c r="AG82" s="202">
        <v>4.2</v>
      </c>
      <c r="AH82" s="202" t="s">
        <v>434</v>
      </c>
      <c r="AI82" s="202">
        <v>1</v>
      </c>
      <c r="AJ82" s="205">
        <f t="shared" ref="AJ82:AJ85" si="139">IF(ISNUMBER(AI82),AI82*(AK82/AI$41+AL82*(1+AM82/AI$28^0.3)),0)</f>
        <v>0.26791591183778862</v>
      </c>
      <c r="AK82" s="202">
        <v>500</v>
      </c>
      <c r="AL82" s="202">
        <v>7.0999999999999994E-2</v>
      </c>
      <c r="AM82" s="202">
        <v>4.2</v>
      </c>
      <c r="AN82" s="202" t="s">
        <v>434</v>
      </c>
      <c r="AO82" s="202">
        <v>1</v>
      </c>
      <c r="AP82" s="205">
        <f t="shared" ref="AP82:AP85" si="140">IF(ISNUMBER(AO82),AO82*(AQ82/AO$41+AR82*(1+AS82/AO$28^0.3)),0)</f>
        <v>0.26791591183778862</v>
      </c>
      <c r="AQ82" s="202">
        <v>500</v>
      </c>
      <c r="AR82" s="202">
        <v>7.0999999999999994E-2</v>
      </c>
      <c r="AS82" s="202">
        <v>4.2</v>
      </c>
      <c r="AT82" s="202" t="s">
        <v>434</v>
      </c>
      <c r="AU82" s="202">
        <v>1</v>
      </c>
      <c r="AV82" s="205">
        <f t="shared" ref="AV82:AV85" si="141">IF(ISNUMBER(AU82),AU82*(AW82/AU$41+AX82*(1+AY82/AU$28^0.3)),0)</f>
        <v>0.26791596303189463</v>
      </c>
      <c r="AW82" s="202">
        <v>500</v>
      </c>
      <c r="AX82" s="202">
        <v>7.0999999999999994E-2</v>
      </c>
      <c r="AY82" s="202">
        <v>4.2</v>
      </c>
      <c r="AZ82" s="202" t="s">
        <v>434</v>
      </c>
      <c r="BA82" s="202">
        <v>1</v>
      </c>
      <c r="BB82" s="205">
        <f t="shared" ref="BB82:BB85" si="142">IF(ISNUMBER(BA82),BA82*(BC82/BA$41+BD82*(1+BE82/BA$28^0.3)),0)</f>
        <v>0.26791596303189463</v>
      </c>
      <c r="BC82" s="202">
        <v>500</v>
      </c>
      <c r="BD82" s="202">
        <v>7.0999999999999994E-2</v>
      </c>
      <c r="BE82" s="202">
        <v>4.2</v>
      </c>
      <c r="BF82" s="202" t="s">
        <v>434</v>
      </c>
      <c r="BG82" s="202">
        <v>1</v>
      </c>
      <c r="BH82" s="205">
        <f t="shared" ref="BH82:BH85" si="143">IF(ISNUMBER(BG82),BG82*(BI82/BG$41+BJ82*(1+BK82/BG$28^0.3)),0)</f>
        <v>0.26791596303189463</v>
      </c>
      <c r="BI82" s="202">
        <v>500</v>
      </c>
      <c r="BJ82" s="202">
        <v>7.0999999999999994E-2</v>
      </c>
      <c r="BK82" s="202">
        <v>4.2</v>
      </c>
      <c r="BL82" s="202" t="s">
        <v>434</v>
      </c>
      <c r="BM82" s="202">
        <v>1</v>
      </c>
      <c r="BN82" s="205">
        <f t="shared" ref="BN82:BN85" si="144">IF(ISNUMBER(BM82),BM82*(BO82/BM$41+BP82*(1+BQ82/BM$28^0.3)),0)</f>
        <v>0.23181895735077687</v>
      </c>
      <c r="BO82" s="202">
        <v>500</v>
      </c>
      <c r="BP82" s="202">
        <v>7.0999999999999994E-2</v>
      </c>
      <c r="BQ82" s="202">
        <v>4.2</v>
      </c>
      <c r="BR82" s="202" t="s">
        <v>434</v>
      </c>
      <c r="BS82" s="202">
        <v>1</v>
      </c>
      <c r="BT82" s="205">
        <f t="shared" ref="BT82:BT85" si="145">IF(ISNUMBER(BS82),BS82*(BU82/BS$41+BV82*(1+BW82/BS$28^0.3)),0)</f>
        <v>0.23157415145191107</v>
      </c>
      <c r="BU82" s="202">
        <v>500</v>
      </c>
      <c r="BV82" s="202">
        <v>7.0999999999999994E-2</v>
      </c>
      <c r="BW82" s="202">
        <v>4.2</v>
      </c>
      <c r="BX82" s="202" t="s">
        <v>434</v>
      </c>
      <c r="BY82" s="202">
        <v>1</v>
      </c>
      <c r="BZ82" s="205">
        <f t="shared" ref="BZ82:BZ85" si="146">IF(ISNUMBER(BY82),BY82*(CA82/BY$41+CB82*(1+CC82/BY$28^0.3)),0)</f>
        <v>0.26812843073466486</v>
      </c>
      <c r="CA82" s="202">
        <v>500</v>
      </c>
      <c r="CB82" s="202">
        <v>7.0999999999999994E-2</v>
      </c>
      <c r="CC82" s="202">
        <v>4.2</v>
      </c>
      <c r="CD82" s="202" t="s">
        <v>434</v>
      </c>
      <c r="CE82" s="202">
        <v>1</v>
      </c>
      <c r="CF82" s="205">
        <f t="shared" ref="CF82:CF85" si="147">IF(ISNUMBER(CE82),CE82*(CG82/CE$41+CH82*(1+CI82/CE$28^0.3)),0)</f>
        <v>0.26812843073466486</v>
      </c>
      <c r="CG82" s="202">
        <v>500</v>
      </c>
      <c r="CH82" s="202">
        <v>7.0999999999999994E-2</v>
      </c>
      <c r="CI82" s="202">
        <v>4.2</v>
      </c>
      <c r="CJ82" s="202" t="s">
        <v>434</v>
      </c>
      <c r="CK82" s="202">
        <v>1</v>
      </c>
      <c r="CL82" s="205">
        <f t="shared" ref="CL82:CL85" si="148">IF(ISNUMBER(CK82),CK82*(CM82/CK$41+CN82*(1+CO82/CK$28^0.3)),0)</f>
        <v>0.28611233786725876</v>
      </c>
      <c r="CM82" s="202">
        <v>500</v>
      </c>
      <c r="CN82" s="202">
        <v>7.0999999999999994E-2</v>
      </c>
      <c r="CO82" s="202">
        <v>4.2</v>
      </c>
      <c r="CP82" s="202" t="s">
        <v>434</v>
      </c>
      <c r="CQ82" s="202">
        <v>1</v>
      </c>
      <c r="CR82" s="205">
        <f t="shared" ref="CR82:CR85" si="149">IF(ISNUMBER(CQ82),CQ82*(CS82/CQ$41+CT82*(1+CU82/CQ$28^0.3)),0)</f>
        <v>0.28611233786725876</v>
      </c>
      <c r="CS82" s="202">
        <v>500</v>
      </c>
      <c r="CT82" s="202">
        <v>7.0999999999999994E-2</v>
      </c>
      <c r="CU82" s="202">
        <v>4.2</v>
      </c>
      <c r="CV82" s="202" t="s">
        <v>434</v>
      </c>
      <c r="CW82" s="204" t="s">
        <v>515</v>
      </c>
      <c r="CX82" s="203"/>
      <c r="CY82" s="203"/>
      <c r="CZ82" s="203"/>
      <c r="DA82" s="203"/>
      <c r="DB82" s="203"/>
      <c r="DC82" s="202">
        <v>1</v>
      </c>
      <c r="DD82" s="205">
        <f t="shared" ref="DD82:DD85" si="150">IF(ISNUMBER(DC82),DC82*(DE82/DC$41+DF82*(1+DG82/DC$28^0.3)),0)</f>
        <v>0.28611233786725876</v>
      </c>
      <c r="DE82" s="202">
        <v>500</v>
      </c>
      <c r="DF82" s="202">
        <v>7.0999999999999994E-2</v>
      </c>
      <c r="DG82" s="202">
        <v>4.2</v>
      </c>
      <c r="DH82" s="202" t="s">
        <v>434</v>
      </c>
      <c r="DI82" s="202">
        <v>1</v>
      </c>
      <c r="DJ82" s="205">
        <f t="shared" ref="DJ82:DJ85" si="151">IF(ISNUMBER(DI82),DI82*(DK82/DI$41+DL82*(1+DM82/DI$28^0.3)),0)</f>
        <v>0.28611233786725876</v>
      </c>
      <c r="DK82" s="202">
        <v>500</v>
      </c>
      <c r="DL82" s="202">
        <v>7.0999999999999994E-2</v>
      </c>
      <c r="DM82" s="202">
        <v>4.2</v>
      </c>
      <c r="DN82" s="202" t="s">
        <v>434</v>
      </c>
      <c r="DO82" s="202">
        <v>1</v>
      </c>
      <c r="DP82" s="205">
        <f t="shared" ref="DP82:DP85" si="152">IF(ISNUMBER(DO82),DO82*(DQ82/DO$41+DR82*(1+DS82/DO$28^0.3)),0)</f>
        <v>2.2069460563882677</v>
      </c>
      <c r="DQ82" s="202">
        <v>500</v>
      </c>
      <c r="DR82" s="202">
        <v>7.0999999999999994E-2</v>
      </c>
      <c r="DS82" s="202">
        <v>4.2</v>
      </c>
      <c r="DT82" s="202" t="s">
        <v>434</v>
      </c>
    </row>
    <row r="83" spans="2:124" x14ac:dyDescent="0.35">
      <c r="B83" s="201" t="s">
        <v>448</v>
      </c>
      <c r="C83" s="13"/>
      <c r="D83" s="13"/>
      <c r="E83" s="202">
        <v>0</v>
      </c>
      <c r="F83" s="205">
        <f t="shared" si="134"/>
        <v>0</v>
      </c>
      <c r="G83" s="202">
        <v>500</v>
      </c>
      <c r="H83" s="202">
        <v>5.1999999999999998E-2</v>
      </c>
      <c r="I83" s="202">
        <v>4</v>
      </c>
      <c r="J83" s="202" t="s">
        <v>434</v>
      </c>
      <c r="K83" s="324">
        <v>0</v>
      </c>
      <c r="L83" s="205">
        <f t="shared" si="135"/>
        <v>0</v>
      </c>
      <c r="M83" s="202">
        <v>500</v>
      </c>
      <c r="N83" s="202">
        <v>5.1999999999999998E-2</v>
      </c>
      <c r="O83" s="202">
        <v>4</v>
      </c>
      <c r="P83" s="202" t="s">
        <v>434</v>
      </c>
      <c r="Q83" s="202">
        <v>0</v>
      </c>
      <c r="R83" s="205">
        <f t="shared" si="136"/>
        <v>0</v>
      </c>
      <c r="S83" s="202">
        <v>500</v>
      </c>
      <c r="T83" s="202">
        <v>5.1999999999999998E-2</v>
      </c>
      <c r="U83" s="202">
        <v>4</v>
      </c>
      <c r="V83" s="202" t="s">
        <v>434</v>
      </c>
      <c r="W83" s="202">
        <v>0</v>
      </c>
      <c r="X83" s="205">
        <f t="shared" si="137"/>
        <v>0</v>
      </c>
      <c r="Y83" s="202">
        <v>500</v>
      </c>
      <c r="Z83" s="202">
        <v>5.1999999999999998E-2</v>
      </c>
      <c r="AA83" s="202">
        <v>4</v>
      </c>
      <c r="AB83" s="202" t="s">
        <v>434</v>
      </c>
      <c r="AC83" s="202">
        <v>0</v>
      </c>
      <c r="AD83" s="205">
        <f t="shared" si="138"/>
        <v>0</v>
      </c>
      <c r="AE83" s="202">
        <v>500</v>
      </c>
      <c r="AF83" s="202">
        <v>5.1999999999999998E-2</v>
      </c>
      <c r="AG83" s="202">
        <v>4</v>
      </c>
      <c r="AH83" s="202" t="s">
        <v>434</v>
      </c>
      <c r="AI83" s="202">
        <v>0</v>
      </c>
      <c r="AJ83" s="205">
        <f t="shared" si="139"/>
        <v>0</v>
      </c>
      <c r="AK83" s="202">
        <v>500</v>
      </c>
      <c r="AL83" s="202">
        <v>5.1999999999999998E-2</v>
      </c>
      <c r="AM83" s="202">
        <v>4</v>
      </c>
      <c r="AN83" s="202" t="s">
        <v>434</v>
      </c>
      <c r="AO83" s="202">
        <v>0</v>
      </c>
      <c r="AP83" s="205">
        <f t="shared" si="140"/>
        <v>0</v>
      </c>
      <c r="AQ83" s="202">
        <v>500</v>
      </c>
      <c r="AR83" s="202">
        <v>5.1999999999999998E-2</v>
      </c>
      <c r="AS83" s="202">
        <v>4</v>
      </c>
      <c r="AT83" s="202" t="s">
        <v>434</v>
      </c>
      <c r="AU83" s="202">
        <v>0</v>
      </c>
      <c r="AV83" s="205">
        <f t="shared" si="141"/>
        <v>0</v>
      </c>
      <c r="AW83" s="202">
        <v>500</v>
      </c>
      <c r="AX83" s="202">
        <v>5.1999999999999998E-2</v>
      </c>
      <c r="AY83" s="202">
        <v>4</v>
      </c>
      <c r="AZ83" s="202" t="s">
        <v>434</v>
      </c>
      <c r="BA83" s="202">
        <v>0</v>
      </c>
      <c r="BB83" s="205">
        <f t="shared" si="142"/>
        <v>0</v>
      </c>
      <c r="BC83" s="202">
        <v>500</v>
      </c>
      <c r="BD83" s="202">
        <v>5.1999999999999998E-2</v>
      </c>
      <c r="BE83" s="202">
        <v>4</v>
      </c>
      <c r="BF83" s="202" t="s">
        <v>434</v>
      </c>
      <c r="BG83" s="202">
        <v>0</v>
      </c>
      <c r="BH83" s="205">
        <f t="shared" si="143"/>
        <v>0</v>
      </c>
      <c r="BI83" s="202">
        <v>500</v>
      </c>
      <c r="BJ83" s="202">
        <v>5.1999999999999998E-2</v>
      </c>
      <c r="BK83" s="202">
        <v>4</v>
      </c>
      <c r="BL83" s="202" t="s">
        <v>434</v>
      </c>
      <c r="BM83" s="202">
        <v>0</v>
      </c>
      <c r="BN83" s="205">
        <f t="shared" si="144"/>
        <v>0</v>
      </c>
      <c r="BO83" s="202">
        <v>500</v>
      </c>
      <c r="BP83" s="202">
        <v>5.1999999999999998E-2</v>
      </c>
      <c r="BQ83" s="202">
        <v>4</v>
      </c>
      <c r="BR83" s="202" t="s">
        <v>434</v>
      </c>
      <c r="BS83" s="202">
        <v>0</v>
      </c>
      <c r="BT83" s="205">
        <f t="shared" si="145"/>
        <v>0</v>
      </c>
      <c r="BU83" s="202">
        <v>500</v>
      </c>
      <c r="BV83" s="202">
        <v>5.1999999999999998E-2</v>
      </c>
      <c r="BW83" s="202">
        <v>4</v>
      </c>
      <c r="BX83" s="202" t="s">
        <v>434</v>
      </c>
      <c r="BY83" s="202">
        <v>0</v>
      </c>
      <c r="BZ83" s="205">
        <f t="shared" si="146"/>
        <v>0</v>
      </c>
      <c r="CA83" s="202">
        <v>500</v>
      </c>
      <c r="CB83" s="202">
        <v>5.1999999999999998E-2</v>
      </c>
      <c r="CC83" s="202">
        <v>4</v>
      </c>
      <c r="CD83" s="202" t="s">
        <v>434</v>
      </c>
      <c r="CE83" s="202">
        <v>0</v>
      </c>
      <c r="CF83" s="205">
        <f t="shared" si="147"/>
        <v>0</v>
      </c>
      <c r="CG83" s="202">
        <v>500</v>
      </c>
      <c r="CH83" s="202">
        <v>5.1999999999999998E-2</v>
      </c>
      <c r="CI83" s="202">
        <v>4</v>
      </c>
      <c r="CJ83" s="202" t="s">
        <v>434</v>
      </c>
      <c r="CK83" s="202">
        <v>0</v>
      </c>
      <c r="CL83" s="205">
        <f t="shared" si="148"/>
        <v>0</v>
      </c>
      <c r="CM83" s="202">
        <v>500</v>
      </c>
      <c r="CN83" s="202">
        <v>5.1999999999999998E-2</v>
      </c>
      <c r="CO83" s="202">
        <v>4</v>
      </c>
      <c r="CP83" s="202" t="s">
        <v>434</v>
      </c>
      <c r="CQ83" s="202">
        <v>0</v>
      </c>
      <c r="CR83" s="205">
        <f t="shared" si="149"/>
        <v>0</v>
      </c>
      <c r="CS83" s="202">
        <v>500</v>
      </c>
      <c r="CT83" s="202">
        <v>5.1999999999999998E-2</v>
      </c>
      <c r="CU83" s="202">
        <v>4</v>
      </c>
      <c r="CV83" s="202" t="s">
        <v>434</v>
      </c>
      <c r="CW83" s="202">
        <v>1</v>
      </c>
      <c r="CX83" s="205">
        <f t="shared" ref="CX83:CX86" si="153">IF(ISNUMBER(CW83),CW83*(CY83/CW$41+CZ83*(1+DA83/CW$28^0.3)),0)</f>
        <v>0.28611233786725876</v>
      </c>
      <c r="CY83" s="202">
        <v>500</v>
      </c>
      <c r="CZ83" s="202">
        <v>7.0999999999999994E-2</v>
      </c>
      <c r="DA83" s="202">
        <v>4.2</v>
      </c>
      <c r="DB83" s="202" t="s">
        <v>434</v>
      </c>
      <c r="DC83" s="202">
        <v>0</v>
      </c>
      <c r="DD83" s="205">
        <f t="shared" si="150"/>
        <v>0</v>
      </c>
      <c r="DE83" s="202">
        <v>500</v>
      </c>
      <c r="DF83" s="202">
        <v>5.1999999999999998E-2</v>
      </c>
      <c r="DG83" s="202">
        <v>4</v>
      </c>
      <c r="DH83" s="202" t="s">
        <v>434</v>
      </c>
      <c r="DI83" s="202">
        <v>0</v>
      </c>
      <c r="DJ83" s="205">
        <f t="shared" si="151"/>
        <v>0</v>
      </c>
      <c r="DK83" s="202">
        <v>500</v>
      </c>
      <c r="DL83" s="202">
        <v>5.1999999999999998E-2</v>
      </c>
      <c r="DM83" s="202">
        <v>4</v>
      </c>
      <c r="DN83" s="202" t="s">
        <v>434</v>
      </c>
      <c r="DO83" s="202">
        <v>0</v>
      </c>
      <c r="DP83" s="205">
        <f t="shared" si="152"/>
        <v>0</v>
      </c>
      <c r="DQ83" s="202">
        <v>500</v>
      </c>
      <c r="DR83" s="202">
        <v>5.1999999999999998E-2</v>
      </c>
      <c r="DS83" s="202">
        <v>4</v>
      </c>
      <c r="DT83" s="202" t="s">
        <v>434</v>
      </c>
    </row>
    <row r="84" spans="2:124" x14ac:dyDescent="0.35">
      <c r="B84" s="201" t="s">
        <v>449</v>
      </c>
      <c r="C84" s="13"/>
      <c r="D84" s="13"/>
      <c r="E84" s="202">
        <v>0</v>
      </c>
      <c r="F84" s="205">
        <f t="shared" si="134"/>
        <v>0</v>
      </c>
      <c r="G84" s="202">
        <v>500</v>
      </c>
      <c r="H84" s="202">
        <v>8.5999999999999993E-2</v>
      </c>
      <c r="I84" s="202">
        <v>4</v>
      </c>
      <c r="J84" s="202" t="s">
        <v>434</v>
      </c>
      <c r="K84" s="324">
        <v>0</v>
      </c>
      <c r="L84" s="205">
        <f t="shared" si="135"/>
        <v>0</v>
      </c>
      <c r="M84" s="202">
        <v>500</v>
      </c>
      <c r="N84" s="202">
        <v>8.5999999999999993E-2</v>
      </c>
      <c r="O84" s="202">
        <v>4</v>
      </c>
      <c r="P84" s="202" t="s">
        <v>434</v>
      </c>
      <c r="Q84" s="202">
        <v>0</v>
      </c>
      <c r="R84" s="205">
        <f t="shared" si="136"/>
        <v>0</v>
      </c>
      <c r="S84" s="202">
        <v>500</v>
      </c>
      <c r="T84" s="202">
        <v>8.5999999999999993E-2</v>
      </c>
      <c r="U84" s="202">
        <v>4</v>
      </c>
      <c r="V84" s="202" t="s">
        <v>434</v>
      </c>
      <c r="W84" s="202">
        <v>0</v>
      </c>
      <c r="X84" s="205">
        <f t="shared" si="137"/>
        <v>0</v>
      </c>
      <c r="Y84" s="202">
        <v>500</v>
      </c>
      <c r="Z84" s="202">
        <v>8.5999999999999993E-2</v>
      </c>
      <c r="AA84" s="202">
        <v>4</v>
      </c>
      <c r="AB84" s="202" t="s">
        <v>434</v>
      </c>
      <c r="AC84" s="202">
        <v>0</v>
      </c>
      <c r="AD84" s="205">
        <f t="shared" si="138"/>
        <v>0</v>
      </c>
      <c r="AE84" s="202">
        <v>500</v>
      </c>
      <c r="AF84" s="202">
        <v>8.5999999999999993E-2</v>
      </c>
      <c r="AG84" s="202">
        <v>4</v>
      </c>
      <c r="AH84" s="202" t="s">
        <v>434</v>
      </c>
      <c r="AI84" s="202">
        <v>0</v>
      </c>
      <c r="AJ84" s="205">
        <f t="shared" si="139"/>
        <v>0</v>
      </c>
      <c r="AK84" s="202">
        <v>500</v>
      </c>
      <c r="AL84" s="202">
        <v>8.5999999999999993E-2</v>
      </c>
      <c r="AM84" s="202">
        <v>4</v>
      </c>
      <c r="AN84" s="202" t="s">
        <v>434</v>
      </c>
      <c r="AO84" s="202">
        <v>0</v>
      </c>
      <c r="AP84" s="205">
        <f t="shared" si="140"/>
        <v>0</v>
      </c>
      <c r="AQ84" s="202">
        <v>500</v>
      </c>
      <c r="AR84" s="202">
        <v>8.5999999999999993E-2</v>
      </c>
      <c r="AS84" s="202">
        <v>4</v>
      </c>
      <c r="AT84" s="202" t="s">
        <v>434</v>
      </c>
      <c r="AU84" s="202">
        <v>0</v>
      </c>
      <c r="AV84" s="205">
        <f t="shared" si="141"/>
        <v>0</v>
      </c>
      <c r="AW84" s="202">
        <v>500</v>
      </c>
      <c r="AX84" s="202">
        <v>8.5999999999999993E-2</v>
      </c>
      <c r="AY84" s="202">
        <v>4</v>
      </c>
      <c r="AZ84" s="202" t="s">
        <v>434</v>
      </c>
      <c r="BA84" s="202">
        <v>0</v>
      </c>
      <c r="BB84" s="205">
        <f t="shared" si="142"/>
        <v>0</v>
      </c>
      <c r="BC84" s="202">
        <v>500</v>
      </c>
      <c r="BD84" s="202">
        <v>8.5999999999999993E-2</v>
      </c>
      <c r="BE84" s="202">
        <v>4</v>
      </c>
      <c r="BF84" s="202" t="s">
        <v>434</v>
      </c>
      <c r="BG84" s="202">
        <v>0</v>
      </c>
      <c r="BH84" s="205">
        <f t="shared" si="143"/>
        <v>0</v>
      </c>
      <c r="BI84" s="202">
        <v>500</v>
      </c>
      <c r="BJ84" s="202">
        <v>8.5999999999999993E-2</v>
      </c>
      <c r="BK84" s="202">
        <v>4</v>
      </c>
      <c r="BL84" s="202" t="s">
        <v>434</v>
      </c>
      <c r="BM84" s="202">
        <v>0</v>
      </c>
      <c r="BN84" s="205">
        <f t="shared" si="144"/>
        <v>0</v>
      </c>
      <c r="BO84" s="202">
        <v>500</v>
      </c>
      <c r="BP84" s="202">
        <v>8.5999999999999993E-2</v>
      </c>
      <c r="BQ84" s="202">
        <v>4</v>
      </c>
      <c r="BR84" s="202" t="s">
        <v>434</v>
      </c>
      <c r="BS84" s="202">
        <v>0</v>
      </c>
      <c r="BT84" s="205">
        <f t="shared" si="145"/>
        <v>0</v>
      </c>
      <c r="BU84" s="202">
        <v>500</v>
      </c>
      <c r="BV84" s="202">
        <v>8.5999999999999993E-2</v>
      </c>
      <c r="BW84" s="202">
        <v>4</v>
      </c>
      <c r="BX84" s="202" t="s">
        <v>434</v>
      </c>
      <c r="BY84" s="202">
        <v>0</v>
      </c>
      <c r="BZ84" s="205">
        <f t="shared" si="146"/>
        <v>0</v>
      </c>
      <c r="CA84" s="202">
        <v>500</v>
      </c>
      <c r="CB84" s="202">
        <v>8.5999999999999993E-2</v>
      </c>
      <c r="CC84" s="202">
        <v>4</v>
      </c>
      <c r="CD84" s="202" t="s">
        <v>434</v>
      </c>
      <c r="CE84" s="202">
        <v>0</v>
      </c>
      <c r="CF84" s="205">
        <f t="shared" si="147"/>
        <v>0</v>
      </c>
      <c r="CG84" s="202">
        <v>500</v>
      </c>
      <c r="CH84" s="202">
        <v>8.5999999999999993E-2</v>
      </c>
      <c r="CI84" s="202">
        <v>4</v>
      </c>
      <c r="CJ84" s="202" t="s">
        <v>434</v>
      </c>
      <c r="CK84" s="202">
        <v>0</v>
      </c>
      <c r="CL84" s="205">
        <f t="shared" si="148"/>
        <v>0</v>
      </c>
      <c r="CM84" s="202">
        <v>500</v>
      </c>
      <c r="CN84" s="202">
        <v>8.5999999999999993E-2</v>
      </c>
      <c r="CO84" s="202">
        <v>4</v>
      </c>
      <c r="CP84" s="202" t="s">
        <v>434</v>
      </c>
      <c r="CQ84" s="202">
        <v>0</v>
      </c>
      <c r="CR84" s="205">
        <f t="shared" si="149"/>
        <v>0</v>
      </c>
      <c r="CS84" s="202">
        <v>500</v>
      </c>
      <c r="CT84" s="202">
        <v>8.5999999999999993E-2</v>
      </c>
      <c r="CU84" s="202">
        <v>4</v>
      </c>
      <c r="CV84" s="202" t="s">
        <v>434</v>
      </c>
      <c r="CW84" s="202">
        <v>0</v>
      </c>
      <c r="CX84" s="205">
        <f t="shared" si="153"/>
        <v>0</v>
      </c>
      <c r="CY84" s="202">
        <v>500</v>
      </c>
      <c r="CZ84" s="202">
        <v>5.1999999999999998E-2</v>
      </c>
      <c r="DA84" s="202">
        <v>4</v>
      </c>
      <c r="DB84" s="202" t="s">
        <v>434</v>
      </c>
      <c r="DC84" s="202">
        <v>0</v>
      </c>
      <c r="DD84" s="205">
        <f t="shared" si="150"/>
        <v>0</v>
      </c>
      <c r="DE84" s="202">
        <v>500</v>
      </c>
      <c r="DF84" s="202">
        <v>8.5999999999999993E-2</v>
      </c>
      <c r="DG84" s="202">
        <v>4</v>
      </c>
      <c r="DH84" s="202" t="s">
        <v>434</v>
      </c>
      <c r="DI84" s="202">
        <v>0</v>
      </c>
      <c r="DJ84" s="205">
        <f t="shared" si="151"/>
        <v>0</v>
      </c>
      <c r="DK84" s="202">
        <v>500</v>
      </c>
      <c r="DL84" s="202">
        <v>8.5999999999999993E-2</v>
      </c>
      <c r="DM84" s="202">
        <v>4</v>
      </c>
      <c r="DN84" s="202" t="s">
        <v>434</v>
      </c>
      <c r="DO84" s="202">
        <v>0</v>
      </c>
      <c r="DP84" s="205">
        <f t="shared" si="152"/>
        <v>0</v>
      </c>
      <c r="DQ84" s="202">
        <v>500</v>
      </c>
      <c r="DR84" s="202">
        <v>8.5999999999999993E-2</v>
      </c>
      <c r="DS84" s="202">
        <v>4</v>
      </c>
      <c r="DT84" s="202" t="s">
        <v>434</v>
      </c>
    </row>
    <row r="85" spans="2:124" x14ac:dyDescent="0.35">
      <c r="B85" s="201" t="s">
        <v>450</v>
      </c>
      <c r="C85" s="201"/>
      <c r="D85" s="201"/>
      <c r="E85" s="202">
        <v>0</v>
      </c>
      <c r="F85" s="205">
        <f t="shared" si="134"/>
        <v>0</v>
      </c>
      <c r="G85" s="202">
        <v>500</v>
      </c>
      <c r="H85" s="202">
        <v>5.1999999999999998E-2</v>
      </c>
      <c r="I85" s="202">
        <v>4</v>
      </c>
      <c r="J85" s="202" t="s">
        <v>434</v>
      </c>
      <c r="K85" s="324">
        <v>0</v>
      </c>
      <c r="L85" s="205">
        <f t="shared" si="135"/>
        <v>0</v>
      </c>
      <c r="M85" s="202">
        <v>500</v>
      </c>
      <c r="N85" s="202">
        <v>5.1999999999999998E-2</v>
      </c>
      <c r="O85" s="202">
        <v>4</v>
      </c>
      <c r="P85" s="202" t="s">
        <v>434</v>
      </c>
      <c r="Q85" s="202">
        <v>0</v>
      </c>
      <c r="R85" s="205">
        <f t="shared" si="136"/>
        <v>0</v>
      </c>
      <c r="S85" s="202">
        <v>500</v>
      </c>
      <c r="T85" s="202">
        <v>5.1999999999999998E-2</v>
      </c>
      <c r="U85" s="202">
        <v>4</v>
      </c>
      <c r="V85" s="202" t="s">
        <v>434</v>
      </c>
      <c r="W85" s="202">
        <v>0</v>
      </c>
      <c r="X85" s="205">
        <f t="shared" si="137"/>
        <v>0</v>
      </c>
      <c r="Y85" s="202">
        <v>500</v>
      </c>
      <c r="Z85" s="202">
        <v>5.1999999999999998E-2</v>
      </c>
      <c r="AA85" s="202">
        <v>4</v>
      </c>
      <c r="AB85" s="202" t="s">
        <v>434</v>
      </c>
      <c r="AC85" s="202">
        <v>0</v>
      </c>
      <c r="AD85" s="205">
        <f t="shared" si="138"/>
        <v>0</v>
      </c>
      <c r="AE85" s="202">
        <v>500</v>
      </c>
      <c r="AF85" s="202">
        <v>5.1999999999999998E-2</v>
      </c>
      <c r="AG85" s="202">
        <v>4</v>
      </c>
      <c r="AH85" s="202" t="s">
        <v>434</v>
      </c>
      <c r="AI85" s="202">
        <v>0</v>
      </c>
      <c r="AJ85" s="205">
        <f t="shared" si="139"/>
        <v>0</v>
      </c>
      <c r="AK85" s="202">
        <v>500</v>
      </c>
      <c r="AL85" s="202">
        <v>5.1999999999999998E-2</v>
      </c>
      <c r="AM85" s="202">
        <v>4</v>
      </c>
      <c r="AN85" s="202" t="s">
        <v>434</v>
      </c>
      <c r="AO85" s="202">
        <v>0</v>
      </c>
      <c r="AP85" s="205">
        <f t="shared" si="140"/>
        <v>0</v>
      </c>
      <c r="AQ85" s="202">
        <v>500</v>
      </c>
      <c r="AR85" s="202">
        <v>5.1999999999999998E-2</v>
      </c>
      <c r="AS85" s="202">
        <v>4</v>
      </c>
      <c r="AT85" s="202" t="s">
        <v>434</v>
      </c>
      <c r="AU85" s="202">
        <v>0</v>
      </c>
      <c r="AV85" s="205">
        <f t="shared" si="141"/>
        <v>0</v>
      </c>
      <c r="AW85" s="202">
        <v>500</v>
      </c>
      <c r="AX85" s="202">
        <v>5.1999999999999998E-2</v>
      </c>
      <c r="AY85" s="202">
        <v>4</v>
      </c>
      <c r="AZ85" s="202" t="s">
        <v>434</v>
      </c>
      <c r="BA85" s="202">
        <v>0</v>
      </c>
      <c r="BB85" s="205">
        <f t="shared" si="142"/>
        <v>0</v>
      </c>
      <c r="BC85" s="202">
        <v>500</v>
      </c>
      <c r="BD85" s="202">
        <v>5.1999999999999998E-2</v>
      </c>
      <c r="BE85" s="202">
        <v>4</v>
      </c>
      <c r="BF85" s="202" t="s">
        <v>434</v>
      </c>
      <c r="BG85" s="202">
        <v>0</v>
      </c>
      <c r="BH85" s="205">
        <f t="shared" si="143"/>
        <v>0</v>
      </c>
      <c r="BI85" s="202">
        <v>500</v>
      </c>
      <c r="BJ85" s="202">
        <v>5.1999999999999998E-2</v>
      </c>
      <c r="BK85" s="202">
        <v>4</v>
      </c>
      <c r="BL85" s="202" t="s">
        <v>434</v>
      </c>
      <c r="BM85" s="202">
        <v>0</v>
      </c>
      <c r="BN85" s="205">
        <f t="shared" si="144"/>
        <v>0</v>
      </c>
      <c r="BO85" s="202">
        <v>500</v>
      </c>
      <c r="BP85" s="202">
        <v>5.1999999999999998E-2</v>
      </c>
      <c r="BQ85" s="202">
        <v>4</v>
      </c>
      <c r="BR85" s="202" t="s">
        <v>434</v>
      </c>
      <c r="BS85" s="202">
        <v>0</v>
      </c>
      <c r="BT85" s="205">
        <f t="shared" si="145"/>
        <v>0</v>
      </c>
      <c r="BU85" s="202">
        <v>500</v>
      </c>
      <c r="BV85" s="202">
        <v>5.1999999999999998E-2</v>
      </c>
      <c r="BW85" s="202">
        <v>4</v>
      </c>
      <c r="BX85" s="202" t="s">
        <v>434</v>
      </c>
      <c r="BY85" s="202">
        <v>0</v>
      </c>
      <c r="BZ85" s="205">
        <f t="shared" si="146"/>
        <v>0</v>
      </c>
      <c r="CA85" s="202">
        <v>500</v>
      </c>
      <c r="CB85" s="202">
        <v>5.1999999999999998E-2</v>
      </c>
      <c r="CC85" s="202">
        <v>4</v>
      </c>
      <c r="CD85" s="202" t="s">
        <v>434</v>
      </c>
      <c r="CE85" s="202">
        <v>0</v>
      </c>
      <c r="CF85" s="205">
        <f t="shared" si="147"/>
        <v>0</v>
      </c>
      <c r="CG85" s="202">
        <v>500</v>
      </c>
      <c r="CH85" s="202">
        <v>5.1999999999999998E-2</v>
      </c>
      <c r="CI85" s="202">
        <v>4</v>
      </c>
      <c r="CJ85" s="202" t="s">
        <v>434</v>
      </c>
      <c r="CK85" s="202">
        <v>0</v>
      </c>
      <c r="CL85" s="205">
        <f t="shared" si="148"/>
        <v>0</v>
      </c>
      <c r="CM85" s="202">
        <v>500</v>
      </c>
      <c r="CN85" s="202">
        <v>5.1999999999999998E-2</v>
      </c>
      <c r="CO85" s="202">
        <v>4</v>
      </c>
      <c r="CP85" s="202" t="s">
        <v>434</v>
      </c>
      <c r="CQ85" s="202">
        <v>0</v>
      </c>
      <c r="CR85" s="205">
        <f t="shared" si="149"/>
        <v>0</v>
      </c>
      <c r="CS85" s="202">
        <v>500</v>
      </c>
      <c r="CT85" s="202">
        <v>5.1999999999999998E-2</v>
      </c>
      <c r="CU85" s="202">
        <v>4</v>
      </c>
      <c r="CV85" s="202" t="s">
        <v>434</v>
      </c>
      <c r="CW85" s="202">
        <v>0</v>
      </c>
      <c r="CX85" s="205">
        <f t="shared" si="153"/>
        <v>0</v>
      </c>
      <c r="CY85" s="202">
        <v>500</v>
      </c>
      <c r="CZ85" s="202">
        <v>8.5999999999999993E-2</v>
      </c>
      <c r="DA85" s="202">
        <v>4</v>
      </c>
      <c r="DB85" s="202" t="s">
        <v>434</v>
      </c>
      <c r="DC85" s="202">
        <v>0</v>
      </c>
      <c r="DD85" s="205">
        <f t="shared" si="150"/>
        <v>0</v>
      </c>
      <c r="DE85" s="202">
        <v>500</v>
      </c>
      <c r="DF85" s="202">
        <v>5.1999999999999998E-2</v>
      </c>
      <c r="DG85" s="202">
        <v>4</v>
      </c>
      <c r="DH85" s="202" t="s">
        <v>434</v>
      </c>
      <c r="DI85" s="202">
        <v>0</v>
      </c>
      <c r="DJ85" s="205">
        <f t="shared" si="151"/>
        <v>0</v>
      </c>
      <c r="DK85" s="202">
        <v>500</v>
      </c>
      <c r="DL85" s="202">
        <v>5.1999999999999998E-2</v>
      </c>
      <c r="DM85" s="202">
        <v>4</v>
      </c>
      <c r="DN85" s="202" t="s">
        <v>434</v>
      </c>
      <c r="DO85" s="202">
        <v>0</v>
      </c>
      <c r="DP85" s="205">
        <f t="shared" si="152"/>
        <v>0</v>
      </c>
      <c r="DQ85" s="202">
        <v>500</v>
      </c>
      <c r="DR85" s="202">
        <v>5.1999999999999998E-2</v>
      </c>
      <c r="DS85" s="202">
        <v>4</v>
      </c>
      <c r="DT85" s="202" t="s">
        <v>434</v>
      </c>
    </row>
    <row r="86" spans="2:124" x14ac:dyDescent="0.35">
      <c r="B86" s="203" t="s">
        <v>451</v>
      </c>
      <c r="C86" s="203"/>
      <c r="D86" s="203"/>
      <c r="E86" s="204"/>
      <c r="F86" s="203"/>
      <c r="G86" s="203"/>
      <c r="H86" s="203"/>
      <c r="I86" s="203"/>
      <c r="J86" s="203"/>
      <c r="K86" s="204"/>
      <c r="L86" s="203"/>
      <c r="M86" s="203"/>
      <c r="N86" s="203"/>
      <c r="O86" s="203"/>
      <c r="P86" s="203"/>
      <c r="Q86" s="204"/>
      <c r="R86" s="203"/>
      <c r="S86" s="203"/>
      <c r="T86" s="203"/>
      <c r="U86" s="203"/>
      <c r="V86" s="203"/>
      <c r="W86" s="204"/>
      <c r="X86" s="203"/>
      <c r="Y86" s="203"/>
      <c r="Z86" s="203"/>
      <c r="AA86" s="203"/>
      <c r="AB86" s="203"/>
      <c r="AC86" s="204"/>
      <c r="AD86" s="203"/>
      <c r="AE86" s="203"/>
      <c r="AF86" s="203"/>
      <c r="AG86" s="203"/>
      <c r="AH86" s="203"/>
      <c r="AI86" s="204"/>
      <c r="AJ86" s="203"/>
      <c r="AK86" s="203"/>
      <c r="AL86" s="203"/>
      <c r="AM86" s="203"/>
      <c r="AN86" s="203"/>
      <c r="AO86" s="204"/>
      <c r="AP86" s="203"/>
      <c r="AQ86" s="203"/>
      <c r="AR86" s="203"/>
      <c r="AS86" s="203"/>
      <c r="AT86" s="203"/>
      <c r="AU86" s="204"/>
      <c r="AV86" s="203"/>
      <c r="AW86" s="203"/>
      <c r="AX86" s="203"/>
      <c r="AY86" s="203"/>
      <c r="AZ86" s="203"/>
      <c r="BA86" s="204"/>
      <c r="BB86" s="203"/>
      <c r="BC86" s="203"/>
      <c r="BD86" s="203"/>
      <c r="BE86" s="203"/>
      <c r="BF86" s="203"/>
      <c r="BG86" s="204"/>
      <c r="BH86" s="203"/>
      <c r="BI86" s="203"/>
      <c r="BJ86" s="203"/>
      <c r="BK86" s="203"/>
      <c r="BL86" s="203"/>
      <c r="BM86" s="204"/>
      <c r="BN86" s="203"/>
      <c r="BO86" s="203"/>
      <c r="BP86" s="203"/>
      <c r="BQ86" s="203"/>
      <c r="BR86" s="203"/>
      <c r="BS86" s="204"/>
      <c r="BT86" s="203"/>
      <c r="BU86" s="203"/>
      <c r="BV86" s="203"/>
      <c r="BW86" s="203"/>
      <c r="BX86" s="203"/>
      <c r="BY86" s="204"/>
      <c r="BZ86" s="203"/>
      <c r="CA86" s="203"/>
      <c r="CB86" s="203"/>
      <c r="CC86" s="203"/>
      <c r="CD86" s="203"/>
      <c r="CE86" s="204"/>
      <c r="CF86" s="203"/>
      <c r="CG86" s="203"/>
      <c r="CH86" s="203"/>
      <c r="CI86" s="203"/>
      <c r="CJ86" s="203"/>
      <c r="CK86" s="204"/>
      <c r="CL86" s="203"/>
      <c r="CM86" s="203"/>
      <c r="CN86" s="203"/>
      <c r="CO86" s="203"/>
      <c r="CP86" s="203"/>
      <c r="CQ86" s="204"/>
      <c r="CR86" s="203"/>
      <c r="CS86" s="203"/>
      <c r="CT86" s="203"/>
      <c r="CU86" s="203"/>
      <c r="CV86" s="203"/>
      <c r="CW86" s="202">
        <v>0</v>
      </c>
      <c r="CX86" s="205">
        <f t="shared" si="153"/>
        <v>0</v>
      </c>
      <c r="CY86" s="202">
        <v>500</v>
      </c>
      <c r="CZ86" s="202">
        <v>5.1999999999999998E-2</v>
      </c>
      <c r="DA86" s="202">
        <v>4</v>
      </c>
      <c r="DB86" s="202" t="s">
        <v>434</v>
      </c>
      <c r="DC86" s="204"/>
      <c r="DD86" s="203"/>
      <c r="DE86" s="203"/>
      <c r="DF86" s="203"/>
      <c r="DG86" s="203"/>
      <c r="DH86" s="203"/>
      <c r="DI86" s="204"/>
      <c r="DJ86" s="203"/>
      <c r="DK86" s="203"/>
      <c r="DL86" s="203"/>
      <c r="DM86" s="203"/>
      <c r="DN86" s="203"/>
      <c r="DO86" s="204"/>
      <c r="DP86" s="203"/>
      <c r="DQ86" s="203"/>
      <c r="DR86" s="203"/>
      <c r="DS86" s="203"/>
      <c r="DT86" s="203"/>
    </row>
    <row r="87" spans="2:124" x14ac:dyDescent="0.35">
      <c r="B87" s="201" t="s">
        <v>433</v>
      </c>
      <c r="C87" s="13"/>
      <c r="D87" s="13"/>
      <c r="E87" s="202">
        <v>0</v>
      </c>
      <c r="F87" s="205">
        <f t="shared" si="134"/>
        <v>0</v>
      </c>
      <c r="G87" s="202">
        <v>1000</v>
      </c>
      <c r="H87" s="202">
        <v>0.23</v>
      </c>
      <c r="I87" s="202">
        <v>4</v>
      </c>
      <c r="J87" s="202" t="s">
        <v>434</v>
      </c>
      <c r="K87" s="324">
        <v>1</v>
      </c>
      <c r="L87" s="205">
        <f t="shared" ref="L87:L89" si="154">IF(ISNUMBER(K87),K87*(M87/K$41+N87*(1+O87/K$28^0.3)),0)</f>
        <v>0.76843513800416352</v>
      </c>
      <c r="M87" s="202">
        <v>1000</v>
      </c>
      <c r="N87" s="202">
        <v>0.23</v>
      </c>
      <c r="O87" s="202">
        <v>4</v>
      </c>
      <c r="P87" s="202" t="s">
        <v>434</v>
      </c>
      <c r="Q87" s="202">
        <v>1</v>
      </c>
      <c r="R87" s="205">
        <f t="shared" ref="R87:R89" si="155">IF(ISNUMBER(Q87),Q87*(S87/Q$41+T87*(1+U87/Q$28^0.3)),0)</f>
        <v>0.76843513800416352</v>
      </c>
      <c r="S87" s="202">
        <v>1000</v>
      </c>
      <c r="T87" s="202">
        <v>0.23</v>
      </c>
      <c r="U87" s="202">
        <v>4</v>
      </c>
      <c r="V87" s="202" t="s">
        <v>434</v>
      </c>
      <c r="W87" s="202">
        <v>1</v>
      </c>
      <c r="X87" s="205">
        <f t="shared" ref="X87:X89" si="156">IF(ISNUMBER(W87),W87*(Y87/W$41+Z87*(1+AA87/W$28^0.3)),0)</f>
        <v>0.76798956339391244</v>
      </c>
      <c r="Y87" s="202">
        <v>1000</v>
      </c>
      <c r="Z87" s="202">
        <v>0.23</v>
      </c>
      <c r="AA87" s="202">
        <v>4</v>
      </c>
      <c r="AB87" s="202" t="s">
        <v>434</v>
      </c>
      <c r="AC87" s="202">
        <v>1</v>
      </c>
      <c r="AD87" s="205">
        <f t="shared" ref="AD87:AD89" si="157">IF(ISNUMBER(AC87),AC87*(AE87/AC$41+AF87*(1+AG87/AC$28^0.3)),0)</f>
        <v>0.8373282036386317</v>
      </c>
      <c r="AE87" s="202">
        <v>1000</v>
      </c>
      <c r="AF87" s="202">
        <v>0.23</v>
      </c>
      <c r="AG87" s="202">
        <v>4</v>
      </c>
      <c r="AH87" s="202" t="s">
        <v>434</v>
      </c>
      <c r="AI87" s="202">
        <v>1</v>
      </c>
      <c r="AJ87" s="205">
        <f t="shared" ref="AJ87:AJ89" si="158">IF(ISNUMBER(AI87),AI87*(AK87/AI$41+AL87*(1+AM87/AI$28^0.3)),0)</f>
        <v>0.8373282036386317</v>
      </c>
      <c r="AK87" s="202">
        <v>1000</v>
      </c>
      <c r="AL87" s="202">
        <v>0.23</v>
      </c>
      <c r="AM87" s="202">
        <v>4</v>
      </c>
      <c r="AN87" s="202" t="s">
        <v>434</v>
      </c>
      <c r="AO87" s="202">
        <v>1</v>
      </c>
      <c r="AP87" s="205">
        <f t="shared" ref="AP87:AP89" si="159">IF(ISNUMBER(AO87),AO87*(AQ87/AO$41+AR87*(1+AS87/AO$28^0.3)),0)</f>
        <v>0.8373282036386317</v>
      </c>
      <c r="AQ87" s="202">
        <v>1000</v>
      </c>
      <c r="AR87" s="202">
        <v>0.23</v>
      </c>
      <c r="AS87" s="202">
        <v>4</v>
      </c>
      <c r="AT87" s="202" t="s">
        <v>434</v>
      </c>
      <c r="AU87" s="202">
        <v>1</v>
      </c>
      <c r="AV87" s="205">
        <f t="shared" ref="AV87:AV89" si="160">IF(ISNUMBER(AU87),AU87*(AW87/AU$41+AX87*(1+AY87/AU$28^0.3)),0)</f>
        <v>0.83732830602684372</v>
      </c>
      <c r="AW87" s="202">
        <v>1000</v>
      </c>
      <c r="AX87" s="202">
        <v>0.23</v>
      </c>
      <c r="AY87" s="202">
        <v>4</v>
      </c>
      <c r="AZ87" s="202" t="s">
        <v>434</v>
      </c>
      <c r="BA87" s="202">
        <v>1</v>
      </c>
      <c r="BB87" s="205">
        <f t="shared" ref="BB87:BB89" si="161">IF(ISNUMBER(BA87),BA87*(BC87/BA$41+BD87*(1+BE87/BA$28^0.3)),0)</f>
        <v>0.83732830602684372</v>
      </c>
      <c r="BC87" s="202">
        <v>1000</v>
      </c>
      <c r="BD87" s="202">
        <v>0.23</v>
      </c>
      <c r="BE87" s="202">
        <v>4</v>
      </c>
      <c r="BF87" s="202" t="s">
        <v>434</v>
      </c>
      <c r="BG87" s="202">
        <v>1</v>
      </c>
      <c r="BH87" s="205">
        <f t="shared" ref="BH87:BH89" si="162">IF(ISNUMBER(BG87),BG87*(BI87/BG$41+BJ87*(1+BK87/BG$28^0.3)),0)</f>
        <v>0.83732830602684372</v>
      </c>
      <c r="BI87" s="202">
        <v>1000</v>
      </c>
      <c r="BJ87" s="202">
        <v>0.23</v>
      </c>
      <c r="BK87" s="202">
        <v>4</v>
      </c>
      <c r="BL87" s="202" t="s">
        <v>434</v>
      </c>
      <c r="BM87" s="202">
        <v>1</v>
      </c>
      <c r="BN87" s="205">
        <f t="shared" ref="BN87:BN89" si="163">IF(ISNUMBER(BM87),BM87*(BO87/BM$41+BP87*(1+BQ87/BM$28^0.3)),0)</f>
        <v>0.7250508609399261</v>
      </c>
      <c r="BO87" s="202">
        <v>1000</v>
      </c>
      <c r="BP87" s="202">
        <v>0.23</v>
      </c>
      <c r="BQ87" s="202">
        <v>4</v>
      </c>
      <c r="BR87" s="202" t="s">
        <v>434</v>
      </c>
      <c r="BS87" s="202">
        <v>1</v>
      </c>
      <c r="BT87" s="205">
        <f t="shared" ref="BT87:BT89" si="164">IF(ISNUMBER(BS87),BS87*(BU87/BS$41+BV87*(1+BW87/BS$28^0.3)),0)</f>
        <v>0.72456124914219455</v>
      </c>
      <c r="BU87" s="202">
        <v>1000</v>
      </c>
      <c r="BV87" s="202">
        <v>0.23</v>
      </c>
      <c r="BW87" s="202">
        <v>4</v>
      </c>
      <c r="BX87" s="202" t="s">
        <v>434</v>
      </c>
      <c r="BY87" s="202">
        <v>1</v>
      </c>
      <c r="BZ87" s="205">
        <f t="shared" ref="BZ87:BZ89" si="165">IF(ISNUMBER(BY87),BY87*(CA87/BY$41+CB87*(1+CC87/BY$28^0.3)),0)</f>
        <v>0.83775324143238417</v>
      </c>
      <c r="CA87" s="202">
        <v>1000</v>
      </c>
      <c r="CB87" s="202">
        <v>0.23</v>
      </c>
      <c r="CC87" s="202">
        <v>4</v>
      </c>
      <c r="CD87" s="202" t="s">
        <v>434</v>
      </c>
      <c r="CE87" s="202">
        <v>1</v>
      </c>
      <c r="CF87" s="205">
        <f t="shared" ref="CF87:CF89" si="166">IF(ISNUMBER(CE87),CE87*(CG87/CE$41+CH87*(1+CI87/CE$28^0.3)),0)</f>
        <v>0.83775324143238417</v>
      </c>
      <c r="CG87" s="202">
        <v>1000</v>
      </c>
      <c r="CH87" s="202">
        <v>0.23</v>
      </c>
      <c r="CI87" s="202">
        <v>4</v>
      </c>
      <c r="CJ87" s="202" t="s">
        <v>434</v>
      </c>
      <c r="CK87" s="202">
        <v>1</v>
      </c>
      <c r="CL87" s="205">
        <f t="shared" ref="CL87:CL89" si="167">IF(ISNUMBER(CK87),CK87*(CM87/CK$41+CN87*(1+CO87/CK$28^0.3)),0)</f>
        <v>0.89296526873444382</v>
      </c>
      <c r="CM87" s="202">
        <v>1000</v>
      </c>
      <c r="CN87" s="202">
        <v>0.23</v>
      </c>
      <c r="CO87" s="202">
        <v>4</v>
      </c>
      <c r="CP87" s="202" t="s">
        <v>434</v>
      </c>
      <c r="CQ87" s="202">
        <v>1</v>
      </c>
      <c r="CR87" s="205">
        <f t="shared" ref="CR87:CR89" si="168">IF(ISNUMBER(CQ87),CQ87*(CS87/CQ$41+CT87*(1+CU87/CQ$28^0.3)),0)</f>
        <v>0.89296526873444382</v>
      </c>
      <c r="CS87" s="202">
        <v>1000</v>
      </c>
      <c r="CT87" s="202">
        <v>0.23</v>
      </c>
      <c r="CU87" s="202">
        <v>4</v>
      </c>
      <c r="CV87" s="202" t="s">
        <v>434</v>
      </c>
      <c r="CW87" s="204"/>
      <c r="CX87" s="203"/>
      <c r="CY87" s="203"/>
      <c r="CZ87" s="203"/>
      <c r="DA87" s="203"/>
      <c r="DB87" s="203"/>
      <c r="DC87" s="202">
        <v>1</v>
      </c>
      <c r="DD87" s="205">
        <f t="shared" ref="DD87:DD89" si="169">IF(ISNUMBER(DC87),DC87*(DE87/DC$41+DF87*(1+DG87/DC$28^0.3)),0)</f>
        <v>0.89296526873444382</v>
      </c>
      <c r="DE87" s="202">
        <v>1000</v>
      </c>
      <c r="DF87" s="202">
        <v>0.23</v>
      </c>
      <c r="DG87" s="202">
        <v>4</v>
      </c>
      <c r="DH87" s="202" t="s">
        <v>434</v>
      </c>
      <c r="DI87" s="202">
        <v>1</v>
      </c>
      <c r="DJ87" s="205">
        <f t="shared" ref="DJ87:DJ89" si="170">IF(ISNUMBER(DI87),DI87*(DK87/DI$41+DL87*(1+DM87/DI$28^0.3)),0)</f>
        <v>0.89296526873444382</v>
      </c>
      <c r="DK87" s="202">
        <v>1000</v>
      </c>
      <c r="DL87" s="202">
        <v>0.23</v>
      </c>
      <c r="DM87" s="202">
        <v>4</v>
      </c>
      <c r="DN87" s="202" t="s">
        <v>434</v>
      </c>
      <c r="DO87" s="202">
        <v>1</v>
      </c>
      <c r="DP87" s="205">
        <f t="shared" ref="DP87:DP89" si="171">IF(ISNUMBER(DO87),DO87*(DQ87/DO$41+DR87*(1+DS87/DO$28^0.3)),0)</f>
        <v>4.8546608852859769</v>
      </c>
      <c r="DQ87" s="202">
        <v>1000</v>
      </c>
      <c r="DR87" s="202">
        <v>0.23</v>
      </c>
      <c r="DS87" s="202">
        <v>4</v>
      </c>
      <c r="DT87" s="202" t="s">
        <v>434</v>
      </c>
    </row>
    <row r="88" spans="2:124" x14ac:dyDescent="0.35">
      <c r="B88" s="201" t="s">
        <v>452</v>
      </c>
      <c r="C88" s="13"/>
      <c r="D88" s="13"/>
      <c r="E88" s="202">
        <v>0</v>
      </c>
      <c r="F88" s="205">
        <f t="shared" si="134"/>
        <v>0</v>
      </c>
      <c r="G88" s="202">
        <v>1000</v>
      </c>
      <c r="H88" s="202">
        <v>0.12</v>
      </c>
      <c r="I88" s="202">
        <v>4</v>
      </c>
      <c r="J88" s="202" t="s">
        <v>434</v>
      </c>
      <c r="K88" s="324">
        <v>0</v>
      </c>
      <c r="L88" s="205">
        <f t="shared" si="154"/>
        <v>0</v>
      </c>
      <c r="M88" s="202">
        <v>1000</v>
      </c>
      <c r="N88" s="202">
        <v>0.12</v>
      </c>
      <c r="O88" s="202">
        <v>4</v>
      </c>
      <c r="P88" s="202" t="s">
        <v>434</v>
      </c>
      <c r="Q88" s="202">
        <v>0</v>
      </c>
      <c r="R88" s="205">
        <f t="shared" si="155"/>
        <v>0</v>
      </c>
      <c r="S88" s="202">
        <v>1000</v>
      </c>
      <c r="T88" s="202">
        <v>0.12</v>
      </c>
      <c r="U88" s="202">
        <v>4</v>
      </c>
      <c r="V88" s="202" t="s">
        <v>434</v>
      </c>
      <c r="W88" s="202">
        <v>0</v>
      </c>
      <c r="X88" s="205">
        <f t="shared" si="156"/>
        <v>0</v>
      </c>
      <c r="Y88" s="202">
        <v>1000</v>
      </c>
      <c r="Z88" s="202">
        <v>0.12</v>
      </c>
      <c r="AA88" s="202">
        <v>4</v>
      </c>
      <c r="AB88" s="202" t="s">
        <v>434</v>
      </c>
      <c r="AC88" s="202">
        <v>0</v>
      </c>
      <c r="AD88" s="205">
        <f t="shared" si="157"/>
        <v>0</v>
      </c>
      <c r="AE88" s="202">
        <v>1000</v>
      </c>
      <c r="AF88" s="202">
        <v>0.12</v>
      </c>
      <c r="AG88" s="202">
        <v>4</v>
      </c>
      <c r="AH88" s="202" t="s">
        <v>434</v>
      </c>
      <c r="AI88" s="202">
        <v>0</v>
      </c>
      <c r="AJ88" s="205">
        <f t="shared" si="158"/>
        <v>0</v>
      </c>
      <c r="AK88" s="202">
        <v>1000</v>
      </c>
      <c r="AL88" s="202">
        <v>0.12</v>
      </c>
      <c r="AM88" s="202">
        <v>4</v>
      </c>
      <c r="AN88" s="202" t="s">
        <v>434</v>
      </c>
      <c r="AO88" s="202">
        <v>0</v>
      </c>
      <c r="AP88" s="205">
        <f t="shared" si="159"/>
        <v>0</v>
      </c>
      <c r="AQ88" s="202">
        <v>1000</v>
      </c>
      <c r="AR88" s="202">
        <v>0.12</v>
      </c>
      <c r="AS88" s="202">
        <v>4</v>
      </c>
      <c r="AT88" s="202" t="s">
        <v>434</v>
      </c>
      <c r="AU88" s="202">
        <v>0</v>
      </c>
      <c r="AV88" s="205">
        <f t="shared" si="160"/>
        <v>0</v>
      </c>
      <c r="AW88" s="202">
        <v>1000</v>
      </c>
      <c r="AX88" s="202">
        <v>0.12</v>
      </c>
      <c r="AY88" s="202">
        <v>4</v>
      </c>
      <c r="AZ88" s="202" t="s">
        <v>434</v>
      </c>
      <c r="BA88" s="202">
        <v>0</v>
      </c>
      <c r="BB88" s="205">
        <f t="shared" si="161"/>
        <v>0</v>
      </c>
      <c r="BC88" s="202">
        <v>1000</v>
      </c>
      <c r="BD88" s="202">
        <v>0.12</v>
      </c>
      <c r="BE88" s="202">
        <v>4</v>
      </c>
      <c r="BF88" s="202" t="s">
        <v>434</v>
      </c>
      <c r="BG88" s="202">
        <v>0</v>
      </c>
      <c r="BH88" s="205">
        <f t="shared" si="162"/>
        <v>0</v>
      </c>
      <c r="BI88" s="202">
        <v>1000</v>
      </c>
      <c r="BJ88" s="202">
        <v>0.12</v>
      </c>
      <c r="BK88" s="202">
        <v>4</v>
      </c>
      <c r="BL88" s="202" t="s">
        <v>434</v>
      </c>
      <c r="BM88" s="202">
        <v>0</v>
      </c>
      <c r="BN88" s="205">
        <f t="shared" si="163"/>
        <v>0</v>
      </c>
      <c r="BO88" s="202">
        <v>1000</v>
      </c>
      <c r="BP88" s="202">
        <v>0.12</v>
      </c>
      <c r="BQ88" s="202">
        <v>4</v>
      </c>
      <c r="BR88" s="202" t="s">
        <v>434</v>
      </c>
      <c r="BS88" s="202">
        <v>0</v>
      </c>
      <c r="BT88" s="205">
        <f t="shared" si="164"/>
        <v>0</v>
      </c>
      <c r="BU88" s="202">
        <v>1000</v>
      </c>
      <c r="BV88" s="202">
        <v>0.12</v>
      </c>
      <c r="BW88" s="202">
        <v>4</v>
      </c>
      <c r="BX88" s="202" t="s">
        <v>434</v>
      </c>
      <c r="BY88" s="202">
        <v>0</v>
      </c>
      <c r="BZ88" s="205">
        <f t="shared" si="165"/>
        <v>0</v>
      </c>
      <c r="CA88" s="202">
        <v>1000</v>
      </c>
      <c r="CB88" s="202">
        <v>0.12</v>
      </c>
      <c r="CC88" s="202">
        <v>4</v>
      </c>
      <c r="CD88" s="202" t="s">
        <v>434</v>
      </c>
      <c r="CE88" s="202">
        <v>0</v>
      </c>
      <c r="CF88" s="205">
        <f t="shared" si="166"/>
        <v>0</v>
      </c>
      <c r="CG88" s="202">
        <v>1000</v>
      </c>
      <c r="CH88" s="202">
        <v>0.12</v>
      </c>
      <c r="CI88" s="202">
        <v>4</v>
      </c>
      <c r="CJ88" s="202" t="s">
        <v>434</v>
      </c>
      <c r="CK88" s="202">
        <v>0</v>
      </c>
      <c r="CL88" s="205">
        <f t="shared" si="167"/>
        <v>0</v>
      </c>
      <c r="CM88" s="202">
        <v>1000</v>
      </c>
      <c r="CN88" s="202">
        <v>0.12</v>
      </c>
      <c r="CO88" s="202">
        <v>4</v>
      </c>
      <c r="CP88" s="202" t="s">
        <v>434</v>
      </c>
      <c r="CQ88" s="202">
        <v>0</v>
      </c>
      <c r="CR88" s="205">
        <f t="shared" si="168"/>
        <v>0</v>
      </c>
      <c r="CS88" s="202">
        <v>1000</v>
      </c>
      <c r="CT88" s="202">
        <v>0.12</v>
      </c>
      <c r="CU88" s="202">
        <v>4</v>
      </c>
      <c r="CV88" s="202" t="s">
        <v>434</v>
      </c>
      <c r="CW88" s="202">
        <v>1</v>
      </c>
      <c r="CX88" s="205">
        <f t="shared" ref="CX88:CX90" si="172">IF(ISNUMBER(CW88),CW88*(CY88/CW$41+CZ88*(1+DA88/CW$28^0.3)),0)</f>
        <v>0.89296526873444382</v>
      </c>
      <c r="CY88" s="202">
        <v>1000</v>
      </c>
      <c r="CZ88" s="202">
        <v>0.23</v>
      </c>
      <c r="DA88" s="202">
        <v>4</v>
      </c>
      <c r="DB88" s="202" t="s">
        <v>434</v>
      </c>
      <c r="DC88" s="202">
        <v>0</v>
      </c>
      <c r="DD88" s="205">
        <f t="shared" si="169"/>
        <v>0</v>
      </c>
      <c r="DE88" s="202">
        <v>1000</v>
      </c>
      <c r="DF88" s="202">
        <v>0.12</v>
      </c>
      <c r="DG88" s="202">
        <v>4</v>
      </c>
      <c r="DH88" s="202" t="s">
        <v>434</v>
      </c>
      <c r="DI88" s="202">
        <v>0</v>
      </c>
      <c r="DJ88" s="205">
        <f t="shared" si="170"/>
        <v>0</v>
      </c>
      <c r="DK88" s="202">
        <v>1000</v>
      </c>
      <c r="DL88" s="202">
        <v>0.12</v>
      </c>
      <c r="DM88" s="202">
        <v>4</v>
      </c>
      <c r="DN88" s="202" t="s">
        <v>434</v>
      </c>
      <c r="DO88" s="202">
        <v>0</v>
      </c>
      <c r="DP88" s="205">
        <f t="shared" si="171"/>
        <v>0</v>
      </c>
      <c r="DQ88" s="202">
        <v>1000</v>
      </c>
      <c r="DR88" s="202">
        <v>0.12</v>
      </c>
      <c r="DS88" s="202">
        <v>4</v>
      </c>
      <c r="DT88" s="202" t="s">
        <v>434</v>
      </c>
    </row>
    <row r="89" spans="2:124" x14ac:dyDescent="0.35">
      <c r="B89" s="201" t="s">
        <v>448</v>
      </c>
      <c r="C89" s="201"/>
      <c r="D89" s="201"/>
      <c r="E89" s="202">
        <v>0</v>
      </c>
      <c r="F89" s="205">
        <f t="shared" si="134"/>
        <v>0</v>
      </c>
      <c r="G89" s="202">
        <v>1000</v>
      </c>
      <c r="H89" s="202">
        <v>0.1</v>
      </c>
      <c r="I89" s="202">
        <v>4</v>
      </c>
      <c r="J89" s="202" t="s">
        <v>434</v>
      </c>
      <c r="K89" s="324">
        <v>0</v>
      </c>
      <c r="L89" s="205">
        <f t="shared" si="154"/>
        <v>0</v>
      </c>
      <c r="M89" s="202">
        <v>1000</v>
      </c>
      <c r="N89" s="202">
        <v>0.1</v>
      </c>
      <c r="O89" s="202">
        <v>4</v>
      </c>
      <c r="P89" s="202" t="s">
        <v>434</v>
      </c>
      <c r="Q89" s="202">
        <v>0</v>
      </c>
      <c r="R89" s="205">
        <f t="shared" si="155"/>
        <v>0</v>
      </c>
      <c r="S89" s="202">
        <v>1000</v>
      </c>
      <c r="T89" s="202">
        <v>0.1</v>
      </c>
      <c r="U89" s="202">
        <v>4</v>
      </c>
      <c r="V89" s="202" t="s">
        <v>434</v>
      </c>
      <c r="W89" s="202">
        <v>0</v>
      </c>
      <c r="X89" s="205">
        <f t="shared" si="156"/>
        <v>0</v>
      </c>
      <c r="Y89" s="202">
        <v>1000</v>
      </c>
      <c r="Z89" s="202">
        <v>0.1</v>
      </c>
      <c r="AA89" s="202">
        <v>4</v>
      </c>
      <c r="AB89" s="202" t="s">
        <v>434</v>
      </c>
      <c r="AC89" s="202">
        <v>0</v>
      </c>
      <c r="AD89" s="205">
        <f t="shared" si="157"/>
        <v>0</v>
      </c>
      <c r="AE89" s="202">
        <v>1000</v>
      </c>
      <c r="AF89" s="202">
        <v>0.1</v>
      </c>
      <c r="AG89" s="202">
        <v>4</v>
      </c>
      <c r="AH89" s="202" t="s">
        <v>434</v>
      </c>
      <c r="AI89" s="202">
        <v>0</v>
      </c>
      <c r="AJ89" s="205">
        <f t="shared" si="158"/>
        <v>0</v>
      </c>
      <c r="AK89" s="202">
        <v>1000</v>
      </c>
      <c r="AL89" s="202">
        <v>0.1</v>
      </c>
      <c r="AM89" s="202">
        <v>4</v>
      </c>
      <c r="AN89" s="202" t="s">
        <v>434</v>
      </c>
      <c r="AO89" s="202">
        <v>0</v>
      </c>
      <c r="AP89" s="205">
        <f t="shared" si="159"/>
        <v>0</v>
      </c>
      <c r="AQ89" s="202">
        <v>1000</v>
      </c>
      <c r="AR89" s="202">
        <v>0.1</v>
      </c>
      <c r="AS89" s="202">
        <v>4</v>
      </c>
      <c r="AT89" s="202" t="s">
        <v>434</v>
      </c>
      <c r="AU89" s="202">
        <v>0</v>
      </c>
      <c r="AV89" s="205">
        <f t="shared" si="160"/>
        <v>0</v>
      </c>
      <c r="AW89" s="202">
        <v>1000</v>
      </c>
      <c r="AX89" s="202">
        <v>0.1</v>
      </c>
      <c r="AY89" s="202">
        <v>4</v>
      </c>
      <c r="AZ89" s="202" t="s">
        <v>434</v>
      </c>
      <c r="BA89" s="202">
        <v>0</v>
      </c>
      <c r="BB89" s="205">
        <f t="shared" si="161"/>
        <v>0</v>
      </c>
      <c r="BC89" s="202">
        <v>1000</v>
      </c>
      <c r="BD89" s="202">
        <v>0.1</v>
      </c>
      <c r="BE89" s="202">
        <v>4</v>
      </c>
      <c r="BF89" s="202" t="s">
        <v>434</v>
      </c>
      <c r="BG89" s="202">
        <v>0</v>
      </c>
      <c r="BH89" s="205">
        <f t="shared" si="162"/>
        <v>0</v>
      </c>
      <c r="BI89" s="202">
        <v>1000</v>
      </c>
      <c r="BJ89" s="202">
        <v>0.1</v>
      </c>
      <c r="BK89" s="202">
        <v>4</v>
      </c>
      <c r="BL89" s="202" t="s">
        <v>434</v>
      </c>
      <c r="BM89" s="202">
        <v>0</v>
      </c>
      <c r="BN89" s="205">
        <f t="shared" si="163"/>
        <v>0</v>
      </c>
      <c r="BO89" s="202">
        <v>1000</v>
      </c>
      <c r="BP89" s="202">
        <v>0.1</v>
      </c>
      <c r="BQ89" s="202">
        <v>4</v>
      </c>
      <c r="BR89" s="202" t="s">
        <v>434</v>
      </c>
      <c r="BS89" s="202">
        <v>0</v>
      </c>
      <c r="BT89" s="205">
        <f t="shared" si="164"/>
        <v>0</v>
      </c>
      <c r="BU89" s="202">
        <v>1000</v>
      </c>
      <c r="BV89" s="202">
        <v>0.1</v>
      </c>
      <c r="BW89" s="202">
        <v>4</v>
      </c>
      <c r="BX89" s="202" t="s">
        <v>434</v>
      </c>
      <c r="BY89" s="202">
        <v>0</v>
      </c>
      <c r="BZ89" s="205">
        <f t="shared" si="165"/>
        <v>0</v>
      </c>
      <c r="CA89" s="202">
        <v>1000</v>
      </c>
      <c r="CB89" s="202">
        <v>0.1</v>
      </c>
      <c r="CC89" s="202">
        <v>4</v>
      </c>
      <c r="CD89" s="202" t="s">
        <v>434</v>
      </c>
      <c r="CE89" s="202">
        <v>0</v>
      </c>
      <c r="CF89" s="205">
        <f t="shared" si="166"/>
        <v>0</v>
      </c>
      <c r="CG89" s="202">
        <v>1000</v>
      </c>
      <c r="CH89" s="202">
        <v>0.1</v>
      </c>
      <c r="CI89" s="202">
        <v>4</v>
      </c>
      <c r="CJ89" s="202" t="s">
        <v>434</v>
      </c>
      <c r="CK89" s="202">
        <v>0</v>
      </c>
      <c r="CL89" s="205">
        <f t="shared" si="167"/>
        <v>0</v>
      </c>
      <c r="CM89" s="202">
        <v>1000</v>
      </c>
      <c r="CN89" s="202">
        <v>0.1</v>
      </c>
      <c r="CO89" s="202">
        <v>4</v>
      </c>
      <c r="CP89" s="202" t="s">
        <v>434</v>
      </c>
      <c r="CQ89" s="202">
        <v>0</v>
      </c>
      <c r="CR89" s="205">
        <f t="shared" si="168"/>
        <v>0</v>
      </c>
      <c r="CS89" s="202">
        <v>1000</v>
      </c>
      <c r="CT89" s="202">
        <v>0.1</v>
      </c>
      <c r="CU89" s="202">
        <v>4</v>
      </c>
      <c r="CV89" s="202" t="s">
        <v>434</v>
      </c>
      <c r="CW89" s="202">
        <v>0</v>
      </c>
      <c r="CX89" s="205">
        <f t="shared" si="172"/>
        <v>0</v>
      </c>
      <c r="CY89" s="202">
        <v>1000</v>
      </c>
      <c r="CZ89" s="202">
        <v>0.12</v>
      </c>
      <c r="DA89" s="202">
        <v>4</v>
      </c>
      <c r="DB89" s="202" t="s">
        <v>434</v>
      </c>
      <c r="DC89" s="202">
        <v>0</v>
      </c>
      <c r="DD89" s="205">
        <f t="shared" si="169"/>
        <v>0</v>
      </c>
      <c r="DE89" s="202">
        <v>1000</v>
      </c>
      <c r="DF89" s="202">
        <v>0.1</v>
      </c>
      <c r="DG89" s="202">
        <v>4</v>
      </c>
      <c r="DH89" s="202" t="s">
        <v>434</v>
      </c>
      <c r="DI89" s="202">
        <v>0</v>
      </c>
      <c r="DJ89" s="205">
        <f t="shared" si="170"/>
        <v>0</v>
      </c>
      <c r="DK89" s="202">
        <v>1000</v>
      </c>
      <c r="DL89" s="202">
        <v>0.1</v>
      </c>
      <c r="DM89" s="202">
        <v>4</v>
      </c>
      <c r="DN89" s="202" t="s">
        <v>434</v>
      </c>
      <c r="DO89" s="202">
        <v>0</v>
      </c>
      <c r="DP89" s="205">
        <f t="shared" si="171"/>
        <v>0</v>
      </c>
      <c r="DQ89" s="202">
        <v>1000</v>
      </c>
      <c r="DR89" s="202">
        <v>0.1</v>
      </c>
      <c r="DS89" s="202">
        <v>4</v>
      </c>
      <c r="DT89" s="202" t="s">
        <v>434</v>
      </c>
    </row>
    <row r="90" spans="2:124" x14ac:dyDescent="0.35">
      <c r="B90" s="203" t="s">
        <v>453</v>
      </c>
      <c r="C90" s="203"/>
      <c r="D90" s="203"/>
      <c r="E90" s="204"/>
      <c r="F90" s="203"/>
      <c r="G90" s="203"/>
      <c r="H90" s="203"/>
      <c r="I90" s="203"/>
      <c r="J90" s="203"/>
      <c r="K90" s="204"/>
      <c r="L90" s="203"/>
      <c r="M90" s="203"/>
      <c r="N90" s="203"/>
      <c r="O90" s="203"/>
      <c r="P90" s="203"/>
      <c r="Q90" s="204"/>
      <c r="R90" s="203"/>
      <c r="S90" s="203"/>
      <c r="T90" s="203"/>
      <c r="U90" s="203"/>
      <c r="V90" s="203"/>
      <c r="W90" s="204"/>
      <c r="X90" s="203"/>
      <c r="Y90" s="203"/>
      <c r="Z90" s="203"/>
      <c r="AA90" s="203"/>
      <c r="AB90" s="203"/>
      <c r="AC90" s="204"/>
      <c r="AD90" s="203"/>
      <c r="AE90" s="203"/>
      <c r="AF90" s="203"/>
      <c r="AG90" s="203"/>
      <c r="AH90" s="203"/>
      <c r="AI90" s="204"/>
      <c r="AJ90" s="203"/>
      <c r="AK90" s="203"/>
      <c r="AL90" s="203"/>
      <c r="AM90" s="203"/>
      <c r="AN90" s="203"/>
      <c r="AO90" s="204"/>
      <c r="AP90" s="203"/>
      <c r="AQ90" s="203"/>
      <c r="AR90" s="203"/>
      <c r="AS90" s="203"/>
      <c r="AT90" s="203"/>
      <c r="AU90" s="204"/>
      <c r="AV90" s="203"/>
      <c r="AW90" s="203"/>
      <c r="AX90" s="203"/>
      <c r="AY90" s="203"/>
      <c r="AZ90" s="203"/>
      <c r="BA90" s="204"/>
      <c r="BB90" s="203"/>
      <c r="BC90" s="203"/>
      <c r="BD90" s="203"/>
      <c r="BE90" s="203"/>
      <c r="BF90" s="203"/>
      <c r="BG90" s="204"/>
      <c r="BH90" s="203"/>
      <c r="BI90" s="203"/>
      <c r="BJ90" s="203"/>
      <c r="BK90" s="203"/>
      <c r="BL90" s="203"/>
      <c r="BM90" s="204"/>
      <c r="BN90" s="203"/>
      <c r="BO90" s="203"/>
      <c r="BP90" s="203"/>
      <c r="BQ90" s="203"/>
      <c r="BR90" s="203"/>
      <c r="BS90" s="204"/>
      <c r="BT90" s="203"/>
      <c r="BU90" s="203"/>
      <c r="BV90" s="203"/>
      <c r="BW90" s="203"/>
      <c r="BX90" s="203"/>
      <c r="BY90" s="204"/>
      <c r="BZ90" s="203"/>
      <c r="CA90" s="203"/>
      <c r="CB90" s="203"/>
      <c r="CC90" s="203"/>
      <c r="CD90" s="203"/>
      <c r="CE90" s="204"/>
      <c r="CF90" s="203"/>
      <c r="CG90" s="203"/>
      <c r="CH90" s="203"/>
      <c r="CI90" s="203"/>
      <c r="CJ90" s="203"/>
      <c r="CK90" s="204"/>
      <c r="CL90" s="203"/>
      <c r="CM90" s="203"/>
      <c r="CN90" s="203"/>
      <c r="CO90" s="203"/>
      <c r="CP90" s="203"/>
      <c r="CQ90" s="204"/>
      <c r="CR90" s="203"/>
      <c r="CS90" s="203"/>
      <c r="CT90" s="203"/>
      <c r="CU90" s="203"/>
      <c r="CV90" s="203"/>
      <c r="CW90" s="202">
        <v>0</v>
      </c>
      <c r="CX90" s="205">
        <f t="shared" si="172"/>
        <v>0</v>
      </c>
      <c r="CY90" s="202">
        <v>1000</v>
      </c>
      <c r="CZ90" s="202">
        <v>0.1</v>
      </c>
      <c r="DA90" s="202">
        <v>4</v>
      </c>
      <c r="DB90" s="202" t="s">
        <v>434</v>
      </c>
      <c r="DC90" s="204"/>
      <c r="DD90" s="203"/>
      <c r="DE90" s="203"/>
      <c r="DF90" s="203"/>
      <c r="DG90" s="203"/>
      <c r="DH90" s="203"/>
      <c r="DI90" s="204"/>
      <c r="DJ90" s="203"/>
      <c r="DK90" s="203"/>
      <c r="DL90" s="203"/>
      <c r="DM90" s="203"/>
      <c r="DN90" s="203"/>
      <c r="DO90" s="204"/>
      <c r="DP90" s="203"/>
      <c r="DQ90" s="203"/>
      <c r="DR90" s="203"/>
      <c r="DS90" s="203"/>
      <c r="DT90" s="203"/>
    </row>
    <row r="91" spans="2:124" x14ac:dyDescent="0.35">
      <c r="B91" s="201" t="s">
        <v>454</v>
      </c>
      <c r="C91" s="13"/>
      <c r="D91" s="13"/>
      <c r="E91" s="202">
        <v>0</v>
      </c>
      <c r="F91" s="205">
        <f t="shared" si="134"/>
        <v>0</v>
      </c>
      <c r="G91" s="202">
        <v>500</v>
      </c>
      <c r="H91" s="202">
        <v>0.27400000000000002</v>
      </c>
      <c r="I91" s="202">
        <v>4</v>
      </c>
      <c r="J91" s="202" t="s">
        <v>434</v>
      </c>
      <c r="K91" s="202">
        <v>1</v>
      </c>
      <c r="L91" s="205">
        <f t="shared" ref="L91:L97" si="173">IF(ISNUMBER(K91),K91*(M91/K$41+N91*(1+O91/K$28^0.3)),0)</f>
        <v>0.91476284216124426</v>
      </c>
      <c r="M91" s="202">
        <v>500</v>
      </c>
      <c r="N91" s="202">
        <v>0.27400000000000002</v>
      </c>
      <c r="O91" s="202">
        <v>4</v>
      </c>
      <c r="P91" s="202" t="s">
        <v>434</v>
      </c>
      <c r="Q91" s="202">
        <v>1</v>
      </c>
      <c r="R91" s="205">
        <f t="shared" ref="R91:R97" si="174">IF(ISNUMBER(Q91),Q91*(S91/Q$41+T91*(1+U91/Q$28^0.3)),0)</f>
        <v>0.91476284216124426</v>
      </c>
      <c r="S91" s="202">
        <v>500</v>
      </c>
      <c r="T91" s="202">
        <v>0.27400000000000002</v>
      </c>
      <c r="U91" s="202">
        <v>4</v>
      </c>
      <c r="V91" s="202" t="s">
        <v>434</v>
      </c>
      <c r="W91" s="202">
        <v>1</v>
      </c>
      <c r="X91" s="205">
        <f t="shared" ref="X91:X97" si="175">IF(ISNUMBER(W91),W91*(Y91/W$41+Z91*(1+AA91/W$28^0.3)),0)</f>
        <v>0.91454005485611878</v>
      </c>
      <c r="Y91" s="202">
        <v>500</v>
      </c>
      <c r="Z91" s="202">
        <v>0.27400000000000002</v>
      </c>
      <c r="AA91" s="202">
        <v>4</v>
      </c>
      <c r="AB91" s="202" t="s">
        <v>434</v>
      </c>
      <c r="AC91" s="202">
        <v>1</v>
      </c>
      <c r="AD91" s="205">
        <f t="shared" ref="AD91:AD97" si="176">IF(ISNUMBER(AC91),AC91*(AE91/AC$41+AF91*(1+AG91/AC$28^0.3)),0)</f>
        <v>0.99726761744509629</v>
      </c>
      <c r="AE91" s="202">
        <v>500</v>
      </c>
      <c r="AF91" s="202">
        <v>0.27400000000000002</v>
      </c>
      <c r="AG91" s="202">
        <v>4</v>
      </c>
      <c r="AH91" s="202" t="s">
        <v>434</v>
      </c>
      <c r="AI91" s="202">
        <v>1</v>
      </c>
      <c r="AJ91" s="205">
        <f t="shared" ref="AJ91:AJ97" si="177">IF(ISNUMBER(AI91),AI91*(AK91/AI$41+AL91*(1+AM91/AI$28^0.3)),0)</f>
        <v>0.99726761744509629</v>
      </c>
      <c r="AK91" s="202">
        <v>500</v>
      </c>
      <c r="AL91" s="202">
        <v>0.27400000000000002</v>
      </c>
      <c r="AM91" s="202">
        <v>4</v>
      </c>
      <c r="AN91" s="202" t="s">
        <v>434</v>
      </c>
      <c r="AO91" s="202">
        <v>1</v>
      </c>
      <c r="AP91" s="205">
        <f t="shared" ref="AP91:AP97" si="178">IF(ISNUMBER(AO91),AO91*(AQ91/AO$41+AR91*(1+AS91/AO$28^0.3)),0)</f>
        <v>0.99726761744509629</v>
      </c>
      <c r="AQ91" s="202">
        <v>500</v>
      </c>
      <c r="AR91" s="202">
        <v>0.27400000000000002</v>
      </c>
      <c r="AS91" s="202">
        <v>4</v>
      </c>
      <c r="AT91" s="202" t="s">
        <v>434</v>
      </c>
      <c r="AU91" s="202">
        <v>1</v>
      </c>
      <c r="AV91" s="205">
        <f t="shared" ref="AV91:AV97" si="179">IF(ISNUMBER(AU91),AU91*(AW91/AU$41+AX91*(1+AY91/AU$28^0.3)),0)</f>
        <v>0.99726766863920235</v>
      </c>
      <c r="AW91" s="202">
        <v>500</v>
      </c>
      <c r="AX91" s="202">
        <v>0.27400000000000002</v>
      </c>
      <c r="AY91" s="202">
        <v>4</v>
      </c>
      <c r="AZ91" s="202" t="s">
        <v>434</v>
      </c>
      <c r="BA91" s="202">
        <v>1</v>
      </c>
      <c r="BB91" s="205">
        <f t="shared" ref="BB91:BB97" si="180">IF(ISNUMBER(BA91),BA91*(BC91/BA$41+BD91*(1+BE91/BA$28^0.3)),0)</f>
        <v>0.99726766863920235</v>
      </c>
      <c r="BC91" s="202">
        <v>500</v>
      </c>
      <c r="BD91" s="202">
        <v>0.27400000000000002</v>
      </c>
      <c r="BE91" s="202">
        <v>4</v>
      </c>
      <c r="BF91" s="202" t="s">
        <v>434</v>
      </c>
      <c r="BG91" s="202">
        <v>1</v>
      </c>
      <c r="BH91" s="205">
        <f t="shared" ref="BH91:BH97" si="181">IF(ISNUMBER(BG91),BG91*(BI91/BG$41+BJ91*(1+BK91/BG$28^0.3)),0)</f>
        <v>0.99726766863920235</v>
      </c>
      <c r="BI91" s="202">
        <v>500</v>
      </c>
      <c r="BJ91" s="202">
        <v>0.27400000000000002</v>
      </c>
      <c r="BK91" s="202">
        <v>4</v>
      </c>
      <c r="BL91" s="202" t="s">
        <v>434</v>
      </c>
      <c r="BM91" s="202">
        <v>1</v>
      </c>
      <c r="BN91" s="205">
        <f t="shared" ref="BN91:BN97" si="182">IF(ISNUMBER(BM91),BM91*(BO91/BM$41+BP91*(1+BQ91/BM$28^0.3)),0)</f>
        <v>0.86234939155650425</v>
      </c>
      <c r="BO91" s="202">
        <v>500</v>
      </c>
      <c r="BP91" s="202">
        <v>0.27400000000000002</v>
      </c>
      <c r="BQ91" s="202">
        <v>4</v>
      </c>
      <c r="BR91" s="202" t="s">
        <v>434</v>
      </c>
      <c r="BS91" s="202">
        <v>1</v>
      </c>
      <c r="BT91" s="205">
        <f t="shared" ref="BT91:BT97" si="183">IF(ISNUMBER(BS91),BS91*(BU91/BS$41+BV91*(1+BW91/BS$28^0.3)),0)</f>
        <v>0.86210458565763848</v>
      </c>
      <c r="BU91" s="202">
        <v>500</v>
      </c>
      <c r="BV91" s="202">
        <v>0.27400000000000002</v>
      </c>
      <c r="BW91" s="202">
        <v>4</v>
      </c>
      <c r="BX91" s="202" t="s">
        <v>434</v>
      </c>
      <c r="BY91" s="202">
        <v>1</v>
      </c>
      <c r="BZ91" s="205">
        <f t="shared" ref="BZ91:BZ97" si="184">IF(ISNUMBER(BY91),BY91*(CA91/BY$41+CB91*(1+CC91/BY$28^0.3)),0)</f>
        <v>0.99748013634197252</v>
      </c>
      <c r="CA91" s="202">
        <v>500</v>
      </c>
      <c r="CB91" s="202">
        <v>0.27400000000000002</v>
      </c>
      <c r="CC91" s="202">
        <v>4</v>
      </c>
      <c r="CD91" s="202" t="s">
        <v>434</v>
      </c>
      <c r="CE91" s="202">
        <v>1</v>
      </c>
      <c r="CF91" s="205">
        <f t="shared" ref="CF91:CF97" si="185">IF(ISNUMBER(CE91),CE91*(CG91/CE$41+CH91*(1+CI91/CE$28^0.3)),0)</f>
        <v>0.99748013634197252</v>
      </c>
      <c r="CG91" s="202">
        <v>500</v>
      </c>
      <c r="CH91" s="202">
        <v>0.27400000000000002</v>
      </c>
      <c r="CI91" s="202">
        <v>4</v>
      </c>
      <c r="CJ91" s="202" t="s">
        <v>434</v>
      </c>
      <c r="CK91" s="202">
        <v>1</v>
      </c>
      <c r="CL91" s="205">
        <f t="shared" ref="CL91:CL97" si="186">IF(ISNUMBER(CK91),CK91*(CM91/CK$41+CN91*(1+CO91/CK$28^0.3)),0)</f>
        <v>1.0629085217218357</v>
      </c>
      <c r="CM91" s="202">
        <v>500</v>
      </c>
      <c r="CN91" s="202">
        <v>0.27400000000000002</v>
      </c>
      <c r="CO91" s="202">
        <v>4</v>
      </c>
      <c r="CP91" s="202" t="s">
        <v>434</v>
      </c>
      <c r="CQ91" s="202">
        <v>1</v>
      </c>
      <c r="CR91" s="205">
        <f t="shared" ref="CR91:CR97" si="187">IF(ISNUMBER(CQ91),CQ91*(CS91/CQ$41+CT91*(1+CU91/CQ$28^0.3)),0)</f>
        <v>1.0629085217218357</v>
      </c>
      <c r="CS91" s="202">
        <v>500</v>
      </c>
      <c r="CT91" s="202">
        <v>0.27400000000000002</v>
      </c>
      <c r="CU91" s="202">
        <v>4</v>
      </c>
      <c r="CV91" s="202" t="s">
        <v>434</v>
      </c>
      <c r="CW91" s="204"/>
      <c r="CX91" s="203"/>
      <c r="CY91" s="203"/>
      <c r="CZ91" s="203"/>
      <c r="DA91" s="203"/>
      <c r="DB91" s="203"/>
      <c r="DC91" s="202">
        <v>1</v>
      </c>
      <c r="DD91" s="205">
        <f t="shared" ref="DD91:DD97" si="188">IF(ISNUMBER(DC91),DC91*(DE91/DC$41+DF91*(1+DG91/DC$28^0.3)),0)</f>
        <v>1.0629085217218357</v>
      </c>
      <c r="DE91" s="202">
        <v>500</v>
      </c>
      <c r="DF91" s="202">
        <v>0.27400000000000002</v>
      </c>
      <c r="DG91" s="202">
        <v>4</v>
      </c>
      <c r="DH91" s="202" t="s">
        <v>434</v>
      </c>
      <c r="DI91" s="202">
        <v>1</v>
      </c>
      <c r="DJ91" s="205">
        <f t="shared" ref="DJ91:DJ97" si="189">IF(ISNUMBER(DI91),DI91*(DK91/DI$41+DL91*(1+DM91/DI$28^0.3)),0)</f>
        <v>1.0629085217218357</v>
      </c>
      <c r="DK91" s="202">
        <v>500</v>
      </c>
      <c r="DL91" s="202">
        <v>0.27400000000000002</v>
      </c>
      <c r="DM91" s="202">
        <v>4</v>
      </c>
      <c r="DN91" s="202" t="s">
        <v>434</v>
      </c>
      <c r="DO91" s="202">
        <v>1</v>
      </c>
      <c r="DP91" s="205">
        <f t="shared" ref="DP91:DP97" si="190">IF(ISNUMBER(DO91),DO91*(DQ91/DO$41+DR91*(1+DS91/DO$28^0.3)),0)</f>
        <v>3.2796584380570959</v>
      </c>
      <c r="DQ91" s="202">
        <v>500</v>
      </c>
      <c r="DR91" s="202">
        <v>0.27400000000000002</v>
      </c>
      <c r="DS91" s="202">
        <v>4</v>
      </c>
      <c r="DT91" s="202" t="s">
        <v>434</v>
      </c>
    </row>
    <row r="92" spans="2:124" x14ac:dyDescent="0.35">
      <c r="B92" s="201" t="s">
        <v>455</v>
      </c>
      <c r="C92" s="13"/>
      <c r="D92" s="13"/>
      <c r="E92" s="202">
        <v>0</v>
      </c>
      <c r="F92" s="205">
        <f t="shared" si="134"/>
        <v>0</v>
      </c>
      <c r="G92" s="202">
        <v>800</v>
      </c>
      <c r="H92" s="202">
        <v>0.14000000000000001</v>
      </c>
      <c r="I92" s="202">
        <v>4</v>
      </c>
      <c r="J92" s="202" t="s">
        <v>434</v>
      </c>
      <c r="K92" s="202">
        <v>0</v>
      </c>
      <c r="L92" s="205">
        <f t="shared" si="173"/>
        <v>0</v>
      </c>
      <c r="M92" s="202">
        <v>800</v>
      </c>
      <c r="N92" s="202">
        <v>0.14000000000000001</v>
      </c>
      <c r="O92" s="202">
        <v>4</v>
      </c>
      <c r="P92" s="202" t="s">
        <v>434</v>
      </c>
      <c r="Q92" s="202">
        <v>0</v>
      </c>
      <c r="R92" s="205">
        <f t="shared" si="174"/>
        <v>0</v>
      </c>
      <c r="S92" s="202">
        <v>800</v>
      </c>
      <c r="T92" s="202">
        <v>0.14000000000000001</v>
      </c>
      <c r="U92" s="202">
        <v>4</v>
      </c>
      <c r="V92" s="202" t="s">
        <v>434</v>
      </c>
      <c r="W92" s="202">
        <v>0</v>
      </c>
      <c r="X92" s="205">
        <f t="shared" si="175"/>
        <v>0</v>
      </c>
      <c r="Y92" s="202">
        <v>800</v>
      </c>
      <c r="Z92" s="202">
        <v>0.14000000000000001</v>
      </c>
      <c r="AA92" s="202">
        <v>4</v>
      </c>
      <c r="AB92" s="202" t="s">
        <v>434</v>
      </c>
      <c r="AC92" s="202">
        <v>0</v>
      </c>
      <c r="AD92" s="205">
        <f t="shared" si="176"/>
        <v>0</v>
      </c>
      <c r="AE92" s="202">
        <v>800</v>
      </c>
      <c r="AF92" s="202">
        <v>0.14000000000000001</v>
      </c>
      <c r="AG92" s="202">
        <v>4</v>
      </c>
      <c r="AH92" s="202" t="s">
        <v>434</v>
      </c>
      <c r="AI92" s="202">
        <v>0</v>
      </c>
      <c r="AJ92" s="205">
        <f t="shared" si="177"/>
        <v>0</v>
      </c>
      <c r="AK92" s="202">
        <v>800</v>
      </c>
      <c r="AL92" s="202">
        <v>0.14000000000000001</v>
      </c>
      <c r="AM92" s="202">
        <v>4</v>
      </c>
      <c r="AN92" s="202" t="s">
        <v>434</v>
      </c>
      <c r="AO92" s="202">
        <v>0</v>
      </c>
      <c r="AP92" s="205">
        <f t="shared" si="178"/>
        <v>0</v>
      </c>
      <c r="AQ92" s="202">
        <v>800</v>
      </c>
      <c r="AR92" s="202">
        <v>0.14000000000000001</v>
      </c>
      <c r="AS92" s="202">
        <v>4</v>
      </c>
      <c r="AT92" s="202" t="s">
        <v>434</v>
      </c>
      <c r="AU92" s="202">
        <v>0</v>
      </c>
      <c r="AV92" s="205">
        <f t="shared" si="179"/>
        <v>0</v>
      </c>
      <c r="AW92" s="202">
        <v>800</v>
      </c>
      <c r="AX92" s="202">
        <v>0.14000000000000001</v>
      </c>
      <c r="AY92" s="202">
        <v>4</v>
      </c>
      <c r="AZ92" s="202" t="s">
        <v>434</v>
      </c>
      <c r="BA92" s="202">
        <v>0</v>
      </c>
      <c r="BB92" s="205">
        <f t="shared" si="180"/>
        <v>0</v>
      </c>
      <c r="BC92" s="202">
        <v>800</v>
      </c>
      <c r="BD92" s="202">
        <v>0.14000000000000001</v>
      </c>
      <c r="BE92" s="202">
        <v>4</v>
      </c>
      <c r="BF92" s="202" t="s">
        <v>434</v>
      </c>
      <c r="BG92" s="202">
        <v>0</v>
      </c>
      <c r="BH92" s="205">
        <f t="shared" si="181"/>
        <v>0</v>
      </c>
      <c r="BI92" s="202">
        <v>800</v>
      </c>
      <c r="BJ92" s="202">
        <v>0.14000000000000001</v>
      </c>
      <c r="BK92" s="202">
        <v>4</v>
      </c>
      <c r="BL92" s="202" t="s">
        <v>434</v>
      </c>
      <c r="BM92" s="202">
        <v>0</v>
      </c>
      <c r="BN92" s="205">
        <f t="shared" si="182"/>
        <v>0</v>
      </c>
      <c r="BO92" s="202">
        <v>800</v>
      </c>
      <c r="BP92" s="202">
        <v>0.14000000000000001</v>
      </c>
      <c r="BQ92" s="202">
        <v>4</v>
      </c>
      <c r="BR92" s="202" t="s">
        <v>434</v>
      </c>
      <c r="BS92" s="202">
        <v>0</v>
      </c>
      <c r="BT92" s="205">
        <f t="shared" si="183"/>
        <v>0</v>
      </c>
      <c r="BU92" s="202">
        <v>800</v>
      </c>
      <c r="BV92" s="202">
        <v>0.14000000000000001</v>
      </c>
      <c r="BW92" s="202">
        <v>4</v>
      </c>
      <c r="BX92" s="202" t="s">
        <v>434</v>
      </c>
      <c r="BY92" s="202">
        <v>0</v>
      </c>
      <c r="BZ92" s="205">
        <f t="shared" si="184"/>
        <v>0</v>
      </c>
      <c r="CA92" s="202">
        <v>800</v>
      </c>
      <c r="CB92" s="202">
        <v>0.14000000000000001</v>
      </c>
      <c r="CC92" s="202">
        <v>4</v>
      </c>
      <c r="CD92" s="202" t="s">
        <v>434</v>
      </c>
      <c r="CE92" s="202">
        <v>0</v>
      </c>
      <c r="CF92" s="205">
        <f t="shared" si="185"/>
        <v>0</v>
      </c>
      <c r="CG92" s="202">
        <v>800</v>
      </c>
      <c r="CH92" s="202">
        <v>0.14000000000000001</v>
      </c>
      <c r="CI92" s="202">
        <v>4</v>
      </c>
      <c r="CJ92" s="202" t="s">
        <v>434</v>
      </c>
      <c r="CK92" s="202">
        <v>0</v>
      </c>
      <c r="CL92" s="205">
        <f t="shared" si="186"/>
        <v>0</v>
      </c>
      <c r="CM92" s="202">
        <v>800</v>
      </c>
      <c r="CN92" s="202">
        <v>0.14000000000000001</v>
      </c>
      <c r="CO92" s="202">
        <v>4</v>
      </c>
      <c r="CP92" s="202" t="s">
        <v>434</v>
      </c>
      <c r="CQ92" s="202">
        <v>0</v>
      </c>
      <c r="CR92" s="205">
        <f t="shared" si="187"/>
        <v>0</v>
      </c>
      <c r="CS92" s="202">
        <v>800</v>
      </c>
      <c r="CT92" s="202">
        <v>0.14000000000000001</v>
      </c>
      <c r="CU92" s="202">
        <v>4</v>
      </c>
      <c r="CV92" s="202" t="s">
        <v>434</v>
      </c>
      <c r="CW92" s="202">
        <v>1</v>
      </c>
      <c r="CX92" s="205">
        <f t="shared" ref="CX92:CX98" si="191">IF(ISNUMBER(CW92),CW92*(CY92/CW$41+CZ92*(1+DA92/CW$28^0.3)),0)</f>
        <v>1.0629085217218357</v>
      </c>
      <c r="CY92" s="202">
        <v>500</v>
      </c>
      <c r="CZ92" s="202">
        <v>0.27400000000000002</v>
      </c>
      <c r="DA92" s="202">
        <v>4</v>
      </c>
      <c r="DB92" s="202" t="s">
        <v>434</v>
      </c>
      <c r="DC92" s="202">
        <v>0</v>
      </c>
      <c r="DD92" s="205">
        <f t="shared" si="188"/>
        <v>0</v>
      </c>
      <c r="DE92" s="202">
        <v>800</v>
      </c>
      <c r="DF92" s="202">
        <v>0.14000000000000001</v>
      </c>
      <c r="DG92" s="202">
        <v>4</v>
      </c>
      <c r="DH92" s="202" t="s">
        <v>434</v>
      </c>
      <c r="DI92" s="202">
        <v>0</v>
      </c>
      <c r="DJ92" s="205">
        <f t="shared" si="189"/>
        <v>0</v>
      </c>
      <c r="DK92" s="202">
        <v>800</v>
      </c>
      <c r="DL92" s="202">
        <v>0.14000000000000001</v>
      </c>
      <c r="DM92" s="202">
        <v>4</v>
      </c>
      <c r="DN92" s="202" t="s">
        <v>434</v>
      </c>
      <c r="DO92" s="202">
        <v>0</v>
      </c>
      <c r="DP92" s="205">
        <f t="shared" si="190"/>
        <v>0</v>
      </c>
      <c r="DQ92" s="202">
        <v>800</v>
      </c>
      <c r="DR92" s="202">
        <v>0.14000000000000001</v>
      </c>
      <c r="DS92" s="202">
        <v>4</v>
      </c>
      <c r="DT92" s="202" t="s">
        <v>434</v>
      </c>
    </row>
    <row r="93" spans="2:124" x14ac:dyDescent="0.35">
      <c r="B93" s="201" t="s">
        <v>456</v>
      </c>
      <c r="C93" s="13"/>
      <c r="D93" s="13"/>
      <c r="E93" s="202">
        <v>3</v>
      </c>
      <c r="F93" s="205">
        <f t="shared" si="134"/>
        <v>2.8052318590516059</v>
      </c>
      <c r="G93" s="202">
        <v>800</v>
      </c>
      <c r="H93" s="202">
        <v>0.28000000000000003</v>
      </c>
      <c r="I93" s="202">
        <v>4</v>
      </c>
      <c r="J93" s="202" t="s">
        <v>434</v>
      </c>
      <c r="K93" s="202">
        <v>0</v>
      </c>
      <c r="L93" s="205">
        <f t="shared" si="173"/>
        <v>0</v>
      </c>
      <c r="M93" s="202">
        <v>800</v>
      </c>
      <c r="N93" s="202">
        <v>0.28000000000000003</v>
      </c>
      <c r="O93" s="202">
        <v>4</v>
      </c>
      <c r="P93" s="202" t="s">
        <v>434</v>
      </c>
      <c r="Q93" s="202">
        <v>0</v>
      </c>
      <c r="R93" s="205">
        <f t="shared" si="174"/>
        <v>0</v>
      </c>
      <c r="S93" s="202">
        <v>800</v>
      </c>
      <c r="T93" s="202">
        <v>0.28000000000000003</v>
      </c>
      <c r="U93" s="202">
        <v>4</v>
      </c>
      <c r="V93" s="202" t="s">
        <v>434</v>
      </c>
      <c r="W93" s="202">
        <v>0</v>
      </c>
      <c r="X93" s="205">
        <f t="shared" si="175"/>
        <v>0</v>
      </c>
      <c r="Y93" s="202">
        <v>800</v>
      </c>
      <c r="Z93" s="202">
        <v>0.28000000000000003</v>
      </c>
      <c r="AA93" s="202">
        <v>4</v>
      </c>
      <c r="AB93" s="202" t="s">
        <v>434</v>
      </c>
      <c r="AC93" s="202">
        <v>0</v>
      </c>
      <c r="AD93" s="205">
        <f t="shared" si="176"/>
        <v>0</v>
      </c>
      <c r="AE93" s="202">
        <v>800</v>
      </c>
      <c r="AF93" s="202">
        <v>0.28000000000000003</v>
      </c>
      <c r="AG93" s="202">
        <v>4</v>
      </c>
      <c r="AH93" s="202" t="s">
        <v>434</v>
      </c>
      <c r="AI93" s="202">
        <v>0</v>
      </c>
      <c r="AJ93" s="205">
        <f t="shared" si="177"/>
        <v>0</v>
      </c>
      <c r="AK93" s="202">
        <v>800</v>
      </c>
      <c r="AL93" s="202">
        <v>0.28000000000000003</v>
      </c>
      <c r="AM93" s="202">
        <v>4</v>
      </c>
      <c r="AN93" s="202" t="s">
        <v>434</v>
      </c>
      <c r="AO93" s="202">
        <v>0</v>
      </c>
      <c r="AP93" s="205">
        <f t="shared" si="178"/>
        <v>0</v>
      </c>
      <c r="AQ93" s="202">
        <v>800</v>
      </c>
      <c r="AR93" s="202">
        <v>0.28000000000000003</v>
      </c>
      <c r="AS93" s="202">
        <v>4</v>
      </c>
      <c r="AT93" s="202" t="s">
        <v>434</v>
      </c>
      <c r="AU93" s="202">
        <v>0</v>
      </c>
      <c r="AV93" s="205">
        <f t="shared" si="179"/>
        <v>0</v>
      </c>
      <c r="AW93" s="202">
        <v>800</v>
      </c>
      <c r="AX93" s="202">
        <v>0.28000000000000003</v>
      </c>
      <c r="AY93" s="202">
        <v>4</v>
      </c>
      <c r="AZ93" s="202" t="s">
        <v>434</v>
      </c>
      <c r="BA93" s="202">
        <v>0</v>
      </c>
      <c r="BB93" s="205">
        <f t="shared" si="180"/>
        <v>0</v>
      </c>
      <c r="BC93" s="202">
        <v>800</v>
      </c>
      <c r="BD93" s="202">
        <v>0.28000000000000003</v>
      </c>
      <c r="BE93" s="202">
        <v>4</v>
      </c>
      <c r="BF93" s="202" t="s">
        <v>434</v>
      </c>
      <c r="BG93" s="202">
        <v>0</v>
      </c>
      <c r="BH93" s="205">
        <f t="shared" si="181"/>
        <v>0</v>
      </c>
      <c r="BI93" s="202">
        <v>800</v>
      </c>
      <c r="BJ93" s="202">
        <v>0.28000000000000003</v>
      </c>
      <c r="BK93" s="202">
        <v>4</v>
      </c>
      <c r="BL93" s="202" t="s">
        <v>434</v>
      </c>
      <c r="BM93" s="202">
        <v>0</v>
      </c>
      <c r="BN93" s="205">
        <f t="shared" si="182"/>
        <v>0</v>
      </c>
      <c r="BO93" s="202">
        <v>800</v>
      </c>
      <c r="BP93" s="202">
        <v>0.28000000000000003</v>
      </c>
      <c r="BQ93" s="202">
        <v>4</v>
      </c>
      <c r="BR93" s="202" t="s">
        <v>434</v>
      </c>
      <c r="BS93" s="202">
        <v>0</v>
      </c>
      <c r="BT93" s="205">
        <f t="shared" si="183"/>
        <v>0</v>
      </c>
      <c r="BU93" s="202">
        <v>800</v>
      </c>
      <c r="BV93" s="202">
        <v>0.28000000000000003</v>
      </c>
      <c r="BW93" s="202">
        <v>4</v>
      </c>
      <c r="BX93" s="202" t="s">
        <v>434</v>
      </c>
      <c r="BY93" s="202">
        <v>0</v>
      </c>
      <c r="BZ93" s="205">
        <f t="shared" si="184"/>
        <v>0</v>
      </c>
      <c r="CA93" s="202">
        <v>800</v>
      </c>
      <c r="CB93" s="202">
        <v>0.28000000000000003</v>
      </c>
      <c r="CC93" s="202">
        <v>4</v>
      </c>
      <c r="CD93" s="202" t="s">
        <v>434</v>
      </c>
      <c r="CE93" s="202">
        <v>0</v>
      </c>
      <c r="CF93" s="205">
        <f t="shared" si="185"/>
        <v>0</v>
      </c>
      <c r="CG93" s="202">
        <v>800</v>
      </c>
      <c r="CH93" s="202">
        <v>0.28000000000000003</v>
      </c>
      <c r="CI93" s="202">
        <v>4</v>
      </c>
      <c r="CJ93" s="202" t="s">
        <v>434</v>
      </c>
      <c r="CK93" s="202">
        <v>0</v>
      </c>
      <c r="CL93" s="205">
        <f t="shared" si="186"/>
        <v>0</v>
      </c>
      <c r="CM93" s="202">
        <v>800</v>
      </c>
      <c r="CN93" s="202">
        <v>0.28000000000000003</v>
      </c>
      <c r="CO93" s="202">
        <v>4</v>
      </c>
      <c r="CP93" s="202" t="s">
        <v>434</v>
      </c>
      <c r="CQ93" s="202">
        <v>0</v>
      </c>
      <c r="CR93" s="205">
        <f t="shared" si="187"/>
        <v>0</v>
      </c>
      <c r="CS93" s="202">
        <v>800</v>
      </c>
      <c r="CT93" s="202">
        <v>0.28000000000000003</v>
      </c>
      <c r="CU93" s="202">
        <v>4</v>
      </c>
      <c r="CV93" s="202" t="s">
        <v>434</v>
      </c>
      <c r="CW93" s="202">
        <v>0</v>
      </c>
      <c r="CX93" s="205">
        <f t="shared" si="191"/>
        <v>0</v>
      </c>
      <c r="CY93" s="202">
        <v>800</v>
      </c>
      <c r="CZ93" s="202">
        <v>0.14000000000000001</v>
      </c>
      <c r="DA93" s="202">
        <v>4</v>
      </c>
      <c r="DB93" s="202" t="s">
        <v>434</v>
      </c>
      <c r="DC93" s="202">
        <v>0</v>
      </c>
      <c r="DD93" s="205">
        <f t="shared" si="188"/>
        <v>0</v>
      </c>
      <c r="DE93" s="202">
        <v>800</v>
      </c>
      <c r="DF93" s="202">
        <v>0.28000000000000003</v>
      </c>
      <c r="DG93" s="202">
        <v>4</v>
      </c>
      <c r="DH93" s="202" t="s">
        <v>434</v>
      </c>
      <c r="DI93" s="202">
        <v>0</v>
      </c>
      <c r="DJ93" s="205">
        <f t="shared" si="189"/>
        <v>0</v>
      </c>
      <c r="DK93" s="202">
        <v>800</v>
      </c>
      <c r="DL93" s="202">
        <v>0.28000000000000003</v>
      </c>
      <c r="DM93" s="202">
        <v>4</v>
      </c>
      <c r="DN93" s="202" t="s">
        <v>434</v>
      </c>
      <c r="DO93" s="202">
        <v>0</v>
      </c>
      <c r="DP93" s="205">
        <f t="shared" si="190"/>
        <v>0</v>
      </c>
      <c r="DQ93" s="202">
        <v>800</v>
      </c>
      <c r="DR93" s="202">
        <v>0.28000000000000003</v>
      </c>
      <c r="DS93" s="202">
        <v>4</v>
      </c>
      <c r="DT93" s="202" t="s">
        <v>434</v>
      </c>
    </row>
    <row r="94" spans="2:124" x14ac:dyDescent="0.35">
      <c r="B94" s="201" t="s">
        <v>457</v>
      </c>
      <c r="C94" s="13"/>
      <c r="D94" s="13"/>
      <c r="E94" s="202">
        <v>0</v>
      </c>
      <c r="F94" s="205">
        <f t="shared" si="134"/>
        <v>0</v>
      </c>
      <c r="G94" s="202">
        <v>1000</v>
      </c>
      <c r="H94" s="202">
        <v>0.34</v>
      </c>
      <c r="I94" s="202">
        <v>4</v>
      </c>
      <c r="J94" s="202" t="s">
        <v>434</v>
      </c>
      <c r="K94" s="202">
        <v>0</v>
      </c>
      <c r="L94" s="205">
        <f t="shared" si="173"/>
        <v>0</v>
      </c>
      <c r="M94" s="202">
        <v>1000</v>
      </c>
      <c r="N94" s="202">
        <v>0.34</v>
      </c>
      <c r="O94" s="202">
        <v>4</v>
      </c>
      <c r="P94" s="202" t="s">
        <v>434</v>
      </c>
      <c r="Q94" s="202">
        <v>0</v>
      </c>
      <c r="R94" s="205">
        <f t="shared" si="174"/>
        <v>0</v>
      </c>
      <c r="S94" s="202">
        <v>1000</v>
      </c>
      <c r="T94" s="202">
        <v>0.34</v>
      </c>
      <c r="U94" s="202">
        <v>4</v>
      </c>
      <c r="V94" s="202" t="s">
        <v>434</v>
      </c>
      <c r="W94" s="202">
        <v>0</v>
      </c>
      <c r="X94" s="205">
        <f t="shared" si="175"/>
        <v>0</v>
      </c>
      <c r="Y94" s="202">
        <v>1000</v>
      </c>
      <c r="Z94" s="202">
        <v>0.34</v>
      </c>
      <c r="AA94" s="202">
        <v>4</v>
      </c>
      <c r="AB94" s="202" t="s">
        <v>434</v>
      </c>
      <c r="AC94" s="202">
        <v>0</v>
      </c>
      <c r="AD94" s="205">
        <f t="shared" si="176"/>
        <v>0</v>
      </c>
      <c r="AE94" s="202">
        <v>1000</v>
      </c>
      <c r="AF94" s="202">
        <v>0.34</v>
      </c>
      <c r="AG94" s="202">
        <v>4</v>
      </c>
      <c r="AH94" s="202" t="s">
        <v>434</v>
      </c>
      <c r="AI94" s="202">
        <v>0</v>
      </c>
      <c r="AJ94" s="205">
        <f t="shared" si="177"/>
        <v>0</v>
      </c>
      <c r="AK94" s="202">
        <v>1000</v>
      </c>
      <c r="AL94" s="202">
        <v>0.34</v>
      </c>
      <c r="AM94" s="202">
        <v>4</v>
      </c>
      <c r="AN94" s="202" t="s">
        <v>434</v>
      </c>
      <c r="AO94" s="202">
        <v>0</v>
      </c>
      <c r="AP94" s="205">
        <f t="shared" si="178"/>
        <v>0</v>
      </c>
      <c r="AQ94" s="202">
        <v>1000</v>
      </c>
      <c r="AR94" s="202">
        <v>0.34</v>
      </c>
      <c r="AS94" s="202">
        <v>4</v>
      </c>
      <c r="AT94" s="202" t="s">
        <v>434</v>
      </c>
      <c r="AU94" s="202">
        <v>0</v>
      </c>
      <c r="AV94" s="205">
        <f t="shared" si="179"/>
        <v>0</v>
      </c>
      <c r="AW94" s="202">
        <v>1000</v>
      </c>
      <c r="AX94" s="202">
        <v>0.34</v>
      </c>
      <c r="AY94" s="202">
        <v>4</v>
      </c>
      <c r="AZ94" s="202" t="s">
        <v>434</v>
      </c>
      <c r="BA94" s="202">
        <v>0</v>
      </c>
      <c r="BB94" s="205">
        <f t="shared" si="180"/>
        <v>0</v>
      </c>
      <c r="BC94" s="202">
        <v>1000</v>
      </c>
      <c r="BD94" s="202">
        <v>0.34</v>
      </c>
      <c r="BE94" s="202">
        <v>4</v>
      </c>
      <c r="BF94" s="202" t="s">
        <v>434</v>
      </c>
      <c r="BG94" s="202">
        <v>0</v>
      </c>
      <c r="BH94" s="205">
        <f t="shared" si="181"/>
        <v>0</v>
      </c>
      <c r="BI94" s="202">
        <v>1000</v>
      </c>
      <c r="BJ94" s="202">
        <v>0.34</v>
      </c>
      <c r="BK94" s="202">
        <v>4</v>
      </c>
      <c r="BL94" s="202" t="s">
        <v>434</v>
      </c>
      <c r="BM94" s="202">
        <v>0</v>
      </c>
      <c r="BN94" s="205">
        <f t="shared" si="182"/>
        <v>0</v>
      </c>
      <c r="BO94" s="202">
        <v>1000</v>
      </c>
      <c r="BP94" s="202">
        <v>0.34</v>
      </c>
      <c r="BQ94" s="202">
        <v>4</v>
      </c>
      <c r="BR94" s="202" t="s">
        <v>434</v>
      </c>
      <c r="BS94" s="202">
        <v>0</v>
      </c>
      <c r="BT94" s="205">
        <f t="shared" si="183"/>
        <v>0</v>
      </c>
      <c r="BU94" s="202">
        <v>1000</v>
      </c>
      <c r="BV94" s="202">
        <v>0.34</v>
      </c>
      <c r="BW94" s="202">
        <v>4</v>
      </c>
      <c r="BX94" s="202" t="s">
        <v>434</v>
      </c>
      <c r="BY94" s="202">
        <v>0</v>
      </c>
      <c r="BZ94" s="205">
        <f t="shared" si="184"/>
        <v>0</v>
      </c>
      <c r="CA94" s="202">
        <v>1000</v>
      </c>
      <c r="CB94" s="202">
        <v>0.34</v>
      </c>
      <c r="CC94" s="202">
        <v>4</v>
      </c>
      <c r="CD94" s="202" t="s">
        <v>434</v>
      </c>
      <c r="CE94" s="202">
        <v>0</v>
      </c>
      <c r="CF94" s="205">
        <f t="shared" si="185"/>
        <v>0</v>
      </c>
      <c r="CG94" s="202">
        <v>1000</v>
      </c>
      <c r="CH94" s="202">
        <v>0.34</v>
      </c>
      <c r="CI94" s="202">
        <v>4</v>
      </c>
      <c r="CJ94" s="202" t="s">
        <v>434</v>
      </c>
      <c r="CK94" s="202">
        <v>0</v>
      </c>
      <c r="CL94" s="205">
        <f t="shared" si="186"/>
        <v>0</v>
      </c>
      <c r="CM94" s="202">
        <v>1000</v>
      </c>
      <c r="CN94" s="202">
        <v>0.34</v>
      </c>
      <c r="CO94" s="202">
        <v>4</v>
      </c>
      <c r="CP94" s="202" t="s">
        <v>434</v>
      </c>
      <c r="CQ94" s="202">
        <v>0</v>
      </c>
      <c r="CR94" s="205">
        <f t="shared" si="187"/>
        <v>0</v>
      </c>
      <c r="CS94" s="202">
        <v>1000</v>
      </c>
      <c r="CT94" s="202">
        <v>0.34</v>
      </c>
      <c r="CU94" s="202">
        <v>4</v>
      </c>
      <c r="CV94" s="202" t="s">
        <v>434</v>
      </c>
      <c r="CW94" s="202">
        <v>0</v>
      </c>
      <c r="CX94" s="205">
        <f t="shared" si="191"/>
        <v>0</v>
      </c>
      <c r="CY94" s="202">
        <v>800</v>
      </c>
      <c r="CZ94" s="202">
        <v>0.28000000000000003</v>
      </c>
      <c r="DA94" s="202">
        <v>4</v>
      </c>
      <c r="DB94" s="202" t="s">
        <v>434</v>
      </c>
      <c r="DC94" s="202">
        <v>0</v>
      </c>
      <c r="DD94" s="205">
        <f t="shared" si="188"/>
        <v>0</v>
      </c>
      <c r="DE94" s="202">
        <v>1000</v>
      </c>
      <c r="DF94" s="202">
        <v>0.34</v>
      </c>
      <c r="DG94" s="202">
        <v>4</v>
      </c>
      <c r="DH94" s="202" t="s">
        <v>434</v>
      </c>
      <c r="DI94" s="202">
        <v>0</v>
      </c>
      <c r="DJ94" s="205">
        <f t="shared" si="189"/>
        <v>0</v>
      </c>
      <c r="DK94" s="202">
        <v>1000</v>
      </c>
      <c r="DL94" s="202">
        <v>0.34</v>
      </c>
      <c r="DM94" s="202">
        <v>4</v>
      </c>
      <c r="DN94" s="202" t="s">
        <v>434</v>
      </c>
      <c r="DO94" s="202">
        <v>0</v>
      </c>
      <c r="DP94" s="205">
        <f t="shared" si="190"/>
        <v>0</v>
      </c>
      <c r="DQ94" s="202">
        <v>1000</v>
      </c>
      <c r="DR94" s="202">
        <v>0.34</v>
      </c>
      <c r="DS94" s="202">
        <v>4</v>
      </c>
      <c r="DT94" s="202" t="s">
        <v>434</v>
      </c>
    </row>
    <row r="95" spans="2:124" x14ac:dyDescent="0.35">
      <c r="B95" s="201" t="s">
        <v>458</v>
      </c>
      <c r="C95" s="13"/>
      <c r="D95" s="13"/>
      <c r="E95" s="202">
        <v>0</v>
      </c>
      <c r="F95" s="205">
        <f t="shared" si="134"/>
        <v>0</v>
      </c>
      <c r="G95" s="202">
        <v>200</v>
      </c>
      <c r="H95" s="202">
        <v>9.0999999999999998E-2</v>
      </c>
      <c r="I95" s="202">
        <v>4</v>
      </c>
      <c r="J95" s="202" t="s">
        <v>434</v>
      </c>
      <c r="K95" s="202">
        <v>0</v>
      </c>
      <c r="L95" s="205">
        <f t="shared" si="173"/>
        <v>0</v>
      </c>
      <c r="M95" s="202">
        <v>200</v>
      </c>
      <c r="N95" s="202">
        <v>9.0999999999999998E-2</v>
      </c>
      <c r="O95" s="202">
        <v>4</v>
      </c>
      <c r="P95" s="202" t="s">
        <v>434</v>
      </c>
      <c r="Q95" s="202">
        <v>0</v>
      </c>
      <c r="R95" s="205">
        <f t="shared" si="174"/>
        <v>0</v>
      </c>
      <c r="S95" s="202">
        <v>200</v>
      </c>
      <c r="T95" s="202">
        <v>9.0999999999999998E-2</v>
      </c>
      <c r="U95" s="202">
        <v>4</v>
      </c>
      <c r="V95" s="202" t="s">
        <v>434</v>
      </c>
      <c r="W95" s="202">
        <v>0</v>
      </c>
      <c r="X95" s="205">
        <f t="shared" si="175"/>
        <v>0</v>
      </c>
      <c r="Y95" s="202">
        <v>200</v>
      </c>
      <c r="Z95" s="202">
        <v>9.0999999999999998E-2</v>
      </c>
      <c r="AA95" s="202">
        <v>4</v>
      </c>
      <c r="AB95" s="202" t="s">
        <v>434</v>
      </c>
      <c r="AC95" s="202">
        <v>0</v>
      </c>
      <c r="AD95" s="205">
        <f t="shared" si="176"/>
        <v>0</v>
      </c>
      <c r="AE95" s="202">
        <v>200</v>
      </c>
      <c r="AF95" s="202">
        <v>9.0999999999999998E-2</v>
      </c>
      <c r="AG95" s="202">
        <v>4</v>
      </c>
      <c r="AH95" s="202" t="s">
        <v>434</v>
      </c>
      <c r="AI95" s="202">
        <v>0</v>
      </c>
      <c r="AJ95" s="205">
        <f t="shared" si="177"/>
        <v>0</v>
      </c>
      <c r="AK95" s="202">
        <v>200</v>
      </c>
      <c r="AL95" s="202">
        <v>9.0999999999999998E-2</v>
      </c>
      <c r="AM95" s="202">
        <v>4</v>
      </c>
      <c r="AN95" s="202" t="s">
        <v>434</v>
      </c>
      <c r="AO95" s="202">
        <v>0</v>
      </c>
      <c r="AP95" s="205">
        <f t="shared" si="178"/>
        <v>0</v>
      </c>
      <c r="AQ95" s="202">
        <v>200</v>
      </c>
      <c r="AR95" s="202">
        <v>9.0999999999999998E-2</v>
      </c>
      <c r="AS95" s="202">
        <v>4</v>
      </c>
      <c r="AT95" s="202" t="s">
        <v>434</v>
      </c>
      <c r="AU95" s="202">
        <v>0</v>
      </c>
      <c r="AV95" s="205">
        <f t="shared" si="179"/>
        <v>0</v>
      </c>
      <c r="AW95" s="202">
        <v>200</v>
      </c>
      <c r="AX95" s="202">
        <v>9.0999999999999998E-2</v>
      </c>
      <c r="AY95" s="202">
        <v>4</v>
      </c>
      <c r="AZ95" s="202" t="s">
        <v>434</v>
      </c>
      <c r="BA95" s="202">
        <v>0</v>
      </c>
      <c r="BB95" s="205">
        <f t="shared" si="180"/>
        <v>0</v>
      </c>
      <c r="BC95" s="202">
        <v>200</v>
      </c>
      <c r="BD95" s="202">
        <v>9.0999999999999998E-2</v>
      </c>
      <c r="BE95" s="202">
        <v>4</v>
      </c>
      <c r="BF95" s="202" t="s">
        <v>434</v>
      </c>
      <c r="BG95" s="202">
        <v>0</v>
      </c>
      <c r="BH95" s="205">
        <f t="shared" si="181"/>
        <v>0</v>
      </c>
      <c r="BI95" s="202">
        <v>200</v>
      </c>
      <c r="BJ95" s="202">
        <v>9.0999999999999998E-2</v>
      </c>
      <c r="BK95" s="202">
        <v>4</v>
      </c>
      <c r="BL95" s="202" t="s">
        <v>434</v>
      </c>
      <c r="BM95" s="202">
        <v>0</v>
      </c>
      <c r="BN95" s="205">
        <f t="shared" si="182"/>
        <v>0</v>
      </c>
      <c r="BO95" s="202">
        <v>200</v>
      </c>
      <c r="BP95" s="202">
        <v>9.0999999999999998E-2</v>
      </c>
      <c r="BQ95" s="202">
        <v>4</v>
      </c>
      <c r="BR95" s="202" t="s">
        <v>434</v>
      </c>
      <c r="BS95" s="202">
        <v>0</v>
      </c>
      <c r="BT95" s="205">
        <f t="shared" si="183"/>
        <v>0</v>
      </c>
      <c r="BU95" s="202">
        <v>200</v>
      </c>
      <c r="BV95" s="202">
        <v>9.0999999999999998E-2</v>
      </c>
      <c r="BW95" s="202">
        <v>4</v>
      </c>
      <c r="BX95" s="202" t="s">
        <v>434</v>
      </c>
      <c r="BY95" s="202">
        <v>0</v>
      </c>
      <c r="BZ95" s="205">
        <f t="shared" si="184"/>
        <v>0</v>
      </c>
      <c r="CA95" s="202">
        <v>200</v>
      </c>
      <c r="CB95" s="202">
        <v>9.0999999999999998E-2</v>
      </c>
      <c r="CC95" s="202">
        <v>4</v>
      </c>
      <c r="CD95" s="202" t="s">
        <v>434</v>
      </c>
      <c r="CE95" s="202">
        <v>0</v>
      </c>
      <c r="CF95" s="205">
        <f t="shared" si="185"/>
        <v>0</v>
      </c>
      <c r="CG95" s="202">
        <v>200</v>
      </c>
      <c r="CH95" s="202">
        <v>9.0999999999999998E-2</v>
      </c>
      <c r="CI95" s="202">
        <v>4</v>
      </c>
      <c r="CJ95" s="202" t="s">
        <v>434</v>
      </c>
      <c r="CK95" s="202">
        <v>0</v>
      </c>
      <c r="CL95" s="205">
        <f t="shared" si="186"/>
        <v>0</v>
      </c>
      <c r="CM95" s="202">
        <v>200</v>
      </c>
      <c r="CN95" s="202">
        <v>9.0999999999999998E-2</v>
      </c>
      <c r="CO95" s="202">
        <v>4</v>
      </c>
      <c r="CP95" s="202" t="s">
        <v>434</v>
      </c>
      <c r="CQ95" s="202">
        <v>0</v>
      </c>
      <c r="CR95" s="205">
        <f t="shared" si="187"/>
        <v>0</v>
      </c>
      <c r="CS95" s="202">
        <v>200</v>
      </c>
      <c r="CT95" s="202">
        <v>9.0999999999999998E-2</v>
      </c>
      <c r="CU95" s="202">
        <v>4</v>
      </c>
      <c r="CV95" s="202" t="s">
        <v>434</v>
      </c>
      <c r="CW95" s="202">
        <v>0</v>
      </c>
      <c r="CX95" s="205">
        <f t="shared" si="191"/>
        <v>0</v>
      </c>
      <c r="CY95" s="202">
        <v>1000</v>
      </c>
      <c r="CZ95" s="202">
        <v>0.34</v>
      </c>
      <c r="DA95" s="202">
        <v>4</v>
      </c>
      <c r="DB95" s="202" t="s">
        <v>434</v>
      </c>
      <c r="DC95" s="202">
        <v>0</v>
      </c>
      <c r="DD95" s="205">
        <f t="shared" si="188"/>
        <v>0</v>
      </c>
      <c r="DE95" s="202">
        <v>200</v>
      </c>
      <c r="DF95" s="202">
        <v>9.0999999999999998E-2</v>
      </c>
      <c r="DG95" s="202">
        <v>4</v>
      </c>
      <c r="DH95" s="202" t="s">
        <v>434</v>
      </c>
      <c r="DI95" s="202">
        <v>0</v>
      </c>
      <c r="DJ95" s="205">
        <f t="shared" si="189"/>
        <v>0</v>
      </c>
      <c r="DK95" s="202">
        <v>200</v>
      </c>
      <c r="DL95" s="202">
        <v>9.0999999999999998E-2</v>
      </c>
      <c r="DM95" s="202">
        <v>4</v>
      </c>
      <c r="DN95" s="202" t="s">
        <v>434</v>
      </c>
      <c r="DO95" s="202">
        <v>0</v>
      </c>
      <c r="DP95" s="205">
        <f t="shared" si="190"/>
        <v>0</v>
      </c>
      <c r="DQ95" s="202">
        <v>200</v>
      </c>
      <c r="DR95" s="202">
        <v>9.0999999999999998E-2</v>
      </c>
      <c r="DS95" s="202">
        <v>4</v>
      </c>
      <c r="DT95" s="202" t="s">
        <v>434</v>
      </c>
    </row>
    <row r="96" spans="2:124" x14ac:dyDescent="0.35">
      <c r="B96" s="201" t="s">
        <v>459</v>
      </c>
      <c r="C96" s="13"/>
      <c r="D96" s="13"/>
      <c r="E96" s="202">
        <v>0</v>
      </c>
      <c r="F96" s="205">
        <f t="shared" si="134"/>
        <v>0</v>
      </c>
      <c r="G96" s="202">
        <v>150</v>
      </c>
      <c r="H96" s="202">
        <v>0.05</v>
      </c>
      <c r="I96" s="202">
        <v>4</v>
      </c>
      <c r="J96" s="202" t="s">
        <v>434</v>
      </c>
      <c r="K96" s="202">
        <v>0</v>
      </c>
      <c r="L96" s="205">
        <f t="shared" si="173"/>
        <v>0</v>
      </c>
      <c r="M96" s="202">
        <v>150</v>
      </c>
      <c r="N96" s="202">
        <v>0.05</v>
      </c>
      <c r="O96" s="202">
        <v>4</v>
      </c>
      <c r="P96" s="202" t="s">
        <v>434</v>
      </c>
      <c r="Q96" s="202">
        <v>0</v>
      </c>
      <c r="R96" s="205">
        <f t="shared" si="174"/>
        <v>0</v>
      </c>
      <c r="S96" s="202">
        <v>150</v>
      </c>
      <c r="T96" s="202">
        <v>0.05</v>
      </c>
      <c r="U96" s="202">
        <v>4</v>
      </c>
      <c r="V96" s="202" t="s">
        <v>434</v>
      </c>
      <c r="W96" s="202">
        <v>0</v>
      </c>
      <c r="X96" s="205">
        <f t="shared" si="175"/>
        <v>0</v>
      </c>
      <c r="Y96" s="202">
        <v>150</v>
      </c>
      <c r="Z96" s="202">
        <v>0.05</v>
      </c>
      <c r="AA96" s="202">
        <v>4</v>
      </c>
      <c r="AB96" s="202" t="s">
        <v>434</v>
      </c>
      <c r="AC96" s="202">
        <v>0</v>
      </c>
      <c r="AD96" s="205">
        <f t="shared" si="176"/>
        <v>0</v>
      </c>
      <c r="AE96" s="202">
        <v>150</v>
      </c>
      <c r="AF96" s="202">
        <v>0.05</v>
      </c>
      <c r="AG96" s="202">
        <v>4</v>
      </c>
      <c r="AH96" s="202" t="s">
        <v>434</v>
      </c>
      <c r="AI96" s="202">
        <v>0</v>
      </c>
      <c r="AJ96" s="205">
        <f t="shared" si="177"/>
        <v>0</v>
      </c>
      <c r="AK96" s="202">
        <v>150</v>
      </c>
      <c r="AL96" s="202">
        <v>0.05</v>
      </c>
      <c r="AM96" s="202">
        <v>4</v>
      </c>
      <c r="AN96" s="202" t="s">
        <v>434</v>
      </c>
      <c r="AO96" s="202">
        <v>0</v>
      </c>
      <c r="AP96" s="205">
        <f t="shared" si="178"/>
        <v>0</v>
      </c>
      <c r="AQ96" s="202">
        <v>150</v>
      </c>
      <c r="AR96" s="202">
        <v>0.05</v>
      </c>
      <c r="AS96" s="202">
        <v>4</v>
      </c>
      <c r="AT96" s="202" t="s">
        <v>434</v>
      </c>
      <c r="AU96" s="202">
        <v>0</v>
      </c>
      <c r="AV96" s="205">
        <f t="shared" si="179"/>
        <v>0</v>
      </c>
      <c r="AW96" s="202">
        <v>150</v>
      </c>
      <c r="AX96" s="202">
        <v>0.05</v>
      </c>
      <c r="AY96" s="202">
        <v>4</v>
      </c>
      <c r="AZ96" s="202" t="s">
        <v>434</v>
      </c>
      <c r="BA96" s="202">
        <v>0</v>
      </c>
      <c r="BB96" s="205">
        <f t="shared" si="180"/>
        <v>0</v>
      </c>
      <c r="BC96" s="202">
        <v>150</v>
      </c>
      <c r="BD96" s="202">
        <v>0.05</v>
      </c>
      <c r="BE96" s="202">
        <v>4</v>
      </c>
      <c r="BF96" s="202" t="s">
        <v>434</v>
      </c>
      <c r="BG96" s="202">
        <v>0</v>
      </c>
      <c r="BH96" s="205">
        <f t="shared" si="181"/>
        <v>0</v>
      </c>
      <c r="BI96" s="202">
        <v>150</v>
      </c>
      <c r="BJ96" s="202">
        <v>0.05</v>
      </c>
      <c r="BK96" s="202">
        <v>4</v>
      </c>
      <c r="BL96" s="202" t="s">
        <v>434</v>
      </c>
      <c r="BM96" s="202">
        <v>0</v>
      </c>
      <c r="BN96" s="205">
        <f t="shared" si="182"/>
        <v>0</v>
      </c>
      <c r="BO96" s="202">
        <v>150</v>
      </c>
      <c r="BP96" s="202">
        <v>0.05</v>
      </c>
      <c r="BQ96" s="202">
        <v>4</v>
      </c>
      <c r="BR96" s="202" t="s">
        <v>434</v>
      </c>
      <c r="BS96" s="202">
        <v>0</v>
      </c>
      <c r="BT96" s="205">
        <f t="shared" si="183"/>
        <v>0</v>
      </c>
      <c r="BU96" s="202">
        <v>150</v>
      </c>
      <c r="BV96" s="202">
        <v>0.05</v>
      </c>
      <c r="BW96" s="202">
        <v>4</v>
      </c>
      <c r="BX96" s="202" t="s">
        <v>434</v>
      </c>
      <c r="BY96" s="202">
        <v>0</v>
      </c>
      <c r="BZ96" s="205">
        <f t="shared" si="184"/>
        <v>0</v>
      </c>
      <c r="CA96" s="202">
        <v>150</v>
      </c>
      <c r="CB96" s="202">
        <v>0.05</v>
      </c>
      <c r="CC96" s="202">
        <v>4</v>
      </c>
      <c r="CD96" s="202" t="s">
        <v>434</v>
      </c>
      <c r="CE96" s="202">
        <v>0</v>
      </c>
      <c r="CF96" s="205">
        <f t="shared" si="185"/>
        <v>0</v>
      </c>
      <c r="CG96" s="202">
        <v>150</v>
      </c>
      <c r="CH96" s="202">
        <v>0.05</v>
      </c>
      <c r="CI96" s="202">
        <v>4</v>
      </c>
      <c r="CJ96" s="202" t="s">
        <v>434</v>
      </c>
      <c r="CK96" s="202">
        <v>0</v>
      </c>
      <c r="CL96" s="205">
        <f t="shared" si="186"/>
        <v>0</v>
      </c>
      <c r="CM96" s="202">
        <v>150</v>
      </c>
      <c r="CN96" s="202">
        <v>0.05</v>
      </c>
      <c r="CO96" s="202">
        <v>4</v>
      </c>
      <c r="CP96" s="202" t="s">
        <v>434</v>
      </c>
      <c r="CQ96" s="202">
        <v>0</v>
      </c>
      <c r="CR96" s="205">
        <f t="shared" si="187"/>
        <v>0</v>
      </c>
      <c r="CS96" s="202">
        <v>150</v>
      </c>
      <c r="CT96" s="202">
        <v>0.05</v>
      </c>
      <c r="CU96" s="202">
        <v>4</v>
      </c>
      <c r="CV96" s="202" t="s">
        <v>434</v>
      </c>
      <c r="CW96" s="202">
        <v>0</v>
      </c>
      <c r="CX96" s="205">
        <f t="shared" si="191"/>
        <v>0</v>
      </c>
      <c r="CY96" s="202">
        <v>200</v>
      </c>
      <c r="CZ96" s="202">
        <v>9.0999999999999998E-2</v>
      </c>
      <c r="DA96" s="202">
        <v>4</v>
      </c>
      <c r="DB96" s="202" t="s">
        <v>434</v>
      </c>
      <c r="DC96" s="202">
        <v>0</v>
      </c>
      <c r="DD96" s="205">
        <f t="shared" si="188"/>
        <v>0</v>
      </c>
      <c r="DE96" s="202">
        <v>150</v>
      </c>
      <c r="DF96" s="202">
        <v>0.05</v>
      </c>
      <c r="DG96" s="202">
        <v>4</v>
      </c>
      <c r="DH96" s="202" t="s">
        <v>434</v>
      </c>
      <c r="DI96" s="202">
        <v>0</v>
      </c>
      <c r="DJ96" s="205">
        <f t="shared" si="189"/>
        <v>0</v>
      </c>
      <c r="DK96" s="202">
        <v>150</v>
      </c>
      <c r="DL96" s="202">
        <v>0.05</v>
      </c>
      <c r="DM96" s="202">
        <v>4</v>
      </c>
      <c r="DN96" s="202" t="s">
        <v>434</v>
      </c>
      <c r="DO96" s="202">
        <v>0</v>
      </c>
      <c r="DP96" s="205">
        <f t="shared" si="190"/>
        <v>0</v>
      </c>
      <c r="DQ96" s="202">
        <v>150</v>
      </c>
      <c r="DR96" s="202">
        <v>0.05</v>
      </c>
      <c r="DS96" s="202">
        <v>4</v>
      </c>
      <c r="DT96" s="202" t="s">
        <v>434</v>
      </c>
    </row>
    <row r="97" spans="2:124" x14ac:dyDescent="0.35">
      <c r="B97" s="201" t="s">
        <v>460</v>
      </c>
      <c r="C97" s="201"/>
      <c r="D97" s="201"/>
      <c r="E97" s="202">
        <v>0</v>
      </c>
      <c r="F97" s="205">
        <f t="shared" si="134"/>
        <v>0</v>
      </c>
      <c r="G97" s="202">
        <v>100</v>
      </c>
      <c r="H97" s="202">
        <v>0</v>
      </c>
      <c r="I97" s="202">
        <v>0</v>
      </c>
      <c r="J97" s="202" t="s">
        <v>434</v>
      </c>
      <c r="K97" s="202">
        <v>0</v>
      </c>
      <c r="L97" s="205">
        <f t="shared" si="173"/>
        <v>0</v>
      </c>
      <c r="M97" s="202">
        <v>100</v>
      </c>
      <c r="N97" s="202">
        <v>0</v>
      </c>
      <c r="O97" s="202">
        <v>0</v>
      </c>
      <c r="P97" s="202" t="s">
        <v>434</v>
      </c>
      <c r="Q97" s="202">
        <v>0</v>
      </c>
      <c r="R97" s="205">
        <f t="shared" si="174"/>
        <v>0</v>
      </c>
      <c r="S97" s="202">
        <v>100</v>
      </c>
      <c r="T97" s="202">
        <v>0</v>
      </c>
      <c r="U97" s="202">
        <v>0</v>
      </c>
      <c r="V97" s="202" t="s">
        <v>434</v>
      </c>
      <c r="W97" s="202">
        <v>0</v>
      </c>
      <c r="X97" s="205">
        <f t="shared" si="175"/>
        <v>0</v>
      </c>
      <c r="Y97" s="202">
        <v>100</v>
      </c>
      <c r="Z97" s="202">
        <v>0</v>
      </c>
      <c r="AA97" s="202">
        <v>0</v>
      </c>
      <c r="AB97" s="202" t="s">
        <v>434</v>
      </c>
      <c r="AC97" s="202">
        <v>0</v>
      </c>
      <c r="AD97" s="205">
        <f t="shared" si="176"/>
        <v>0</v>
      </c>
      <c r="AE97" s="202">
        <v>100</v>
      </c>
      <c r="AF97" s="202">
        <v>0</v>
      </c>
      <c r="AG97" s="202">
        <v>0</v>
      </c>
      <c r="AH97" s="202" t="s">
        <v>434</v>
      </c>
      <c r="AI97" s="202">
        <v>0</v>
      </c>
      <c r="AJ97" s="205">
        <f t="shared" si="177"/>
        <v>0</v>
      </c>
      <c r="AK97" s="202">
        <v>100</v>
      </c>
      <c r="AL97" s="202">
        <v>0</v>
      </c>
      <c r="AM97" s="202">
        <v>0</v>
      </c>
      <c r="AN97" s="202" t="s">
        <v>434</v>
      </c>
      <c r="AO97" s="202">
        <v>0</v>
      </c>
      <c r="AP97" s="205">
        <f t="shared" si="178"/>
        <v>0</v>
      </c>
      <c r="AQ97" s="202">
        <v>100</v>
      </c>
      <c r="AR97" s="202">
        <v>0</v>
      </c>
      <c r="AS97" s="202">
        <v>0</v>
      </c>
      <c r="AT97" s="202" t="s">
        <v>434</v>
      </c>
      <c r="AU97" s="202">
        <v>0</v>
      </c>
      <c r="AV97" s="205">
        <f t="shared" si="179"/>
        <v>0</v>
      </c>
      <c r="AW97" s="202">
        <v>100</v>
      </c>
      <c r="AX97" s="202">
        <v>0</v>
      </c>
      <c r="AY97" s="202">
        <v>0</v>
      </c>
      <c r="AZ97" s="202" t="s">
        <v>434</v>
      </c>
      <c r="BA97" s="202">
        <v>0</v>
      </c>
      <c r="BB97" s="205">
        <f t="shared" si="180"/>
        <v>0</v>
      </c>
      <c r="BC97" s="202">
        <v>100</v>
      </c>
      <c r="BD97" s="202">
        <v>0</v>
      </c>
      <c r="BE97" s="202">
        <v>0</v>
      </c>
      <c r="BF97" s="202" t="s">
        <v>434</v>
      </c>
      <c r="BG97" s="202">
        <v>0</v>
      </c>
      <c r="BH97" s="205">
        <f t="shared" si="181"/>
        <v>0</v>
      </c>
      <c r="BI97" s="202">
        <v>100</v>
      </c>
      <c r="BJ97" s="202">
        <v>0</v>
      </c>
      <c r="BK97" s="202">
        <v>0</v>
      </c>
      <c r="BL97" s="202" t="s">
        <v>434</v>
      </c>
      <c r="BM97" s="202">
        <v>0</v>
      </c>
      <c r="BN97" s="205">
        <f t="shared" si="182"/>
        <v>0</v>
      </c>
      <c r="BO97" s="202">
        <v>100</v>
      </c>
      <c r="BP97" s="202">
        <v>0</v>
      </c>
      <c r="BQ97" s="202">
        <v>0</v>
      </c>
      <c r="BR97" s="202" t="s">
        <v>434</v>
      </c>
      <c r="BS97" s="202">
        <v>0</v>
      </c>
      <c r="BT97" s="205">
        <f t="shared" si="183"/>
        <v>0</v>
      </c>
      <c r="BU97" s="202">
        <v>100</v>
      </c>
      <c r="BV97" s="202">
        <v>0</v>
      </c>
      <c r="BW97" s="202">
        <v>0</v>
      </c>
      <c r="BX97" s="202" t="s">
        <v>434</v>
      </c>
      <c r="BY97" s="202">
        <v>0</v>
      </c>
      <c r="BZ97" s="205">
        <f t="shared" si="184"/>
        <v>0</v>
      </c>
      <c r="CA97" s="202">
        <v>100</v>
      </c>
      <c r="CB97" s="202">
        <v>0</v>
      </c>
      <c r="CC97" s="202">
        <v>0</v>
      </c>
      <c r="CD97" s="202" t="s">
        <v>434</v>
      </c>
      <c r="CE97" s="202">
        <v>0</v>
      </c>
      <c r="CF97" s="205">
        <f t="shared" si="185"/>
        <v>0</v>
      </c>
      <c r="CG97" s="202">
        <v>100</v>
      </c>
      <c r="CH97" s="202">
        <v>0</v>
      </c>
      <c r="CI97" s="202">
        <v>0</v>
      </c>
      <c r="CJ97" s="202" t="s">
        <v>434</v>
      </c>
      <c r="CK97" s="202">
        <v>0</v>
      </c>
      <c r="CL97" s="205">
        <f t="shared" si="186"/>
        <v>0</v>
      </c>
      <c r="CM97" s="202">
        <v>100</v>
      </c>
      <c r="CN97" s="202">
        <v>0</v>
      </c>
      <c r="CO97" s="202">
        <v>0</v>
      </c>
      <c r="CP97" s="202" t="s">
        <v>434</v>
      </c>
      <c r="CQ97" s="202">
        <v>0</v>
      </c>
      <c r="CR97" s="205">
        <f t="shared" si="187"/>
        <v>0</v>
      </c>
      <c r="CS97" s="202">
        <v>100</v>
      </c>
      <c r="CT97" s="202">
        <v>0</v>
      </c>
      <c r="CU97" s="202">
        <v>0</v>
      </c>
      <c r="CV97" s="202" t="s">
        <v>434</v>
      </c>
      <c r="CW97" s="202">
        <v>0</v>
      </c>
      <c r="CX97" s="205">
        <f t="shared" si="191"/>
        <v>0</v>
      </c>
      <c r="CY97" s="202">
        <v>150</v>
      </c>
      <c r="CZ97" s="202">
        <v>0.05</v>
      </c>
      <c r="DA97" s="202">
        <v>4</v>
      </c>
      <c r="DB97" s="202" t="s">
        <v>434</v>
      </c>
      <c r="DC97" s="202">
        <v>0</v>
      </c>
      <c r="DD97" s="205">
        <f t="shared" si="188"/>
        <v>0</v>
      </c>
      <c r="DE97" s="202">
        <v>100</v>
      </c>
      <c r="DF97" s="202">
        <v>0</v>
      </c>
      <c r="DG97" s="202">
        <v>0</v>
      </c>
      <c r="DH97" s="202" t="s">
        <v>434</v>
      </c>
      <c r="DI97" s="202">
        <v>0</v>
      </c>
      <c r="DJ97" s="205">
        <f t="shared" si="189"/>
        <v>0</v>
      </c>
      <c r="DK97" s="202">
        <v>100</v>
      </c>
      <c r="DL97" s="202">
        <v>0</v>
      </c>
      <c r="DM97" s="202">
        <v>0</v>
      </c>
      <c r="DN97" s="202" t="s">
        <v>434</v>
      </c>
      <c r="DO97" s="202">
        <v>0</v>
      </c>
      <c r="DP97" s="205">
        <f t="shared" si="190"/>
        <v>0</v>
      </c>
      <c r="DQ97" s="202">
        <v>100</v>
      </c>
      <c r="DR97" s="202">
        <v>0</v>
      </c>
      <c r="DS97" s="202">
        <v>0</v>
      </c>
      <c r="DT97" s="202" t="s">
        <v>434</v>
      </c>
    </row>
    <row r="98" spans="2:124" x14ac:dyDescent="0.35">
      <c r="B98" s="203" t="s">
        <v>461</v>
      </c>
      <c r="C98" s="203"/>
      <c r="D98" s="203"/>
      <c r="E98" s="204"/>
      <c r="F98" s="203"/>
      <c r="G98" s="203"/>
      <c r="H98" s="203"/>
      <c r="I98" s="203"/>
      <c r="J98" s="203"/>
      <c r="K98" s="204"/>
      <c r="L98" s="203"/>
      <c r="M98" s="203"/>
      <c r="N98" s="203"/>
      <c r="O98" s="203"/>
      <c r="P98" s="203"/>
      <c r="Q98" s="204"/>
      <c r="R98" s="203"/>
      <c r="S98" s="203"/>
      <c r="T98" s="203"/>
      <c r="U98" s="203"/>
      <c r="V98" s="203"/>
      <c r="W98" s="204"/>
      <c r="X98" s="203"/>
      <c r="Y98" s="203"/>
      <c r="Z98" s="203"/>
      <c r="AA98" s="203"/>
      <c r="AB98" s="203"/>
      <c r="AC98" s="204"/>
      <c r="AD98" s="203"/>
      <c r="AE98" s="203"/>
      <c r="AF98" s="203"/>
      <c r="AG98" s="203"/>
      <c r="AH98" s="203"/>
      <c r="AI98" s="204"/>
      <c r="AJ98" s="203"/>
      <c r="AK98" s="203"/>
      <c r="AL98" s="203"/>
      <c r="AM98" s="203"/>
      <c r="AN98" s="203"/>
      <c r="AO98" s="204"/>
      <c r="AP98" s="203"/>
      <c r="AQ98" s="203"/>
      <c r="AR98" s="203"/>
      <c r="AS98" s="203"/>
      <c r="AT98" s="203"/>
      <c r="AU98" s="204"/>
      <c r="AV98" s="203"/>
      <c r="AW98" s="203"/>
      <c r="AX98" s="203"/>
      <c r="AY98" s="203"/>
      <c r="AZ98" s="203"/>
      <c r="BA98" s="204"/>
      <c r="BB98" s="203"/>
      <c r="BC98" s="203"/>
      <c r="BD98" s="203"/>
      <c r="BE98" s="203"/>
      <c r="BF98" s="203"/>
      <c r="BG98" s="204"/>
      <c r="BH98" s="203"/>
      <c r="BI98" s="203"/>
      <c r="BJ98" s="203"/>
      <c r="BK98" s="203"/>
      <c r="BL98" s="203"/>
      <c r="BM98" s="204"/>
      <c r="BN98" s="203"/>
      <c r="BO98" s="203"/>
      <c r="BP98" s="203"/>
      <c r="BQ98" s="203"/>
      <c r="BR98" s="203"/>
      <c r="BS98" s="204"/>
      <c r="BT98" s="203"/>
      <c r="BU98" s="203"/>
      <c r="BV98" s="203"/>
      <c r="BW98" s="203"/>
      <c r="BX98" s="203"/>
      <c r="BY98" s="204"/>
      <c r="BZ98" s="203"/>
      <c r="CA98" s="203"/>
      <c r="CB98" s="203"/>
      <c r="CC98" s="203"/>
      <c r="CD98" s="203"/>
      <c r="CE98" s="204"/>
      <c r="CF98" s="203"/>
      <c r="CG98" s="203"/>
      <c r="CH98" s="203"/>
      <c r="CI98" s="203"/>
      <c r="CJ98" s="203"/>
      <c r="CK98" s="204"/>
      <c r="CL98" s="203"/>
      <c r="CM98" s="203"/>
      <c r="CN98" s="203"/>
      <c r="CO98" s="203"/>
      <c r="CP98" s="203"/>
      <c r="CQ98" s="204"/>
      <c r="CR98" s="203"/>
      <c r="CS98" s="203"/>
      <c r="CT98" s="203"/>
      <c r="CU98" s="203"/>
      <c r="CV98" s="203"/>
      <c r="CW98" s="202">
        <v>0</v>
      </c>
      <c r="CX98" s="205">
        <f t="shared" si="191"/>
        <v>0</v>
      </c>
      <c r="CY98" s="202">
        <v>100</v>
      </c>
      <c r="CZ98" s="202">
        <v>0</v>
      </c>
      <c r="DA98" s="202">
        <v>0</v>
      </c>
      <c r="DB98" s="202" t="s">
        <v>434</v>
      </c>
      <c r="DC98" s="204"/>
      <c r="DD98" s="203"/>
      <c r="DE98" s="203"/>
      <c r="DF98" s="203"/>
      <c r="DG98" s="203"/>
      <c r="DH98" s="203"/>
      <c r="DI98" s="204"/>
      <c r="DJ98" s="203"/>
      <c r="DK98" s="203"/>
      <c r="DL98" s="203"/>
      <c r="DM98" s="203"/>
      <c r="DN98" s="203"/>
      <c r="DO98" s="204"/>
      <c r="DP98" s="203"/>
      <c r="DQ98" s="203"/>
      <c r="DR98" s="203"/>
      <c r="DS98" s="203"/>
      <c r="DT98" s="203"/>
    </row>
    <row r="99" spans="2:124" x14ac:dyDescent="0.35">
      <c r="B99" s="201" t="s">
        <v>462</v>
      </c>
      <c r="C99" s="13"/>
      <c r="D99" s="13"/>
      <c r="E99" s="202">
        <v>0</v>
      </c>
      <c r="F99" s="205">
        <f t="shared" si="134"/>
        <v>0</v>
      </c>
      <c r="G99" s="202">
        <v>950</v>
      </c>
      <c r="H99" s="202">
        <v>0.25</v>
      </c>
      <c r="I99" s="202">
        <v>4</v>
      </c>
      <c r="J99" s="202" t="s">
        <v>434</v>
      </c>
      <c r="K99" s="202">
        <v>1</v>
      </c>
      <c r="L99" s="205">
        <f t="shared" ref="L99:L107" si="192">IF(ISNUMBER(K99),K99*(M99/K$41+N99*(1+O99/K$28^0.3)),0)</f>
        <v>0.83512140691850634</v>
      </c>
      <c r="M99" s="202">
        <v>950</v>
      </c>
      <c r="N99" s="202">
        <v>0.25</v>
      </c>
      <c r="O99" s="202">
        <v>4</v>
      </c>
      <c r="P99" s="202" t="s">
        <v>434</v>
      </c>
      <c r="Q99" s="202">
        <v>1</v>
      </c>
      <c r="R99" s="205">
        <f t="shared" ref="R99:R107" si="193">IF(ISNUMBER(Q99),Q99*(S99/Q$41+T99*(1+U99/Q$28^0.3)),0)</f>
        <v>0.83512140691850634</v>
      </c>
      <c r="S99" s="202">
        <v>950</v>
      </c>
      <c r="T99" s="202">
        <v>0.25</v>
      </c>
      <c r="U99" s="202">
        <v>4</v>
      </c>
      <c r="V99" s="202" t="s">
        <v>434</v>
      </c>
      <c r="W99" s="202">
        <v>1</v>
      </c>
      <c r="X99" s="205">
        <f t="shared" ref="X99:X107" si="194">IF(ISNUMBER(W99),W99*(Y99/W$41+Z99*(1+AA99/W$28^0.3)),0)</f>
        <v>0.8346981110387679</v>
      </c>
      <c r="Y99" s="202">
        <v>950</v>
      </c>
      <c r="Z99" s="202">
        <v>0.25</v>
      </c>
      <c r="AA99" s="202">
        <v>4</v>
      </c>
      <c r="AB99" s="202" t="s">
        <v>434</v>
      </c>
      <c r="AC99" s="202">
        <v>1</v>
      </c>
      <c r="AD99" s="205">
        <f t="shared" ref="AD99:AD107" si="195">IF(ISNUMBER(AC99),AC99*(AE99/AC$41+AF99*(1+AG99/AC$28^0.3)),0)</f>
        <v>0.91009079183539243</v>
      </c>
      <c r="AE99" s="202">
        <v>950</v>
      </c>
      <c r="AF99" s="202">
        <v>0.25</v>
      </c>
      <c r="AG99" s="202">
        <v>4</v>
      </c>
      <c r="AH99" s="202" t="s">
        <v>434</v>
      </c>
      <c r="AI99" s="202">
        <v>1</v>
      </c>
      <c r="AJ99" s="205">
        <f t="shared" ref="AJ99:AJ107" si="196">IF(ISNUMBER(AI99),AI99*(AK99/AI$41+AL99*(1+AM99/AI$28^0.3)),0)</f>
        <v>0.91009079183539243</v>
      </c>
      <c r="AK99" s="202">
        <v>950</v>
      </c>
      <c r="AL99" s="202">
        <v>0.25</v>
      </c>
      <c r="AM99" s="202">
        <v>4</v>
      </c>
      <c r="AN99" s="202" t="s">
        <v>434</v>
      </c>
      <c r="AO99" s="202">
        <v>1</v>
      </c>
      <c r="AP99" s="205">
        <f t="shared" ref="AP99:AP107" si="197">IF(ISNUMBER(AO99),AO99*(AQ99/AO$41+AR99*(1+AS99/AO$28^0.3)),0)</f>
        <v>0.91009079183539243</v>
      </c>
      <c r="AQ99" s="202">
        <v>950</v>
      </c>
      <c r="AR99" s="202">
        <v>0.25</v>
      </c>
      <c r="AS99" s="202">
        <v>4</v>
      </c>
      <c r="AT99" s="202" t="s">
        <v>434</v>
      </c>
      <c r="AU99" s="202">
        <v>1</v>
      </c>
      <c r="AV99" s="205">
        <f t="shared" ref="AV99:AV107" si="198">IF(ISNUMBER(AU99),AU99*(AW99/AU$41+AX99*(1+AY99/AU$28^0.3)),0)</f>
        <v>0.91009088910419389</v>
      </c>
      <c r="AW99" s="202">
        <v>950</v>
      </c>
      <c r="AX99" s="202">
        <v>0.25</v>
      </c>
      <c r="AY99" s="202">
        <v>4</v>
      </c>
      <c r="AZ99" s="202" t="s">
        <v>434</v>
      </c>
      <c r="BA99" s="202">
        <v>1</v>
      </c>
      <c r="BB99" s="205">
        <f t="shared" ref="BB99:BB107" si="199">IF(ISNUMBER(BA99),BA99*(BC99/BA$41+BD99*(1+BE99/BA$28^0.3)),0)</f>
        <v>0.91009088910419389</v>
      </c>
      <c r="BC99" s="202">
        <v>950</v>
      </c>
      <c r="BD99" s="202">
        <v>0.25</v>
      </c>
      <c r="BE99" s="202">
        <v>4</v>
      </c>
      <c r="BF99" s="202" t="s">
        <v>434</v>
      </c>
      <c r="BG99" s="202">
        <v>1</v>
      </c>
      <c r="BH99" s="205">
        <f t="shared" ref="BH99:BH107" si="200">IF(ISNUMBER(BG99),BG99*(BI99/BG$41+BJ99*(1+BK99/BG$28^0.3)),0)</f>
        <v>0.91009088910419389</v>
      </c>
      <c r="BI99" s="202">
        <v>950</v>
      </c>
      <c r="BJ99" s="202">
        <v>0.25</v>
      </c>
      <c r="BK99" s="202">
        <v>4</v>
      </c>
      <c r="BL99" s="202" t="s">
        <v>434</v>
      </c>
      <c r="BM99" s="202">
        <v>1</v>
      </c>
      <c r="BN99" s="205">
        <f t="shared" ref="BN99:BN107" si="201">IF(ISNUMBER(BM99),BM99*(BO99/BM$41+BP99*(1+BQ99/BM$28^0.3)),0)</f>
        <v>0.78782004603271616</v>
      </c>
      <c r="BO99" s="202">
        <v>950</v>
      </c>
      <c r="BP99" s="202">
        <v>0.25</v>
      </c>
      <c r="BQ99" s="202">
        <v>4</v>
      </c>
      <c r="BR99" s="202" t="s">
        <v>434</v>
      </c>
      <c r="BS99" s="202">
        <v>1</v>
      </c>
      <c r="BT99" s="205">
        <f t="shared" ref="BT99:BT107" si="202">IF(ISNUMBER(BS99),BS99*(BU99/BS$41+BV99*(1+BW99/BS$28^0.3)),0)</f>
        <v>0.78735491482487119</v>
      </c>
      <c r="BU99" s="202">
        <v>950</v>
      </c>
      <c r="BV99" s="202">
        <v>0.25</v>
      </c>
      <c r="BW99" s="202">
        <v>4</v>
      </c>
      <c r="BX99" s="202" t="s">
        <v>434</v>
      </c>
      <c r="BY99" s="202">
        <v>1</v>
      </c>
      <c r="BZ99" s="205">
        <f t="shared" ref="BZ99:BZ107" si="203">IF(ISNUMBER(BY99),BY99*(CA99/BY$41+CB99*(1+CC99/BY$28^0.3)),0)</f>
        <v>0.9104945777394573</v>
      </c>
      <c r="CA99" s="202">
        <v>950</v>
      </c>
      <c r="CB99" s="202">
        <v>0.25</v>
      </c>
      <c r="CC99" s="202">
        <v>4</v>
      </c>
      <c r="CD99" s="202" t="s">
        <v>434</v>
      </c>
      <c r="CE99" s="202">
        <v>1</v>
      </c>
      <c r="CF99" s="205">
        <f t="shared" ref="CF99:CF107" si="204">IF(ISNUMBER(CE99),CE99*(CG99/CE$41+CH99*(1+CI99/CE$28^0.3)),0)</f>
        <v>0.9104945777394573</v>
      </c>
      <c r="CG99" s="202">
        <v>950</v>
      </c>
      <c r="CH99" s="202">
        <v>0.25</v>
      </c>
      <c r="CI99" s="202">
        <v>4</v>
      </c>
      <c r="CJ99" s="202" t="s">
        <v>434</v>
      </c>
      <c r="CK99" s="202">
        <v>1</v>
      </c>
      <c r="CL99" s="205">
        <f t="shared" ref="CL99:CL107" si="205">IF(ISNUMBER(CK99),CK99*(CM99/CK$41+CN99*(1+CO99/CK$28^0.3)),0)</f>
        <v>0.97043911505665459</v>
      </c>
      <c r="CM99" s="202">
        <v>950</v>
      </c>
      <c r="CN99" s="202">
        <v>0.25</v>
      </c>
      <c r="CO99" s="202">
        <v>4</v>
      </c>
      <c r="CP99" s="202" t="s">
        <v>434</v>
      </c>
      <c r="CQ99" s="202">
        <v>1</v>
      </c>
      <c r="CR99" s="205">
        <f t="shared" ref="CR99:CR107" si="206">IF(ISNUMBER(CQ99),CQ99*(CS99/CQ$41+CT99*(1+CU99/CQ$28^0.3)),0)</f>
        <v>0.97043911505665459</v>
      </c>
      <c r="CS99" s="202">
        <v>950</v>
      </c>
      <c r="CT99" s="202">
        <v>0.25</v>
      </c>
      <c r="CU99" s="202">
        <v>4</v>
      </c>
      <c r="CV99" s="202" t="s">
        <v>434</v>
      </c>
      <c r="CW99" s="204"/>
      <c r="CX99" s="203"/>
      <c r="CY99" s="203"/>
      <c r="CZ99" s="203"/>
      <c r="DA99" s="203"/>
      <c r="DB99" s="203"/>
      <c r="DC99" s="202">
        <v>1</v>
      </c>
      <c r="DD99" s="205">
        <f t="shared" ref="DD99:DD107" si="207">IF(ISNUMBER(DC99),DC99*(DE99/DC$41+DF99*(1+DG99/DC$28^0.3)),0)</f>
        <v>0.97043911505665459</v>
      </c>
      <c r="DE99" s="202">
        <v>950</v>
      </c>
      <c r="DF99" s="202">
        <v>0.25</v>
      </c>
      <c r="DG99" s="202">
        <v>4</v>
      </c>
      <c r="DH99" s="202" t="s">
        <v>434</v>
      </c>
      <c r="DI99" s="202">
        <v>1</v>
      </c>
      <c r="DJ99" s="205">
        <f t="shared" ref="DJ99:DJ107" si="208">IF(ISNUMBER(DI99),DI99*(DK99/DI$41+DL99*(1+DM99/DI$28^0.3)),0)</f>
        <v>0.97043911505665459</v>
      </c>
      <c r="DK99" s="202">
        <v>950</v>
      </c>
      <c r="DL99" s="202">
        <v>0.25</v>
      </c>
      <c r="DM99" s="202">
        <v>4</v>
      </c>
      <c r="DN99" s="202" t="s">
        <v>434</v>
      </c>
      <c r="DO99" s="202">
        <v>1</v>
      </c>
      <c r="DP99" s="205">
        <f t="shared" ref="DP99:DP107" si="209">IF(ISNUMBER(DO99),DO99*(DQ99/DO$41+DR99*(1+DS99/DO$28^0.3)),0)</f>
        <v>4.7807852740754173</v>
      </c>
      <c r="DQ99" s="202">
        <v>950</v>
      </c>
      <c r="DR99" s="202">
        <v>0.25</v>
      </c>
      <c r="DS99" s="202">
        <v>4</v>
      </c>
      <c r="DT99" s="202" t="s">
        <v>434</v>
      </c>
    </row>
    <row r="100" spans="2:124" x14ac:dyDescent="0.35">
      <c r="B100" s="201" t="s">
        <v>463</v>
      </c>
      <c r="C100" s="13"/>
      <c r="D100" s="13"/>
      <c r="E100" s="202">
        <v>0</v>
      </c>
      <c r="F100" s="205">
        <f t="shared" si="134"/>
        <v>0</v>
      </c>
      <c r="G100" s="202">
        <v>1000</v>
      </c>
      <c r="H100" s="202">
        <v>0.69</v>
      </c>
      <c r="I100" s="202">
        <v>4</v>
      </c>
      <c r="J100" s="202" t="s">
        <v>434</v>
      </c>
      <c r="K100" s="202">
        <v>0</v>
      </c>
      <c r="L100" s="205">
        <f t="shared" si="192"/>
        <v>0</v>
      </c>
      <c r="M100" s="202">
        <v>1000</v>
      </c>
      <c r="N100" s="202">
        <v>0.69</v>
      </c>
      <c r="O100" s="202">
        <v>4</v>
      </c>
      <c r="P100" s="202" t="s">
        <v>434</v>
      </c>
      <c r="Q100" s="202">
        <v>0</v>
      </c>
      <c r="R100" s="205">
        <f t="shared" si="193"/>
        <v>0</v>
      </c>
      <c r="S100" s="202">
        <v>1000</v>
      </c>
      <c r="T100" s="202">
        <v>0.69</v>
      </c>
      <c r="U100" s="202">
        <v>4</v>
      </c>
      <c r="V100" s="202" t="s">
        <v>434</v>
      </c>
      <c r="W100" s="202">
        <v>0</v>
      </c>
      <c r="X100" s="205">
        <f t="shared" si="194"/>
        <v>0</v>
      </c>
      <c r="Y100" s="202">
        <v>1000</v>
      </c>
      <c r="Z100" s="202">
        <v>0.69</v>
      </c>
      <c r="AA100" s="202">
        <v>4</v>
      </c>
      <c r="AB100" s="202" t="s">
        <v>434</v>
      </c>
      <c r="AC100" s="202">
        <v>0</v>
      </c>
      <c r="AD100" s="205">
        <f t="shared" si="195"/>
        <v>0</v>
      </c>
      <c r="AE100" s="202">
        <v>1000</v>
      </c>
      <c r="AF100" s="202">
        <v>0.69</v>
      </c>
      <c r="AG100" s="202">
        <v>4</v>
      </c>
      <c r="AH100" s="202" t="s">
        <v>434</v>
      </c>
      <c r="AI100" s="202">
        <v>0</v>
      </c>
      <c r="AJ100" s="205">
        <f t="shared" si="196"/>
        <v>0</v>
      </c>
      <c r="AK100" s="202">
        <v>1000</v>
      </c>
      <c r="AL100" s="202">
        <v>0.69</v>
      </c>
      <c r="AM100" s="202">
        <v>4</v>
      </c>
      <c r="AN100" s="202" t="s">
        <v>434</v>
      </c>
      <c r="AO100" s="202">
        <v>0</v>
      </c>
      <c r="AP100" s="205">
        <f t="shared" si="197"/>
        <v>0</v>
      </c>
      <c r="AQ100" s="202">
        <v>1000</v>
      </c>
      <c r="AR100" s="202">
        <v>0.69</v>
      </c>
      <c r="AS100" s="202">
        <v>4</v>
      </c>
      <c r="AT100" s="202" t="s">
        <v>434</v>
      </c>
      <c r="AU100" s="202">
        <v>0</v>
      </c>
      <c r="AV100" s="205">
        <f t="shared" si="198"/>
        <v>0</v>
      </c>
      <c r="AW100" s="202">
        <v>1000</v>
      </c>
      <c r="AX100" s="202">
        <v>0.69</v>
      </c>
      <c r="AY100" s="202">
        <v>4</v>
      </c>
      <c r="AZ100" s="202" t="s">
        <v>434</v>
      </c>
      <c r="BA100" s="202">
        <v>0</v>
      </c>
      <c r="BB100" s="205">
        <f t="shared" si="199"/>
        <v>0</v>
      </c>
      <c r="BC100" s="202">
        <v>1000</v>
      </c>
      <c r="BD100" s="202">
        <v>0.69</v>
      </c>
      <c r="BE100" s="202">
        <v>4</v>
      </c>
      <c r="BF100" s="202" t="s">
        <v>434</v>
      </c>
      <c r="BG100" s="202">
        <v>0</v>
      </c>
      <c r="BH100" s="205">
        <f t="shared" si="200"/>
        <v>0</v>
      </c>
      <c r="BI100" s="202">
        <v>1000</v>
      </c>
      <c r="BJ100" s="202">
        <v>0.69</v>
      </c>
      <c r="BK100" s="202">
        <v>4</v>
      </c>
      <c r="BL100" s="202" t="s">
        <v>434</v>
      </c>
      <c r="BM100" s="202">
        <v>0</v>
      </c>
      <c r="BN100" s="205">
        <f t="shared" si="201"/>
        <v>0</v>
      </c>
      <c r="BO100" s="202">
        <v>1000</v>
      </c>
      <c r="BP100" s="202">
        <v>0.69</v>
      </c>
      <c r="BQ100" s="202">
        <v>4</v>
      </c>
      <c r="BR100" s="202" t="s">
        <v>434</v>
      </c>
      <c r="BS100" s="202">
        <v>0</v>
      </c>
      <c r="BT100" s="205">
        <f t="shared" si="202"/>
        <v>0</v>
      </c>
      <c r="BU100" s="202">
        <v>1000</v>
      </c>
      <c r="BV100" s="202">
        <v>0.69</v>
      </c>
      <c r="BW100" s="202">
        <v>4</v>
      </c>
      <c r="BX100" s="202" t="s">
        <v>434</v>
      </c>
      <c r="BY100" s="202">
        <v>0</v>
      </c>
      <c r="BZ100" s="205">
        <f t="shared" si="203"/>
        <v>0</v>
      </c>
      <c r="CA100" s="202">
        <v>1000</v>
      </c>
      <c r="CB100" s="202">
        <v>0.69</v>
      </c>
      <c r="CC100" s="202">
        <v>4</v>
      </c>
      <c r="CD100" s="202" t="s">
        <v>434</v>
      </c>
      <c r="CE100" s="202">
        <v>0</v>
      </c>
      <c r="CF100" s="205">
        <f t="shared" si="204"/>
        <v>0</v>
      </c>
      <c r="CG100" s="202">
        <v>1000</v>
      </c>
      <c r="CH100" s="202">
        <v>0.69</v>
      </c>
      <c r="CI100" s="202">
        <v>4</v>
      </c>
      <c r="CJ100" s="202" t="s">
        <v>434</v>
      </c>
      <c r="CK100" s="202">
        <v>0</v>
      </c>
      <c r="CL100" s="205">
        <f t="shared" si="205"/>
        <v>0</v>
      </c>
      <c r="CM100" s="202">
        <v>1000</v>
      </c>
      <c r="CN100" s="202">
        <v>0.69</v>
      </c>
      <c r="CO100" s="202">
        <v>4</v>
      </c>
      <c r="CP100" s="202" t="s">
        <v>434</v>
      </c>
      <c r="CQ100" s="202">
        <v>0</v>
      </c>
      <c r="CR100" s="205">
        <f t="shared" si="206"/>
        <v>0</v>
      </c>
      <c r="CS100" s="202">
        <v>1000</v>
      </c>
      <c r="CT100" s="202">
        <v>0.69</v>
      </c>
      <c r="CU100" s="202">
        <v>4</v>
      </c>
      <c r="CV100" s="202" t="s">
        <v>434</v>
      </c>
      <c r="CW100" s="202">
        <v>1</v>
      </c>
      <c r="CX100" s="205">
        <f t="shared" ref="CX100:CX108" si="210">IF(ISNUMBER(CW100),CW100*(CY100/CW$41+CZ100*(1+DA100/CW$28^0.3)),0)</f>
        <v>0.97043911505665459</v>
      </c>
      <c r="CY100" s="202">
        <v>950</v>
      </c>
      <c r="CZ100" s="202">
        <v>0.25</v>
      </c>
      <c r="DA100" s="202">
        <v>4</v>
      </c>
      <c r="DB100" s="202" t="s">
        <v>434</v>
      </c>
      <c r="DC100" s="202">
        <v>0</v>
      </c>
      <c r="DD100" s="205">
        <f t="shared" si="207"/>
        <v>0</v>
      </c>
      <c r="DE100" s="202">
        <v>1000</v>
      </c>
      <c r="DF100" s="202">
        <v>0.69</v>
      </c>
      <c r="DG100" s="202">
        <v>4</v>
      </c>
      <c r="DH100" s="202" t="s">
        <v>434</v>
      </c>
      <c r="DI100" s="202">
        <v>0</v>
      </c>
      <c r="DJ100" s="205">
        <f t="shared" si="208"/>
        <v>0</v>
      </c>
      <c r="DK100" s="202">
        <v>1000</v>
      </c>
      <c r="DL100" s="202">
        <v>0.69</v>
      </c>
      <c r="DM100" s="202">
        <v>4</v>
      </c>
      <c r="DN100" s="202" t="s">
        <v>434</v>
      </c>
      <c r="DO100" s="202">
        <v>0</v>
      </c>
      <c r="DP100" s="205">
        <f t="shared" si="209"/>
        <v>0</v>
      </c>
      <c r="DQ100" s="202">
        <v>1000</v>
      </c>
      <c r="DR100" s="202">
        <v>0.69</v>
      </c>
      <c r="DS100" s="202">
        <v>4</v>
      </c>
      <c r="DT100" s="202" t="s">
        <v>434</v>
      </c>
    </row>
    <row r="101" spans="2:124" x14ac:dyDescent="0.35">
      <c r="B101" s="201" t="s">
        <v>464</v>
      </c>
      <c r="C101" s="13"/>
      <c r="D101" s="13"/>
      <c r="E101" s="202">
        <v>0</v>
      </c>
      <c r="F101" s="205">
        <f t="shared" si="134"/>
        <v>0</v>
      </c>
      <c r="G101" s="202">
        <v>1500</v>
      </c>
      <c r="H101" s="202">
        <v>1.7</v>
      </c>
      <c r="I101" s="202">
        <v>3.6</v>
      </c>
      <c r="J101" s="202" t="s">
        <v>434</v>
      </c>
      <c r="K101" s="202">
        <v>0</v>
      </c>
      <c r="L101" s="205">
        <f t="shared" si="192"/>
        <v>0</v>
      </c>
      <c r="M101" s="202">
        <v>1500</v>
      </c>
      <c r="N101" s="202">
        <v>1.7</v>
      </c>
      <c r="O101" s="202">
        <v>3.6</v>
      </c>
      <c r="P101" s="202" t="s">
        <v>434</v>
      </c>
      <c r="Q101" s="202">
        <v>0</v>
      </c>
      <c r="R101" s="205">
        <f t="shared" si="193"/>
        <v>0</v>
      </c>
      <c r="S101" s="202">
        <v>1500</v>
      </c>
      <c r="T101" s="202">
        <v>1.7</v>
      </c>
      <c r="U101" s="202">
        <v>3.6</v>
      </c>
      <c r="V101" s="202" t="s">
        <v>434</v>
      </c>
      <c r="W101" s="202">
        <v>0</v>
      </c>
      <c r="X101" s="205">
        <f t="shared" si="194"/>
        <v>0</v>
      </c>
      <c r="Y101" s="202">
        <v>1500</v>
      </c>
      <c r="Z101" s="202">
        <v>1.7</v>
      </c>
      <c r="AA101" s="202">
        <v>3.6</v>
      </c>
      <c r="AB101" s="202" t="s">
        <v>434</v>
      </c>
      <c r="AC101" s="202">
        <v>0</v>
      </c>
      <c r="AD101" s="205">
        <f t="shared" si="195"/>
        <v>0</v>
      </c>
      <c r="AE101" s="202">
        <v>1500</v>
      </c>
      <c r="AF101" s="202">
        <v>1.7</v>
      </c>
      <c r="AG101" s="202">
        <v>3.6</v>
      </c>
      <c r="AH101" s="202" t="s">
        <v>434</v>
      </c>
      <c r="AI101" s="202">
        <v>0</v>
      </c>
      <c r="AJ101" s="205">
        <f t="shared" si="196"/>
        <v>0</v>
      </c>
      <c r="AK101" s="202">
        <v>1500</v>
      </c>
      <c r="AL101" s="202">
        <v>1.7</v>
      </c>
      <c r="AM101" s="202">
        <v>3.6</v>
      </c>
      <c r="AN101" s="202" t="s">
        <v>434</v>
      </c>
      <c r="AO101" s="202">
        <v>0</v>
      </c>
      <c r="AP101" s="205">
        <f t="shared" si="197"/>
        <v>0</v>
      </c>
      <c r="AQ101" s="202">
        <v>1500</v>
      </c>
      <c r="AR101" s="202">
        <v>1.7</v>
      </c>
      <c r="AS101" s="202">
        <v>3.6</v>
      </c>
      <c r="AT101" s="202" t="s">
        <v>434</v>
      </c>
      <c r="AU101" s="202">
        <v>0</v>
      </c>
      <c r="AV101" s="205">
        <f t="shared" si="198"/>
        <v>0</v>
      </c>
      <c r="AW101" s="202">
        <v>1500</v>
      </c>
      <c r="AX101" s="202">
        <v>1.7</v>
      </c>
      <c r="AY101" s="202">
        <v>3.6</v>
      </c>
      <c r="AZ101" s="202" t="s">
        <v>434</v>
      </c>
      <c r="BA101" s="202">
        <v>0</v>
      </c>
      <c r="BB101" s="205">
        <f t="shared" si="199"/>
        <v>0</v>
      </c>
      <c r="BC101" s="202">
        <v>1500</v>
      </c>
      <c r="BD101" s="202">
        <v>1.7</v>
      </c>
      <c r="BE101" s="202">
        <v>3.6</v>
      </c>
      <c r="BF101" s="202" t="s">
        <v>434</v>
      </c>
      <c r="BG101" s="202">
        <v>0</v>
      </c>
      <c r="BH101" s="205">
        <f t="shared" si="200"/>
        <v>0</v>
      </c>
      <c r="BI101" s="202">
        <v>1500</v>
      </c>
      <c r="BJ101" s="202">
        <v>1.7</v>
      </c>
      <c r="BK101" s="202">
        <v>3.6</v>
      </c>
      <c r="BL101" s="202" t="s">
        <v>434</v>
      </c>
      <c r="BM101" s="202">
        <v>0</v>
      </c>
      <c r="BN101" s="205">
        <f t="shared" si="201"/>
        <v>0</v>
      </c>
      <c r="BO101" s="202">
        <v>1500</v>
      </c>
      <c r="BP101" s="202">
        <v>1.7</v>
      </c>
      <c r="BQ101" s="202">
        <v>3.6</v>
      </c>
      <c r="BR101" s="202" t="s">
        <v>434</v>
      </c>
      <c r="BS101" s="202">
        <v>0</v>
      </c>
      <c r="BT101" s="205">
        <f t="shared" si="202"/>
        <v>0</v>
      </c>
      <c r="BU101" s="202">
        <v>1500</v>
      </c>
      <c r="BV101" s="202">
        <v>1.7</v>
      </c>
      <c r="BW101" s="202">
        <v>3.6</v>
      </c>
      <c r="BX101" s="202" t="s">
        <v>434</v>
      </c>
      <c r="BY101" s="202">
        <v>0</v>
      </c>
      <c r="BZ101" s="205">
        <f t="shared" si="203"/>
        <v>0</v>
      </c>
      <c r="CA101" s="202">
        <v>1500</v>
      </c>
      <c r="CB101" s="202">
        <v>1.7</v>
      </c>
      <c r="CC101" s="202">
        <v>3.6</v>
      </c>
      <c r="CD101" s="202" t="s">
        <v>434</v>
      </c>
      <c r="CE101" s="202">
        <v>0</v>
      </c>
      <c r="CF101" s="205">
        <f t="shared" si="204"/>
        <v>0</v>
      </c>
      <c r="CG101" s="202">
        <v>1500</v>
      </c>
      <c r="CH101" s="202">
        <v>1.7</v>
      </c>
      <c r="CI101" s="202">
        <v>3.6</v>
      </c>
      <c r="CJ101" s="202" t="s">
        <v>434</v>
      </c>
      <c r="CK101" s="202">
        <v>0</v>
      </c>
      <c r="CL101" s="205">
        <f t="shared" si="205"/>
        <v>0</v>
      </c>
      <c r="CM101" s="202">
        <v>1500</v>
      </c>
      <c r="CN101" s="202">
        <v>1.7</v>
      </c>
      <c r="CO101" s="202">
        <v>3.6</v>
      </c>
      <c r="CP101" s="202" t="s">
        <v>434</v>
      </c>
      <c r="CQ101" s="202">
        <v>0</v>
      </c>
      <c r="CR101" s="205">
        <f t="shared" si="206"/>
        <v>0</v>
      </c>
      <c r="CS101" s="202">
        <v>1500</v>
      </c>
      <c r="CT101" s="202">
        <v>1.7</v>
      </c>
      <c r="CU101" s="202">
        <v>3.6</v>
      </c>
      <c r="CV101" s="202" t="s">
        <v>434</v>
      </c>
      <c r="CW101" s="202">
        <v>0</v>
      </c>
      <c r="CX101" s="205">
        <f t="shared" si="210"/>
        <v>0</v>
      </c>
      <c r="CY101" s="202">
        <v>1000</v>
      </c>
      <c r="CZ101" s="202">
        <v>0.69</v>
      </c>
      <c r="DA101" s="202">
        <v>4</v>
      </c>
      <c r="DB101" s="202" t="s">
        <v>434</v>
      </c>
      <c r="DC101" s="202">
        <v>0</v>
      </c>
      <c r="DD101" s="205">
        <f t="shared" si="207"/>
        <v>0</v>
      </c>
      <c r="DE101" s="202">
        <v>1500</v>
      </c>
      <c r="DF101" s="202">
        <v>1.7</v>
      </c>
      <c r="DG101" s="202">
        <v>3.6</v>
      </c>
      <c r="DH101" s="202" t="s">
        <v>434</v>
      </c>
      <c r="DI101" s="202">
        <v>0</v>
      </c>
      <c r="DJ101" s="205">
        <f t="shared" si="208"/>
        <v>0</v>
      </c>
      <c r="DK101" s="202">
        <v>1500</v>
      </c>
      <c r="DL101" s="202">
        <v>1.7</v>
      </c>
      <c r="DM101" s="202">
        <v>3.6</v>
      </c>
      <c r="DN101" s="202" t="s">
        <v>434</v>
      </c>
      <c r="DO101" s="202">
        <v>0</v>
      </c>
      <c r="DP101" s="205">
        <f t="shared" si="209"/>
        <v>0</v>
      </c>
      <c r="DQ101" s="202">
        <v>1500</v>
      </c>
      <c r="DR101" s="202">
        <v>1.7</v>
      </c>
      <c r="DS101" s="202">
        <v>3.6</v>
      </c>
      <c r="DT101" s="202" t="s">
        <v>434</v>
      </c>
    </row>
    <row r="102" spans="2:124" x14ac:dyDescent="0.35">
      <c r="B102" s="201" t="s">
        <v>465</v>
      </c>
      <c r="C102" s="13"/>
      <c r="D102" s="13"/>
      <c r="E102" s="202">
        <v>0</v>
      </c>
      <c r="F102" s="205">
        <f t="shared" si="134"/>
        <v>0</v>
      </c>
      <c r="G102" s="202">
        <v>500</v>
      </c>
      <c r="H102" s="202">
        <v>0.41</v>
      </c>
      <c r="I102" s="202">
        <v>4</v>
      </c>
      <c r="J102" s="202" t="s">
        <v>434</v>
      </c>
      <c r="K102" s="202">
        <v>0</v>
      </c>
      <c r="L102" s="205">
        <f t="shared" si="192"/>
        <v>0</v>
      </c>
      <c r="M102" s="202">
        <v>500</v>
      </c>
      <c r="N102" s="202">
        <v>0.41</v>
      </c>
      <c r="O102" s="202">
        <v>4</v>
      </c>
      <c r="P102" s="202" t="s">
        <v>434</v>
      </c>
      <c r="Q102" s="202">
        <v>0</v>
      </c>
      <c r="R102" s="205">
        <f t="shared" si="193"/>
        <v>0</v>
      </c>
      <c r="S102" s="202">
        <v>500</v>
      </c>
      <c r="T102" s="202">
        <v>0.41</v>
      </c>
      <c r="U102" s="202">
        <v>4</v>
      </c>
      <c r="V102" s="202" t="s">
        <v>434</v>
      </c>
      <c r="W102" s="202">
        <v>0</v>
      </c>
      <c r="X102" s="205">
        <f t="shared" si="194"/>
        <v>0</v>
      </c>
      <c r="Y102" s="202">
        <v>500</v>
      </c>
      <c r="Z102" s="202">
        <v>0.41</v>
      </c>
      <c r="AA102" s="202">
        <v>4</v>
      </c>
      <c r="AB102" s="202" t="s">
        <v>434</v>
      </c>
      <c r="AC102" s="202">
        <v>0</v>
      </c>
      <c r="AD102" s="205">
        <f t="shared" si="195"/>
        <v>0</v>
      </c>
      <c r="AE102" s="202">
        <v>500</v>
      </c>
      <c r="AF102" s="202">
        <v>0.41</v>
      </c>
      <c r="AG102" s="202">
        <v>4</v>
      </c>
      <c r="AH102" s="202" t="s">
        <v>434</v>
      </c>
      <c r="AI102" s="202">
        <v>0</v>
      </c>
      <c r="AJ102" s="205">
        <f t="shared" si="196"/>
        <v>0</v>
      </c>
      <c r="AK102" s="202">
        <v>500</v>
      </c>
      <c r="AL102" s="202">
        <v>0.41</v>
      </c>
      <c r="AM102" s="202">
        <v>4</v>
      </c>
      <c r="AN102" s="202" t="s">
        <v>434</v>
      </c>
      <c r="AO102" s="202">
        <v>0</v>
      </c>
      <c r="AP102" s="205">
        <f t="shared" si="197"/>
        <v>0</v>
      </c>
      <c r="AQ102" s="202">
        <v>500</v>
      </c>
      <c r="AR102" s="202">
        <v>0.41</v>
      </c>
      <c r="AS102" s="202">
        <v>4</v>
      </c>
      <c r="AT102" s="202" t="s">
        <v>434</v>
      </c>
      <c r="AU102" s="202">
        <v>0</v>
      </c>
      <c r="AV102" s="205">
        <f t="shared" si="198"/>
        <v>0</v>
      </c>
      <c r="AW102" s="202">
        <v>500</v>
      </c>
      <c r="AX102" s="202">
        <v>0.41</v>
      </c>
      <c r="AY102" s="202">
        <v>4</v>
      </c>
      <c r="AZ102" s="202" t="s">
        <v>434</v>
      </c>
      <c r="BA102" s="202">
        <v>0</v>
      </c>
      <c r="BB102" s="205">
        <f t="shared" si="199"/>
        <v>0</v>
      </c>
      <c r="BC102" s="202">
        <v>500</v>
      </c>
      <c r="BD102" s="202">
        <v>0.41</v>
      </c>
      <c r="BE102" s="202">
        <v>4</v>
      </c>
      <c r="BF102" s="202" t="s">
        <v>434</v>
      </c>
      <c r="BG102" s="202">
        <v>0</v>
      </c>
      <c r="BH102" s="205">
        <f t="shared" si="200"/>
        <v>0</v>
      </c>
      <c r="BI102" s="202">
        <v>500</v>
      </c>
      <c r="BJ102" s="202">
        <v>0.41</v>
      </c>
      <c r="BK102" s="202">
        <v>4</v>
      </c>
      <c r="BL102" s="202" t="s">
        <v>434</v>
      </c>
      <c r="BM102" s="202">
        <v>0</v>
      </c>
      <c r="BN102" s="205">
        <f t="shared" si="201"/>
        <v>0</v>
      </c>
      <c r="BO102" s="202">
        <v>500</v>
      </c>
      <c r="BP102" s="202">
        <v>0.41</v>
      </c>
      <c r="BQ102" s="202">
        <v>4</v>
      </c>
      <c r="BR102" s="202" t="s">
        <v>434</v>
      </c>
      <c r="BS102" s="202">
        <v>0</v>
      </c>
      <c r="BT102" s="205">
        <f t="shared" si="202"/>
        <v>0</v>
      </c>
      <c r="BU102" s="202">
        <v>500</v>
      </c>
      <c r="BV102" s="202">
        <v>0.41</v>
      </c>
      <c r="BW102" s="202">
        <v>4</v>
      </c>
      <c r="BX102" s="202" t="s">
        <v>434</v>
      </c>
      <c r="BY102" s="202">
        <v>0</v>
      </c>
      <c r="BZ102" s="205">
        <f t="shared" si="203"/>
        <v>0</v>
      </c>
      <c r="CA102" s="202">
        <v>500</v>
      </c>
      <c r="CB102" s="202">
        <v>0.41</v>
      </c>
      <c r="CC102" s="202">
        <v>4</v>
      </c>
      <c r="CD102" s="202" t="s">
        <v>434</v>
      </c>
      <c r="CE102" s="202">
        <v>0</v>
      </c>
      <c r="CF102" s="205">
        <f t="shared" si="204"/>
        <v>0</v>
      </c>
      <c r="CG102" s="202">
        <v>500</v>
      </c>
      <c r="CH102" s="202">
        <v>0.41</v>
      </c>
      <c r="CI102" s="202">
        <v>4</v>
      </c>
      <c r="CJ102" s="202" t="s">
        <v>434</v>
      </c>
      <c r="CK102" s="202">
        <v>0</v>
      </c>
      <c r="CL102" s="205">
        <f t="shared" si="205"/>
        <v>0</v>
      </c>
      <c r="CM102" s="202">
        <v>500</v>
      </c>
      <c r="CN102" s="202">
        <v>0.41</v>
      </c>
      <c r="CO102" s="202">
        <v>4</v>
      </c>
      <c r="CP102" s="202" t="s">
        <v>434</v>
      </c>
      <c r="CQ102" s="202">
        <v>0</v>
      </c>
      <c r="CR102" s="205">
        <f t="shared" si="206"/>
        <v>0</v>
      </c>
      <c r="CS102" s="202">
        <v>500</v>
      </c>
      <c r="CT102" s="202">
        <v>0.41</v>
      </c>
      <c r="CU102" s="202">
        <v>4</v>
      </c>
      <c r="CV102" s="202" t="s">
        <v>434</v>
      </c>
      <c r="CW102" s="202">
        <v>0</v>
      </c>
      <c r="CX102" s="205">
        <f t="shared" si="210"/>
        <v>0</v>
      </c>
      <c r="CY102" s="202">
        <v>1500</v>
      </c>
      <c r="CZ102" s="202">
        <v>1.7</v>
      </c>
      <c r="DA102" s="202">
        <v>3.6</v>
      </c>
      <c r="DB102" s="202" t="s">
        <v>434</v>
      </c>
      <c r="DC102" s="202">
        <v>0</v>
      </c>
      <c r="DD102" s="205">
        <f t="shared" si="207"/>
        <v>0</v>
      </c>
      <c r="DE102" s="202">
        <v>500</v>
      </c>
      <c r="DF102" s="202">
        <v>0.41</v>
      </c>
      <c r="DG102" s="202">
        <v>4</v>
      </c>
      <c r="DH102" s="202" t="s">
        <v>434</v>
      </c>
      <c r="DI102" s="202">
        <v>0</v>
      </c>
      <c r="DJ102" s="205">
        <f t="shared" si="208"/>
        <v>0</v>
      </c>
      <c r="DK102" s="202">
        <v>500</v>
      </c>
      <c r="DL102" s="202">
        <v>0.41</v>
      </c>
      <c r="DM102" s="202">
        <v>4</v>
      </c>
      <c r="DN102" s="202" t="s">
        <v>434</v>
      </c>
      <c r="DO102" s="202">
        <v>0</v>
      </c>
      <c r="DP102" s="205">
        <f t="shared" si="209"/>
        <v>0</v>
      </c>
      <c r="DQ102" s="202">
        <v>500</v>
      </c>
      <c r="DR102" s="202">
        <v>0.41</v>
      </c>
      <c r="DS102" s="202">
        <v>4</v>
      </c>
      <c r="DT102" s="202" t="s">
        <v>434</v>
      </c>
    </row>
    <row r="103" spans="2:124" x14ac:dyDescent="0.35">
      <c r="B103" s="201" t="s">
        <v>466</v>
      </c>
      <c r="C103" s="13"/>
      <c r="D103" s="13"/>
      <c r="E103" s="202">
        <v>0</v>
      </c>
      <c r="F103" s="205">
        <f t="shared" si="134"/>
        <v>0</v>
      </c>
      <c r="G103" s="202">
        <v>300</v>
      </c>
      <c r="H103" s="202">
        <v>8.4000000000000005E-2</v>
      </c>
      <c r="I103" s="202">
        <v>3.9</v>
      </c>
      <c r="J103" s="202" t="s">
        <v>434</v>
      </c>
      <c r="K103" s="202">
        <v>0</v>
      </c>
      <c r="L103" s="205">
        <f t="shared" si="192"/>
        <v>0</v>
      </c>
      <c r="M103" s="202">
        <v>300</v>
      </c>
      <c r="N103" s="202">
        <v>8.4000000000000005E-2</v>
      </c>
      <c r="O103" s="202">
        <v>3.9</v>
      </c>
      <c r="P103" s="202" t="s">
        <v>434</v>
      </c>
      <c r="Q103" s="202">
        <v>0</v>
      </c>
      <c r="R103" s="205">
        <f t="shared" si="193"/>
        <v>0</v>
      </c>
      <c r="S103" s="202">
        <v>300</v>
      </c>
      <c r="T103" s="202">
        <v>8.4000000000000005E-2</v>
      </c>
      <c r="U103" s="202">
        <v>3.9</v>
      </c>
      <c r="V103" s="202" t="s">
        <v>434</v>
      </c>
      <c r="W103" s="202">
        <v>0</v>
      </c>
      <c r="X103" s="205">
        <f t="shared" si="194"/>
        <v>0</v>
      </c>
      <c r="Y103" s="202">
        <v>300</v>
      </c>
      <c r="Z103" s="202">
        <v>8.4000000000000005E-2</v>
      </c>
      <c r="AA103" s="202">
        <v>3.9</v>
      </c>
      <c r="AB103" s="202" t="s">
        <v>434</v>
      </c>
      <c r="AC103" s="202">
        <v>0</v>
      </c>
      <c r="AD103" s="205">
        <f t="shared" si="195"/>
        <v>0</v>
      </c>
      <c r="AE103" s="202">
        <v>300</v>
      </c>
      <c r="AF103" s="202">
        <v>8.4000000000000005E-2</v>
      </c>
      <c r="AG103" s="202">
        <v>3.9</v>
      </c>
      <c r="AH103" s="202" t="s">
        <v>434</v>
      </c>
      <c r="AI103" s="202">
        <v>0</v>
      </c>
      <c r="AJ103" s="205">
        <f t="shared" si="196"/>
        <v>0</v>
      </c>
      <c r="AK103" s="202">
        <v>300</v>
      </c>
      <c r="AL103" s="202">
        <v>8.4000000000000005E-2</v>
      </c>
      <c r="AM103" s="202">
        <v>3.9</v>
      </c>
      <c r="AN103" s="202" t="s">
        <v>434</v>
      </c>
      <c r="AO103" s="202">
        <v>0</v>
      </c>
      <c r="AP103" s="205">
        <f t="shared" si="197"/>
        <v>0</v>
      </c>
      <c r="AQ103" s="202">
        <v>300</v>
      </c>
      <c r="AR103" s="202">
        <v>8.4000000000000005E-2</v>
      </c>
      <c r="AS103" s="202">
        <v>3.9</v>
      </c>
      <c r="AT103" s="202" t="s">
        <v>434</v>
      </c>
      <c r="AU103" s="202">
        <v>0</v>
      </c>
      <c r="AV103" s="205">
        <f t="shared" si="198"/>
        <v>0</v>
      </c>
      <c r="AW103" s="202">
        <v>300</v>
      </c>
      <c r="AX103" s="202">
        <v>8.4000000000000005E-2</v>
      </c>
      <c r="AY103" s="202">
        <v>3.9</v>
      </c>
      <c r="AZ103" s="202" t="s">
        <v>434</v>
      </c>
      <c r="BA103" s="202">
        <v>0</v>
      </c>
      <c r="BB103" s="205">
        <f t="shared" si="199"/>
        <v>0</v>
      </c>
      <c r="BC103" s="202">
        <v>300</v>
      </c>
      <c r="BD103" s="202">
        <v>8.4000000000000005E-2</v>
      </c>
      <c r="BE103" s="202">
        <v>3.9</v>
      </c>
      <c r="BF103" s="202" t="s">
        <v>434</v>
      </c>
      <c r="BG103" s="202">
        <v>0</v>
      </c>
      <c r="BH103" s="205">
        <f t="shared" si="200"/>
        <v>0</v>
      </c>
      <c r="BI103" s="202">
        <v>300</v>
      </c>
      <c r="BJ103" s="202">
        <v>8.4000000000000005E-2</v>
      </c>
      <c r="BK103" s="202">
        <v>3.9</v>
      </c>
      <c r="BL103" s="202" t="s">
        <v>434</v>
      </c>
      <c r="BM103" s="202">
        <v>0</v>
      </c>
      <c r="BN103" s="205">
        <f t="shared" si="201"/>
        <v>0</v>
      </c>
      <c r="BO103" s="202">
        <v>300</v>
      </c>
      <c r="BP103" s="202">
        <v>8.4000000000000005E-2</v>
      </c>
      <c r="BQ103" s="202">
        <v>3.9</v>
      </c>
      <c r="BR103" s="202" t="s">
        <v>434</v>
      </c>
      <c r="BS103" s="202">
        <v>0</v>
      </c>
      <c r="BT103" s="205">
        <f t="shared" si="202"/>
        <v>0</v>
      </c>
      <c r="BU103" s="202">
        <v>300</v>
      </c>
      <c r="BV103" s="202">
        <v>8.4000000000000005E-2</v>
      </c>
      <c r="BW103" s="202">
        <v>3.9</v>
      </c>
      <c r="BX103" s="202" t="s">
        <v>434</v>
      </c>
      <c r="BY103" s="202">
        <v>0</v>
      </c>
      <c r="BZ103" s="205">
        <f t="shared" si="203"/>
        <v>0</v>
      </c>
      <c r="CA103" s="202">
        <v>300</v>
      </c>
      <c r="CB103" s="202">
        <v>8.4000000000000005E-2</v>
      </c>
      <c r="CC103" s="202">
        <v>3.9</v>
      </c>
      <c r="CD103" s="202" t="s">
        <v>434</v>
      </c>
      <c r="CE103" s="202">
        <v>0</v>
      </c>
      <c r="CF103" s="205">
        <f t="shared" si="204"/>
        <v>0</v>
      </c>
      <c r="CG103" s="202">
        <v>300</v>
      </c>
      <c r="CH103" s="202">
        <v>8.4000000000000005E-2</v>
      </c>
      <c r="CI103" s="202">
        <v>3.9</v>
      </c>
      <c r="CJ103" s="202" t="s">
        <v>434</v>
      </c>
      <c r="CK103" s="202">
        <v>0</v>
      </c>
      <c r="CL103" s="205">
        <f t="shared" si="205"/>
        <v>0</v>
      </c>
      <c r="CM103" s="202">
        <v>300</v>
      </c>
      <c r="CN103" s="202">
        <v>8.4000000000000005E-2</v>
      </c>
      <c r="CO103" s="202">
        <v>3.9</v>
      </c>
      <c r="CP103" s="202" t="s">
        <v>434</v>
      </c>
      <c r="CQ103" s="202">
        <v>0</v>
      </c>
      <c r="CR103" s="205">
        <f t="shared" si="206"/>
        <v>0</v>
      </c>
      <c r="CS103" s="202">
        <v>300</v>
      </c>
      <c r="CT103" s="202">
        <v>8.4000000000000005E-2</v>
      </c>
      <c r="CU103" s="202">
        <v>3.9</v>
      </c>
      <c r="CV103" s="202" t="s">
        <v>434</v>
      </c>
      <c r="CW103" s="202">
        <v>0</v>
      </c>
      <c r="CX103" s="205">
        <f t="shared" si="210"/>
        <v>0</v>
      </c>
      <c r="CY103" s="202">
        <v>500</v>
      </c>
      <c r="CZ103" s="202">
        <v>0.41</v>
      </c>
      <c r="DA103" s="202">
        <v>4</v>
      </c>
      <c r="DB103" s="202" t="s">
        <v>434</v>
      </c>
      <c r="DC103" s="202">
        <v>0</v>
      </c>
      <c r="DD103" s="205">
        <f t="shared" si="207"/>
        <v>0</v>
      </c>
      <c r="DE103" s="202">
        <v>300</v>
      </c>
      <c r="DF103" s="202">
        <v>8.4000000000000005E-2</v>
      </c>
      <c r="DG103" s="202">
        <v>3.9</v>
      </c>
      <c r="DH103" s="202" t="s">
        <v>434</v>
      </c>
      <c r="DI103" s="202">
        <v>0</v>
      </c>
      <c r="DJ103" s="205">
        <f t="shared" si="208"/>
        <v>0</v>
      </c>
      <c r="DK103" s="202">
        <v>300</v>
      </c>
      <c r="DL103" s="202">
        <v>8.4000000000000005E-2</v>
      </c>
      <c r="DM103" s="202">
        <v>3.9</v>
      </c>
      <c r="DN103" s="202" t="s">
        <v>434</v>
      </c>
      <c r="DO103" s="202">
        <v>0</v>
      </c>
      <c r="DP103" s="205">
        <f t="shared" si="209"/>
        <v>0</v>
      </c>
      <c r="DQ103" s="202">
        <v>300</v>
      </c>
      <c r="DR103" s="202">
        <v>8.4000000000000005E-2</v>
      </c>
      <c r="DS103" s="202">
        <v>3.9</v>
      </c>
      <c r="DT103" s="202" t="s">
        <v>434</v>
      </c>
    </row>
    <row r="104" spans="2:124" x14ac:dyDescent="0.35">
      <c r="B104" s="201" t="s">
        <v>467</v>
      </c>
      <c r="C104" s="13"/>
      <c r="D104" s="13"/>
      <c r="E104" s="202">
        <v>0</v>
      </c>
      <c r="F104" s="205">
        <f t="shared" si="134"/>
        <v>0</v>
      </c>
      <c r="G104" s="202">
        <v>300</v>
      </c>
      <c r="H104" s="202">
        <v>0.14000000000000001</v>
      </c>
      <c r="I104" s="202">
        <v>4</v>
      </c>
      <c r="J104" s="202" t="s">
        <v>434</v>
      </c>
      <c r="K104" s="202">
        <v>2</v>
      </c>
      <c r="L104" s="205">
        <f t="shared" si="192"/>
        <v>0.93488138964904577</v>
      </c>
      <c r="M104" s="202">
        <v>300</v>
      </c>
      <c r="N104" s="202">
        <v>0.14000000000000001</v>
      </c>
      <c r="O104" s="202">
        <v>4</v>
      </c>
      <c r="P104" s="202" t="s">
        <v>434</v>
      </c>
      <c r="Q104" s="202">
        <v>2</v>
      </c>
      <c r="R104" s="205">
        <f t="shared" si="193"/>
        <v>0.93488138964904577</v>
      </c>
      <c r="S104" s="202">
        <v>300</v>
      </c>
      <c r="T104" s="202">
        <v>0.14000000000000001</v>
      </c>
      <c r="U104" s="202">
        <v>4</v>
      </c>
      <c r="V104" s="202" t="s">
        <v>434</v>
      </c>
      <c r="W104" s="202">
        <v>2</v>
      </c>
      <c r="X104" s="205">
        <f t="shared" si="194"/>
        <v>0.93461404488289512</v>
      </c>
      <c r="Y104" s="202">
        <v>300</v>
      </c>
      <c r="Z104" s="202">
        <v>0.14000000000000001</v>
      </c>
      <c r="AA104" s="202">
        <v>4</v>
      </c>
      <c r="AB104" s="202" t="s">
        <v>434</v>
      </c>
      <c r="AC104" s="202">
        <v>2</v>
      </c>
      <c r="AD104" s="205">
        <f t="shared" si="195"/>
        <v>1.0191371688426811</v>
      </c>
      <c r="AE104" s="202">
        <v>300</v>
      </c>
      <c r="AF104" s="202">
        <v>0.14000000000000001</v>
      </c>
      <c r="AG104" s="202">
        <v>4</v>
      </c>
      <c r="AH104" s="202" t="s">
        <v>434</v>
      </c>
      <c r="AI104" s="202">
        <v>2</v>
      </c>
      <c r="AJ104" s="205">
        <f t="shared" si="196"/>
        <v>1.0191371688426811</v>
      </c>
      <c r="AK104" s="202">
        <v>300</v>
      </c>
      <c r="AL104" s="202">
        <v>0.14000000000000001</v>
      </c>
      <c r="AM104" s="202">
        <v>4</v>
      </c>
      <c r="AN104" s="202" t="s">
        <v>434</v>
      </c>
      <c r="AO104" s="202">
        <v>2</v>
      </c>
      <c r="AP104" s="205">
        <f t="shared" si="197"/>
        <v>1.0191371688426811</v>
      </c>
      <c r="AQ104" s="202">
        <v>300</v>
      </c>
      <c r="AR104" s="202">
        <v>0.14000000000000001</v>
      </c>
      <c r="AS104" s="202">
        <v>4</v>
      </c>
      <c r="AT104" s="202" t="s">
        <v>434</v>
      </c>
      <c r="AU104" s="202">
        <v>2</v>
      </c>
      <c r="AV104" s="205">
        <f t="shared" si="198"/>
        <v>1.0191372302756085</v>
      </c>
      <c r="AW104" s="202">
        <v>300</v>
      </c>
      <c r="AX104" s="202">
        <v>0.14000000000000001</v>
      </c>
      <c r="AY104" s="202">
        <v>4</v>
      </c>
      <c r="AZ104" s="202" t="s">
        <v>434</v>
      </c>
      <c r="BA104" s="202">
        <v>2</v>
      </c>
      <c r="BB104" s="205">
        <f t="shared" si="199"/>
        <v>1.0191372302756085</v>
      </c>
      <c r="BC104" s="202">
        <v>300</v>
      </c>
      <c r="BD104" s="202">
        <v>0.14000000000000001</v>
      </c>
      <c r="BE104" s="202">
        <v>4</v>
      </c>
      <c r="BF104" s="202" t="s">
        <v>434</v>
      </c>
      <c r="BG104" s="202">
        <v>2</v>
      </c>
      <c r="BH104" s="205">
        <f t="shared" si="200"/>
        <v>1.0191372302756085</v>
      </c>
      <c r="BI104" s="202">
        <v>300</v>
      </c>
      <c r="BJ104" s="202">
        <v>0.14000000000000001</v>
      </c>
      <c r="BK104" s="202">
        <v>4</v>
      </c>
      <c r="BL104" s="202" t="s">
        <v>434</v>
      </c>
      <c r="BM104" s="202">
        <v>2</v>
      </c>
      <c r="BN104" s="205">
        <f t="shared" si="201"/>
        <v>0.88141417992426296</v>
      </c>
      <c r="BO104" s="202">
        <v>300</v>
      </c>
      <c r="BP104" s="202">
        <v>0.14000000000000001</v>
      </c>
      <c r="BQ104" s="202">
        <v>4</v>
      </c>
      <c r="BR104" s="202" t="s">
        <v>434</v>
      </c>
      <c r="BS104" s="202">
        <v>2</v>
      </c>
      <c r="BT104" s="205">
        <f t="shared" si="202"/>
        <v>0.88112041284562403</v>
      </c>
      <c r="BU104" s="202">
        <v>300</v>
      </c>
      <c r="BV104" s="202">
        <v>0.14000000000000001</v>
      </c>
      <c r="BW104" s="202">
        <v>4</v>
      </c>
      <c r="BX104" s="202" t="s">
        <v>434</v>
      </c>
      <c r="BY104" s="202">
        <v>2</v>
      </c>
      <c r="BZ104" s="205">
        <f t="shared" si="203"/>
        <v>1.0193921915189328</v>
      </c>
      <c r="CA104" s="202">
        <v>300</v>
      </c>
      <c r="CB104" s="202">
        <v>0.14000000000000001</v>
      </c>
      <c r="CC104" s="202">
        <v>4</v>
      </c>
      <c r="CD104" s="202" t="s">
        <v>434</v>
      </c>
      <c r="CE104" s="202">
        <v>2</v>
      </c>
      <c r="CF104" s="205">
        <f t="shared" si="204"/>
        <v>1.0193921915189328</v>
      </c>
      <c r="CG104" s="202">
        <v>300</v>
      </c>
      <c r="CH104" s="202">
        <v>0.14000000000000001</v>
      </c>
      <c r="CI104" s="202">
        <v>4</v>
      </c>
      <c r="CJ104" s="202" t="s">
        <v>434</v>
      </c>
      <c r="CK104" s="202">
        <v>2</v>
      </c>
      <c r="CL104" s="205">
        <f t="shared" si="205"/>
        <v>1.0862978782491894</v>
      </c>
      <c r="CM104" s="202">
        <v>300</v>
      </c>
      <c r="CN104" s="202">
        <v>0.14000000000000001</v>
      </c>
      <c r="CO104" s="202">
        <v>4</v>
      </c>
      <c r="CP104" s="202" t="s">
        <v>434</v>
      </c>
      <c r="CQ104" s="202">
        <v>2</v>
      </c>
      <c r="CR104" s="205">
        <f t="shared" si="206"/>
        <v>1.0862978782491894</v>
      </c>
      <c r="CS104" s="202">
        <v>300</v>
      </c>
      <c r="CT104" s="202">
        <v>0.14000000000000001</v>
      </c>
      <c r="CU104" s="202">
        <v>4</v>
      </c>
      <c r="CV104" s="202" t="s">
        <v>434</v>
      </c>
      <c r="CW104" s="202">
        <v>0</v>
      </c>
      <c r="CX104" s="205">
        <f t="shared" si="210"/>
        <v>0</v>
      </c>
      <c r="CY104" s="202">
        <v>300</v>
      </c>
      <c r="CZ104" s="202">
        <v>8.4000000000000005E-2</v>
      </c>
      <c r="DA104" s="202">
        <v>3.9</v>
      </c>
      <c r="DB104" s="202" t="s">
        <v>434</v>
      </c>
      <c r="DC104" s="202">
        <v>2</v>
      </c>
      <c r="DD104" s="205">
        <f t="shared" si="207"/>
        <v>1.0862978782491894</v>
      </c>
      <c r="DE104" s="202">
        <v>300</v>
      </c>
      <c r="DF104" s="202">
        <v>0.14000000000000001</v>
      </c>
      <c r="DG104" s="202">
        <v>4</v>
      </c>
      <c r="DH104" s="202" t="s">
        <v>434</v>
      </c>
      <c r="DI104" s="202">
        <v>2</v>
      </c>
      <c r="DJ104" s="205">
        <f t="shared" si="208"/>
        <v>1.0862978782491894</v>
      </c>
      <c r="DK104" s="202">
        <v>300</v>
      </c>
      <c r="DL104" s="202">
        <v>0.14000000000000001</v>
      </c>
      <c r="DM104" s="202">
        <v>4</v>
      </c>
      <c r="DN104" s="202" t="s">
        <v>434</v>
      </c>
      <c r="DO104" s="202">
        <v>2</v>
      </c>
      <c r="DP104" s="205">
        <f t="shared" si="209"/>
        <v>3.673995118270978</v>
      </c>
      <c r="DQ104" s="202">
        <v>300</v>
      </c>
      <c r="DR104" s="202">
        <v>0.14000000000000001</v>
      </c>
      <c r="DS104" s="202">
        <v>4</v>
      </c>
      <c r="DT104" s="202" t="s">
        <v>434</v>
      </c>
    </row>
    <row r="105" spans="2:124" x14ac:dyDescent="0.35">
      <c r="B105" s="201" t="s">
        <v>468</v>
      </c>
      <c r="C105" s="13"/>
      <c r="D105" s="13"/>
      <c r="E105" s="202">
        <v>0</v>
      </c>
      <c r="F105" s="205">
        <f t="shared" si="134"/>
        <v>0</v>
      </c>
      <c r="G105" s="202">
        <v>300</v>
      </c>
      <c r="H105" s="202">
        <v>3.6999999999999998E-2</v>
      </c>
      <c r="I105" s="202">
        <v>3.9</v>
      </c>
      <c r="J105" s="202" t="s">
        <v>434</v>
      </c>
      <c r="K105" s="202">
        <v>0</v>
      </c>
      <c r="L105" s="205">
        <f t="shared" si="192"/>
        <v>0</v>
      </c>
      <c r="M105" s="202">
        <v>300</v>
      </c>
      <c r="N105" s="202">
        <v>3.6999999999999998E-2</v>
      </c>
      <c r="O105" s="202">
        <v>3.9</v>
      </c>
      <c r="P105" s="202" t="s">
        <v>434</v>
      </c>
      <c r="Q105" s="202">
        <v>0</v>
      </c>
      <c r="R105" s="205">
        <f t="shared" si="193"/>
        <v>0</v>
      </c>
      <c r="S105" s="202">
        <v>300</v>
      </c>
      <c r="T105" s="202">
        <v>3.6999999999999998E-2</v>
      </c>
      <c r="U105" s="202">
        <v>3.9</v>
      </c>
      <c r="V105" s="202" t="s">
        <v>434</v>
      </c>
      <c r="W105" s="202">
        <v>0</v>
      </c>
      <c r="X105" s="205">
        <f t="shared" si="194"/>
        <v>0</v>
      </c>
      <c r="Y105" s="202">
        <v>300</v>
      </c>
      <c r="Z105" s="202">
        <v>3.6999999999999998E-2</v>
      </c>
      <c r="AA105" s="202">
        <v>3.9</v>
      </c>
      <c r="AB105" s="202" t="s">
        <v>434</v>
      </c>
      <c r="AC105" s="202">
        <v>0</v>
      </c>
      <c r="AD105" s="205">
        <f t="shared" si="195"/>
        <v>0</v>
      </c>
      <c r="AE105" s="202">
        <v>300</v>
      </c>
      <c r="AF105" s="202">
        <v>3.6999999999999998E-2</v>
      </c>
      <c r="AG105" s="202">
        <v>3.9</v>
      </c>
      <c r="AH105" s="202" t="s">
        <v>434</v>
      </c>
      <c r="AI105" s="202">
        <v>0</v>
      </c>
      <c r="AJ105" s="205">
        <f t="shared" si="196"/>
        <v>0</v>
      </c>
      <c r="AK105" s="202">
        <v>300</v>
      </c>
      <c r="AL105" s="202">
        <v>3.6999999999999998E-2</v>
      </c>
      <c r="AM105" s="202">
        <v>3.9</v>
      </c>
      <c r="AN105" s="202" t="s">
        <v>434</v>
      </c>
      <c r="AO105" s="202">
        <v>0</v>
      </c>
      <c r="AP105" s="205">
        <f t="shared" si="197"/>
        <v>0</v>
      </c>
      <c r="AQ105" s="202">
        <v>300</v>
      </c>
      <c r="AR105" s="202">
        <v>3.6999999999999998E-2</v>
      </c>
      <c r="AS105" s="202">
        <v>3.9</v>
      </c>
      <c r="AT105" s="202" t="s">
        <v>434</v>
      </c>
      <c r="AU105" s="202">
        <v>0</v>
      </c>
      <c r="AV105" s="205">
        <f t="shared" si="198"/>
        <v>0</v>
      </c>
      <c r="AW105" s="202">
        <v>300</v>
      </c>
      <c r="AX105" s="202">
        <v>3.6999999999999998E-2</v>
      </c>
      <c r="AY105" s="202">
        <v>3.9</v>
      </c>
      <c r="AZ105" s="202" t="s">
        <v>434</v>
      </c>
      <c r="BA105" s="202">
        <v>0</v>
      </c>
      <c r="BB105" s="205">
        <f t="shared" si="199"/>
        <v>0</v>
      </c>
      <c r="BC105" s="202">
        <v>300</v>
      </c>
      <c r="BD105" s="202">
        <v>3.6999999999999998E-2</v>
      </c>
      <c r="BE105" s="202">
        <v>3.9</v>
      </c>
      <c r="BF105" s="202" t="s">
        <v>434</v>
      </c>
      <c r="BG105" s="202">
        <v>0</v>
      </c>
      <c r="BH105" s="205">
        <f t="shared" si="200"/>
        <v>0</v>
      </c>
      <c r="BI105" s="202">
        <v>300</v>
      </c>
      <c r="BJ105" s="202">
        <v>3.6999999999999998E-2</v>
      </c>
      <c r="BK105" s="202">
        <v>3.9</v>
      </c>
      <c r="BL105" s="202" t="s">
        <v>434</v>
      </c>
      <c r="BM105" s="202">
        <v>0</v>
      </c>
      <c r="BN105" s="205">
        <f t="shared" si="201"/>
        <v>0</v>
      </c>
      <c r="BO105" s="202">
        <v>300</v>
      </c>
      <c r="BP105" s="202">
        <v>3.6999999999999998E-2</v>
      </c>
      <c r="BQ105" s="202">
        <v>3.9</v>
      </c>
      <c r="BR105" s="202" t="s">
        <v>434</v>
      </c>
      <c r="BS105" s="202">
        <v>0</v>
      </c>
      <c r="BT105" s="205">
        <f t="shared" si="202"/>
        <v>0</v>
      </c>
      <c r="BU105" s="202">
        <v>300</v>
      </c>
      <c r="BV105" s="202">
        <v>3.6999999999999998E-2</v>
      </c>
      <c r="BW105" s="202">
        <v>3.9</v>
      </c>
      <c r="BX105" s="202" t="s">
        <v>434</v>
      </c>
      <c r="BY105" s="202">
        <v>0</v>
      </c>
      <c r="BZ105" s="205">
        <f t="shared" si="203"/>
        <v>0</v>
      </c>
      <c r="CA105" s="202">
        <v>300</v>
      </c>
      <c r="CB105" s="202">
        <v>3.6999999999999998E-2</v>
      </c>
      <c r="CC105" s="202">
        <v>3.9</v>
      </c>
      <c r="CD105" s="202" t="s">
        <v>434</v>
      </c>
      <c r="CE105" s="202">
        <v>0</v>
      </c>
      <c r="CF105" s="205">
        <f t="shared" si="204"/>
        <v>0</v>
      </c>
      <c r="CG105" s="202">
        <v>300</v>
      </c>
      <c r="CH105" s="202">
        <v>3.6999999999999998E-2</v>
      </c>
      <c r="CI105" s="202">
        <v>3.9</v>
      </c>
      <c r="CJ105" s="202" t="s">
        <v>434</v>
      </c>
      <c r="CK105" s="202">
        <v>0</v>
      </c>
      <c r="CL105" s="205">
        <f t="shared" si="205"/>
        <v>0</v>
      </c>
      <c r="CM105" s="202">
        <v>300</v>
      </c>
      <c r="CN105" s="202">
        <v>3.6999999999999998E-2</v>
      </c>
      <c r="CO105" s="202">
        <v>3.9</v>
      </c>
      <c r="CP105" s="202" t="s">
        <v>434</v>
      </c>
      <c r="CQ105" s="202">
        <v>0</v>
      </c>
      <c r="CR105" s="205">
        <f t="shared" si="206"/>
        <v>0</v>
      </c>
      <c r="CS105" s="202">
        <v>300</v>
      </c>
      <c r="CT105" s="202">
        <v>3.6999999999999998E-2</v>
      </c>
      <c r="CU105" s="202">
        <v>3.9</v>
      </c>
      <c r="CV105" s="202" t="s">
        <v>434</v>
      </c>
      <c r="CW105" s="202">
        <v>2</v>
      </c>
      <c r="CX105" s="205">
        <f t="shared" si="210"/>
        <v>1.0862978782491894</v>
      </c>
      <c r="CY105" s="202">
        <v>300</v>
      </c>
      <c r="CZ105" s="202">
        <v>0.14000000000000001</v>
      </c>
      <c r="DA105" s="202">
        <v>4</v>
      </c>
      <c r="DB105" s="202" t="s">
        <v>434</v>
      </c>
      <c r="DC105" s="202">
        <v>0</v>
      </c>
      <c r="DD105" s="205">
        <f t="shared" si="207"/>
        <v>0</v>
      </c>
      <c r="DE105" s="202">
        <v>300</v>
      </c>
      <c r="DF105" s="202">
        <v>3.6999999999999998E-2</v>
      </c>
      <c r="DG105" s="202">
        <v>3.9</v>
      </c>
      <c r="DH105" s="202" t="s">
        <v>434</v>
      </c>
      <c r="DI105" s="202">
        <v>0</v>
      </c>
      <c r="DJ105" s="205">
        <f t="shared" si="208"/>
        <v>0</v>
      </c>
      <c r="DK105" s="202">
        <v>300</v>
      </c>
      <c r="DL105" s="202">
        <v>3.6999999999999998E-2</v>
      </c>
      <c r="DM105" s="202">
        <v>3.9</v>
      </c>
      <c r="DN105" s="202" t="s">
        <v>434</v>
      </c>
      <c r="DO105" s="202">
        <v>0</v>
      </c>
      <c r="DP105" s="205">
        <f t="shared" si="209"/>
        <v>0</v>
      </c>
      <c r="DQ105" s="202">
        <v>300</v>
      </c>
      <c r="DR105" s="202">
        <v>3.6999999999999998E-2</v>
      </c>
      <c r="DS105" s="202">
        <v>3.9</v>
      </c>
      <c r="DT105" s="202" t="s">
        <v>434</v>
      </c>
    </row>
    <row r="106" spans="2:124" x14ac:dyDescent="0.35">
      <c r="B106" s="201" t="s">
        <v>469</v>
      </c>
      <c r="C106" s="13"/>
      <c r="D106" s="13"/>
      <c r="E106" s="202">
        <v>2</v>
      </c>
      <c r="F106" s="205">
        <f t="shared" si="134"/>
        <v>0.1041064837129704</v>
      </c>
      <c r="G106" s="202">
        <v>300</v>
      </c>
      <c r="H106" s="202">
        <v>1.7000000000000001E-2</v>
      </c>
      <c r="I106" s="202">
        <v>3.5</v>
      </c>
      <c r="J106" s="202" t="s">
        <v>434</v>
      </c>
      <c r="K106" s="202">
        <v>0</v>
      </c>
      <c r="L106" s="205">
        <f t="shared" si="192"/>
        <v>0</v>
      </c>
      <c r="M106" s="202">
        <v>300</v>
      </c>
      <c r="N106" s="202">
        <v>1.7000000000000001E-2</v>
      </c>
      <c r="O106" s="202">
        <v>3.5</v>
      </c>
      <c r="P106" s="202" t="s">
        <v>434</v>
      </c>
      <c r="Q106" s="202">
        <v>0</v>
      </c>
      <c r="R106" s="205">
        <f t="shared" si="193"/>
        <v>0</v>
      </c>
      <c r="S106" s="202">
        <v>300</v>
      </c>
      <c r="T106" s="202">
        <v>1.7000000000000001E-2</v>
      </c>
      <c r="U106" s="202">
        <v>3.5</v>
      </c>
      <c r="V106" s="202" t="s">
        <v>434</v>
      </c>
      <c r="W106" s="202">
        <v>0</v>
      </c>
      <c r="X106" s="205">
        <f t="shared" si="194"/>
        <v>0</v>
      </c>
      <c r="Y106" s="202">
        <v>300</v>
      </c>
      <c r="Z106" s="202">
        <v>1.7000000000000001E-2</v>
      </c>
      <c r="AA106" s="202">
        <v>3.5</v>
      </c>
      <c r="AB106" s="202" t="s">
        <v>434</v>
      </c>
      <c r="AC106" s="202">
        <v>0</v>
      </c>
      <c r="AD106" s="205">
        <f t="shared" si="195"/>
        <v>0</v>
      </c>
      <c r="AE106" s="202">
        <v>300</v>
      </c>
      <c r="AF106" s="202">
        <v>1.7000000000000001E-2</v>
      </c>
      <c r="AG106" s="202">
        <v>3.5</v>
      </c>
      <c r="AH106" s="202" t="s">
        <v>434</v>
      </c>
      <c r="AI106" s="202">
        <v>0</v>
      </c>
      <c r="AJ106" s="205">
        <f t="shared" si="196"/>
        <v>0</v>
      </c>
      <c r="AK106" s="202">
        <v>300</v>
      </c>
      <c r="AL106" s="202">
        <v>1.7000000000000001E-2</v>
      </c>
      <c r="AM106" s="202">
        <v>3.5</v>
      </c>
      <c r="AN106" s="202" t="s">
        <v>434</v>
      </c>
      <c r="AO106" s="202">
        <v>0</v>
      </c>
      <c r="AP106" s="205">
        <f t="shared" si="197"/>
        <v>0</v>
      </c>
      <c r="AQ106" s="202">
        <v>300</v>
      </c>
      <c r="AR106" s="202">
        <v>1.7000000000000001E-2</v>
      </c>
      <c r="AS106" s="202">
        <v>3.5</v>
      </c>
      <c r="AT106" s="202" t="s">
        <v>434</v>
      </c>
      <c r="AU106" s="202">
        <v>0</v>
      </c>
      <c r="AV106" s="205">
        <f t="shared" si="198"/>
        <v>0</v>
      </c>
      <c r="AW106" s="202">
        <v>300</v>
      </c>
      <c r="AX106" s="202">
        <v>1.7000000000000001E-2</v>
      </c>
      <c r="AY106" s="202">
        <v>3.5</v>
      </c>
      <c r="AZ106" s="202" t="s">
        <v>434</v>
      </c>
      <c r="BA106" s="202">
        <v>0</v>
      </c>
      <c r="BB106" s="205">
        <f t="shared" si="199"/>
        <v>0</v>
      </c>
      <c r="BC106" s="202">
        <v>300</v>
      </c>
      <c r="BD106" s="202">
        <v>1.7000000000000001E-2</v>
      </c>
      <c r="BE106" s="202">
        <v>3.5</v>
      </c>
      <c r="BF106" s="202" t="s">
        <v>434</v>
      </c>
      <c r="BG106" s="202">
        <v>0</v>
      </c>
      <c r="BH106" s="205">
        <f t="shared" si="200"/>
        <v>0</v>
      </c>
      <c r="BI106" s="202">
        <v>300</v>
      </c>
      <c r="BJ106" s="202">
        <v>1.7000000000000001E-2</v>
      </c>
      <c r="BK106" s="202">
        <v>3.5</v>
      </c>
      <c r="BL106" s="202" t="s">
        <v>434</v>
      </c>
      <c r="BM106" s="202">
        <v>0</v>
      </c>
      <c r="BN106" s="205">
        <f t="shared" si="201"/>
        <v>0</v>
      </c>
      <c r="BO106" s="202">
        <v>300</v>
      </c>
      <c r="BP106" s="202">
        <v>1.7000000000000001E-2</v>
      </c>
      <c r="BQ106" s="202">
        <v>3.5</v>
      </c>
      <c r="BR106" s="202" t="s">
        <v>434</v>
      </c>
      <c r="BS106" s="202">
        <v>0</v>
      </c>
      <c r="BT106" s="205">
        <f t="shared" si="202"/>
        <v>0</v>
      </c>
      <c r="BU106" s="202">
        <v>300</v>
      </c>
      <c r="BV106" s="202">
        <v>1.7000000000000001E-2</v>
      </c>
      <c r="BW106" s="202">
        <v>3.5</v>
      </c>
      <c r="BX106" s="202" t="s">
        <v>434</v>
      </c>
      <c r="BY106" s="202">
        <v>0</v>
      </c>
      <c r="BZ106" s="205">
        <f t="shared" si="203"/>
        <v>0</v>
      </c>
      <c r="CA106" s="202">
        <v>300</v>
      </c>
      <c r="CB106" s="202">
        <v>1.7000000000000001E-2</v>
      </c>
      <c r="CC106" s="202">
        <v>3.5</v>
      </c>
      <c r="CD106" s="202" t="s">
        <v>434</v>
      </c>
      <c r="CE106" s="202">
        <v>0</v>
      </c>
      <c r="CF106" s="205">
        <f t="shared" si="204"/>
        <v>0</v>
      </c>
      <c r="CG106" s="202">
        <v>300</v>
      </c>
      <c r="CH106" s="202">
        <v>1.7000000000000001E-2</v>
      </c>
      <c r="CI106" s="202">
        <v>3.5</v>
      </c>
      <c r="CJ106" s="202" t="s">
        <v>434</v>
      </c>
      <c r="CK106" s="202">
        <v>0</v>
      </c>
      <c r="CL106" s="205">
        <f t="shared" si="205"/>
        <v>0</v>
      </c>
      <c r="CM106" s="202">
        <v>300</v>
      </c>
      <c r="CN106" s="202">
        <v>1.7000000000000001E-2</v>
      </c>
      <c r="CO106" s="202">
        <v>3.5</v>
      </c>
      <c r="CP106" s="202" t="s">
        <v>434</v>
      </c>
      <c r="CQ106" s="202">
        <v>0</v>
      </c>
      <c r="CR106" s="205">
        <f t="shared" si="206"/>
        <v>0</v>
      </c>
      <c r="CS106" s="202">
        <v>300</v>
      </c>
      <c r="CT106" s="202">
        <v>1.7000000000000001E-2</v>
      </c>
      <c r="CU106" s="202">
        <v>3.5</v>
      </c>
      <c r="CV106" s="202" t="s">
        <v>434</v>
      </c>
      <c r="CW106" s="202">
        <v>0</v>
      </c>
      <c r="CX106" s="205">
        <f t="shared" si="210"/>
        <v>0</v>
      </c>
      <c r="CY106" s="202">
        <v>300</v>
      </c>
      <c r="CZ106" s="202">
        <v>3.6999999999999998E-2</v>
      </c>
      <c r="DA106" s="202">
        <v>3.9</v>
      </c>
      <c r="DB106" s="202" t="s">
        <v>434</v>
      </c>
      <c r="DC106" s="202">
        <v>0</v>
      </c>
      <c r="DD106" s="205">
        <f t="shared" si="207"/>
        <v>0</v>
      </c>
      <c r="DE106" s="202">
        <v>300</v>
      </c>
      <c r="DF106" s="202">
        <v>1.7000000000000001E-2</v>
      </c>
      <c r="DG106" s="202">
        <v>3.5</v>
      </c>
      <c r="DH106" s="202" t="s">
        <v>434</v>
      </c>
      <c r="DI106" s="202">
        <v>0</v>
      </c>
      <c r="DJ106" s="205">
        <f t="shared" si="208"/>
        <v>0</v>
      </c>
      <c r="DK106" s="202">
        <v>300</v>
      </c>
      <c r="DL106" s="202">
        <v>1.7000000000000001E-2</v>
      </c>
      <c r="DM106" s="202">
        <v>3.5</v>
      </c>
      <c r="DN106" s="202" t="s">
        <v>434</v>
      </c>
      <c r="DO106" s="202">
        <v>0</v>
      </c>
      <c r="DP106" s="205">
        <f t="shared" si="209"/>
        <v>0</v>
      </c>
      <c r="DQ106" s="202">
        <v>300</v>
      </c>
      <c r="DR106" s="202">
        <v>1.7000000000000001E-2</v>
      </c>
      <c r="DS106" s="202">
        <v>3.5</v>
      </c>
      <c r="DT106" s="202" t="s">
        <v>434</v>
      </c>
    </row>
    <row r="107" spans="2:124" x14ac:dyDescent="0.35">
      <c r="B107" s="201" t="s">
        <v>470</v>
      </c>
      <c r="C107" s="13"/>
      <c r="D107" s="13"/>
      <c r="E107" s="202">
        <v>0</v>
      </c>
      <c r="F107" s="205">
        <f t="shared" si="134"/>
        <v>0</v>
      </c>
      <c r="G107" s="202">
        <v>1000</v>
      </c>
      <c r="H107" s="202">
        <v>0.69</v>
      </c>
      <c r="I107" s="202">
        <v>4.9000000000000004</v>
      </c>
      <c r="J107" s="202" t="s">
        <v>434</v>
      </c>
      <c r="K107" s="202">
        <v>0</v>
      </c>
      <c r="L107" s="205">
        <f t="shared" si="192"/>
        <v>0</v>
      </c>
      <c r="M107" s="202">
        <v>1000</v>
      </c>
      <c r="N107" s="202">
        <v>0.69</v>
      </c>
      <c r="O107" s="202">
        <v>4.9000000000000004</v>
      </c>
      <c r="P107" s="202" t="s">
        <v>434</v>
      </c>
      <c r="Q107" s="202">
        <v>0</v>
      </c>
      <c r="R107" s="205">
        <f t="shared" si="193"/>
        <v>0</v>
      </c>
      <c r="S107" s="202">
        <v>1000</v>
      </c>
      <c r="T107" s="202">
        <v>0.69</v>
      </c>
      <c r="U107" s="202">
        <v>4.9000000000000004</v>
      </c>
      <c r="V107" s="202" t="s">
        <v>434</v>
      </c>
      <c r="W107" s="202">
        <v>0</v>
      </c>
      <c r="X107" s="205">
        <f t="shared" si="194"/>
        <v>0</v>
      </c>
      <c r="Y107" s="202">
        <v>1000</v>
      </c>
      <c r="Z107" s="202">
        <v>0.69</v>
      </c>
      <c r="AA107" s="202">
        <v>4.9000000000000004</v>
      </c>
      <c r="AB107" s="202" t="s">
        <v>434</v>
      </c>
      <c r="AC107" s="202">
        <v>0</v>
      </c>
      <c r="AD107" s="205">
        <f t="shared" si="195"/>
        <v>0</v>
      </c>
      <c r="AE107" s="202">
        <v>1000</v>
      </c>
      <c r="AF107" s="202">
        <v>0.69</v>
      </c>
      <c r="AG107" s="202">
        <v>4.9000000000000004</v>
      </c>
      <c r="AH107" s="202" t="s">
        <v>434</v>
      </c>
      <c r="AI107" s="202">
        <v>0</v>
      </c>
      <c r="AJ107" s="205">
        <f t="shared" si="196"/>
        <v>0</v>
      </c>
      <c r="AK107" s="202">
        <v>1000</v>
      </c>
      <c r="AL107" s="202">
        <v>0.69</v>
      </c>
      <c r="AM107" s="202">
        <v>4.9000000000000004</v>
      </c>
      <c r="AN107" s="202" t="s">
        <v>434</v>
      </c>
      <c r="AO107" s="202">
        <v>0</v>
      </c>
      <c r="AP107" s="205">
        <f t="shared" si="197"/>
        <v>0</v>
      </c>
      <c r="AQ107" s="202">
        <v>1000</v>
      </c>
      <c r="AR107" s="202">
        <v>0.69</v>
      </c>
      <c r="AS107" s="202">
        <v>4.9000000000000004</v>
      </c>
      <c r="AT107" s="202" t="s">
        <v>434</v>
      </c>
      <c r="AU107" s="202">
        <v>0</v>
      </c>
      <c r="AV107" s="205">
        <f t="shared" si="198"/>
        <v>0</v>
      </c>
      <c r="AW107" s="202">
        <v>1000</v>
      </c>
      <c r="AX107" s="202">
        <v>0.69</v>
      </c>
      <c r="AY107" s="202">
        <v>4.9000000000000004</v>
      </c>
      <c r="AZ107" s="202" t="s">
        <v>434</v>
      </c>
      <c r="BA107" s="202">
        <v>0</v>
      </c>
      <c r="BB107" s="205">
        <f t="shared" si="199"/>
        <v>0</v>
      </c>
      <c r="BC107" s="202">
        <v>1000</v>
      </c>
      <c r="BD107" s="202">
        <v>0.69</v>
      </c>
      <c r="BE107" s="202">
        <v>4.9000000000000004</v>
      </c>
      <c r="BF107" s="202" t="s">
        <v>434</v>
      </c>
      <c r="BG107" s="202">
        <v>0</v>
      </c>
      <c r="BH107" s="205">
        <f t="shared" si="200"/>
        <v>0</v>
      </c>
      <c r="BI107" s="202">
        <v>1000</v>
      </c>
      <c r="BJ107" s="202">
        <v>0.69</v>
      </c>
      <c r="BK107" s="202">
        <v>4.9000000000000004</v>
      </c>
      <c r="BL107" s="202" t="s">
        <v>434</v>
      </c>
      <c r="BM107" s="202">
        <v>0</v>
      </c>
      <c r="BN107" s="205">
        <f t="shared" si="201"/>
        <v>0</v>
      </c>
      <c r="BO107" s="202">
        <v>1000</v>
      </c>
      <c r="BP107" s="202">
        <v>0.69</v>
      </c>
      <c r="BQ107" s="202">
        <v>4.9000000000000004</v>
      </c>
      <c r="BR107" s="202" t="s">
        <v>434</v>
      </c>
      <c r="BS107" s="202">
        <v>0</v>
      </c>
      <c r="BT107" s="205">
        <f t="shared" si="202"/>
        <v>0</v>
      </c>
      <c r="BU107" s="202">
        <v>1000</v>
      </c>
      <c r="BV107" s="202">
        <v>0.69</v>
      </c>
      <c r="BW107" s="202">
        <v>4.9000000000000004</v>
      </c>
      <c r="BX107" s="202" t="s">
        <v>434</v>
      </c>
      <c r="BY107" s="202">
        <v>0</v>
      </c>
      <c r="BZ107" s="205">
        <f t="shared" si="203"/>
        <v>0</v>
      </c>
      <c r="CA107" s="202">
        <v>1000</v>
      </c>
      <c r="CB107" s="202">
        <v>0.69</v>
      </c>
      <c r="CC107" s="202">
        <v>4.9000000000000004</v>
      </c>
      <c r="CD107" s="202" t="s">
        <v>434</v>
      </c>
      <c r="CE107" s="202">
        <v>0</v>
      </c>
      <c r="CF107" s="205">
        <f t="shared" si="204"/>
        <v>0</v>
      </c>
      <c r="CG107" s="202">
        <v>1000</v>
      </c>
      <c r="CH107" s="202">
        <v>0.69</v>
      </c>
      <c r="CI107" s="202">
        <v>4.9000000000000004</v>
      </c>
      <c r="CJ107" s="202" t="s">
        <v>434</v>
      </c>
      <c r="CK107" s="202">
        <v>0</v>
      </c>
      <c r="CL107" s="205">
        <f t="shared" si="205"/>
        <v>0</v>
      </c>
      <c r="CM107" s="202">
        <v>1000</v>
      </c>
      <c r="CN107" s="202">
        <v>0.69</v>
      </c>
      <c r="CO107" s="202">
        <v>4.9000000000000004</v>
      </c>
      <c r="CP107" s="202" t="s">
        <v>434</v>
      </c>
      <c r="CQ107" s="202">
        <v>0</v>
      </c>
      <c r="CR107" s="205">
        <f t="shared" si="206"/>
        <v>0</v>
      </c>
      <c r="CS107" s="202">
        <v>1000</v>
      </c>
      <c r="CT107" s="202">
        <v>0.69</v>
      </c>
      <c r="CU107" s="202">
        <v>4.9000000000000004</v>
      </c>
      <c r="CV107" s="202" t="s">
        <v>434</v>
      </c>
      <c r="CW107" s="202">
        <v>0</v>
      </c>
      <c r="CX107" s="205">
        <f t="shared" si="210"/>
        <v>0</v>
      </c>
      <c r="CY107" s="202">
        <v>300</v>
      </c>
      <c r="CZ107" s="202">
        <v>1.7000000000000001E-2</v>
      </c>
      <c r="DA107" s="202">
        <v>3.5</v>
      </c>
      <c r="DB107" s="202" t="s">
        <v>434</v>
      </c>
      <c r="DC107" s="202">
        <v>0</v>
      </c>
      <c r="DD107" s="205">
        <f t="shared" si="207"/>
        <v>0</v>
      </c>
      <c r="DE107" s="202">
        <v>1000</v>
      </c>
      <c r="DF107" s="202">
        <v>0.69</v>
      </c>
      <c r="DG107" s="202">
        <v>4.9000000000000004</v>
      </c>
      <c r="DH107" s="202" t="s">
        <v>434</v>
      </c>
      <c r="DI107" s="202">
        <v>0</v>
      </c>
      <c r="DJ107" s="205">
        <f t="shared" si="208"/>
        <v>0</v>
      </c>
      <c r="DK107" s="202">
        <v>1000</v>
      </c>
      <c r="DL107" s="202">
        <v>0.69</v>
      </c>
      <c r="DM107" s="202">
        <v>4.9000000000000004</v>
      </c>
      <c r="DN107" s="202" t="s">
        <v>434</v>
      </c>
      <c r="DO107" s="202">
        <v>0</v>
      </c>
      <c r="DP107" s="205">
        <f t="shared" si="209"/>
        <v>0</v>
      </c>
      <c r="DQ107" s="202">
        <v>1000</v>
      </c>
      <c r="DR107" s="202">
        <v>0.69</v>
      </c>
      <c r="DS107" s="202">
        <v>4.9000000000000004</v>
      </c>
      <c r="DT107" s="202" t="s">
        <v>434</v>
      </c>
    </row>
    <row r="108" spans="2:124" x14ac:dyDescent="0.35">
      <c r="B108" s="201" t="s">
        <v>471</v>
      </c>
      <c r="C108" s="13"/>
      <c r="D108" s="13"/>
      <c r="E108" s="202">
        <v>0</v>
      </c>
      <c r="F108" s="205">
        <f>IF(ISNUMBER(E108),E108*(G108/E$41+H108*(1+I108/E$30^0.3)),0)</f>
        <v>0</v>
      </c>
      <c r="G108" s="202">
        <v>1000</v>
      </c>
      <c r="H108" s="202">
        <v>2</v>
      </c>
      <c r="I108" s="202"/>
      <c r="J108" s="202" t="s">
        <v>444</v>
      </c>
      <c r="K108" s="202">
        <v>0</v>
      </c>
      <c r="L108" s="205">
        <f>IF(ISNUMBER(K108),K108*(M108/K$41+N108*(1+O108/K$30^0.3)),0)</f>
        <v>0</v>
      </c>
      <c r="M108" s="202">
        <v>1000</v>
      </c>
      <c r="N108" s="202">
        <v>2</v>
      </c>
      <c r="O108" s="202"/>
      <c r="P108" s="202" t="s">
        <v>444</v>
      </c>
      <c r="Q108" s="202">
        <v>0</v>
      </c>
      <c r="R108" s="205">
        <f>IF(ISNUMBER(Q108),Q108*(S108/Q$41+T108*(1+U108/Q$30^0.3)),0)</f>
        <v>0</v>
      </c>
      <c r="S108" s="202">
        <v>1000</v>
      </c>
      <c r="T108" s="202">
        <v>2</v>
      </c>
      <c r="U108" s="202"/>
      <c r="V108" s="202" t="s">
        <v>444</v>
      </c>
      <c r="W108" s="202">
        <v>0</v>
      </c>
      <c r="X108" s="205">
        <f>IF(ISNUMBER(W108),W108*(Y108/W$41+Z108*(1+AA108/W$30^0.3)),0)</f>
        <v>0</v>
      </c>
      <c r="Y108" s="202">
        <v>1000</v>
      </c>
      <c r="Z108" s="202">
        <v>2</v>
      </c>
      <c r="AA108" s="202"/>
      <c r="AB108" s="202" t="s">
        <v>444</v>
      </c>
      <c r="AC108" s="202">
        <v>0</v>
      </c>
      <c r="AD108" s="205">
        <f>IF(ISNUMBER(AC108),AC108*(AE108/AC$41+AF108*(1+AG108/AC$30^0.3)),0)</f>
        <v>0</v>
      </c>
      <c r="AE108" s="202">
        <v>1000</v>
      </c>
      <c r="AF108" s="202">
        <v>2</v>
      </c>
      <c r="AG108" s="202"/>
      <c r="AH108" s="202" t="s">
        <v>444</v>
      </c>
      <c r="AI108" s="202">
        <v>0</v>
      </c>
      <c r="AJ108" s="205">
        <f>IF(ISNUMBER(AI108),AI108*(AK108/AI$41+AL108*(1+AM108/AI$30^0.3)),0)</f>
        <v>0</v>
      </c>
      <c r="AK108" s="202">
        <v>1000</v>
      </c>
      <c r="AL108" s="202">
        <v>2</v>
      </c>
      <c r="AM108" s="202"/>
      <c r="AN108" s="202" t="s">
        <v>444</v>
      </c>
      <c r="AO108" s="202">
        <v>0</v>
      </c>
      <c r="AP108" s="205">
        <f>IF(ISNUMBER(AO108),AO108*(AQ108/AO$41+AR108*(1+AS108/AO$30^0.3)),0)</f>
        <v>0</v>
      </c>
      <c r="AQ108" s="202">
        <v>1000</v>
      </c>
      <c r="AR108" s="202">
        <v>2</v>
      </c>
      <c r="AS108" s="202"/>
      <c r="AT108" s="202" t="s">
        <v>444</v>
      </c>
      <c r="AU108" s="202">
        <v>0</v>
      </c>
      <c r="AV108" s="205">
        <f>IF(ISNUMBER(AU108),AU108*(AW108/AU$41+AX108*(1+AY108/AU$30^0.3)),0)</f>
        <v>0</v>
      </c>
      <c r="AW108" s="202">
        <v>1000</v>
      </c>
      <c r="AX108" s="202">
        <v>2</v>
      </c>
      <c r="AY108" s="202"/>
      <c r="AZ108" s="202" t="s">
        <v>444</v>
      </c>
      <c r="BA108" s="202">
        <v>0</v>
      </c>
      <c r="BB108" s="205">
        <f>IF(ISNUMBER(BA108),BA108*(BC108/BA$41+BD108*(1+BE108/BA$30^0.3)),0)</f>
        <v>0</v>
      </c>
      <c r="BC108" s="202">
        <v>1000</v>
      </c>
      <c r="BD108" s="202">
        <v>2</v>
      </c>
      <c r="BE108" s="202"/>
      <c r="BF108" s="202" t="s">
        <v>444</v>
      </c>
      <c r="BG108" s="202">
        <v>0</v>
      </c>
      <c r="BH108" s="205">
        <f>IF(ISNUMBER(BG108),BG108*(BI108/BG$41+BJ108*(1+BK108/BG$30^0.3)),0)</f>
        <v>0</v>
      </c>
      <c r="BI108" s="202">
        <v>1000</v>
      </c>
      <c r="BJ108" s="202">
        <v>2</v>
      </c>
      <c r="BK108" s="202"/>
      <c r="BL108" s="202" t="s">
        <v>444</v>
      </c>
      <c r="BM108" s="202">
        <v>0</v>
      </c>
      <c r="BN108" s="205">
        <f>IF(ISNUMBER(BM108),BM108*(BO108/BM$41+BP108*(1+BQ108/BM$30^0.3)),0)</f>
        <v>0</v>
      </c>
      <c r="BO108" s="202">
        <v>1000</v>
      </c>
      <c r="BP108" s="202">
        <v>2</v>
      </c>
      <c r="BQ108" s="202"/>
      <c r="BR108" s="202" t="s">
        <v>444</v>
      </c>
      <c r="BS108" s="202">
        <v>0</v>
      </c>
      <c r="BT108" s="205">
        <f>IF(ISNUMBER(BS108),BS108*(BU108/BS$41+BV108*(1+BW108/BS$30^0.3)),0)</f>
        <v>0</v>
      </c>
      <c r="BU108" s="202">
        <v>1000</v>
      </c>
      <c r="BV108" s="202">
        <v>2</v>
      </c>
      <c r="BW108" s="202"/>
      <c r="BX108" s="202" t="s">
        <v>444</v>
      </c>
      <c r="BY108" s="202">
        <v>0</v>
      </c>
      <c r="BZ108" s="205">
        <f>IF(ISNUMBER(BY108),BY108*(CA108/BY$41+CB108*(1+CC108/BY$30^0.3)),0)</f>
        <v>0</v>
      </c>
      <c r="CA108" s="202">
        <v>1000</v>
      </c>
      <c r="CB108" s="202">
        <v>2</v>
      </c>
      <c r="CC108" s="202"/>
      <c r="CD108" s="202" t="s">
        <v>444</v>
      </c>
      <c r="CE108" s="202">
        <v>0</v>
      </c>
      <c r="CF108" s="205">
        <f>IF(ISNUMBER(CE108),CE108*(CG108/CE$41+CH108*(1+CI108/CE$30^0.3)),0)</f>
        <v>0</v>
      </c>
      <c r="CG108" s="202">
        <v>1000</v>
      </c>
      <c r="CH108" s="202">
        <v>2</v>
      </c>
      <c r="CI108" s="202"/>
      <c r="CJ108" s="202" t="s">
        <v>444</v>
      </c>
      <c r="CK108" s="202">
        <v>0</v>
      </c>
      <c r="CL108" s="205">
        <f>IF(ISNUMBER(CK108),CK108*(CM108/CK$41+CN108*(1+CO108/CK$30^0.3)),0)</f>
        <v>0</v>
      </c>
      <c r="CM108" s="202">
        <v>1000</v>
      </c>
      <c r="CN108" s="202">
        <v>2</v>
      </c>
      <c r="CO108" s="202"/>
      <c r="CP108" s="202" t="s">
        <v>444</v>
      </c>
      <c r="CQ108" s="202">
        <v>0</v>
      </c>
      <c r="CR108" s="205">
        <f>IF(ISNUMBER(CQ108),CQ108*(CS108/CQ$41+CT108*(1+CU108/CQ$30^0.3)),0)</f>
        <v>0</v>
      </c>
      <c r="CS108" s="202">
        <v>1000</v>
      </c>
      <c r="CT108" s="202">
        <v>2</v>
      </c>
      <c r="CU108" s="202"/>
      <c r="CV108" s="202" t="s">
        <v>444</v>
      </c>
      <c r="CW108" s="202">
        <v>0</v>
      </c>
      <c r="CX108" s="205">
        <f t="shared" si="210"/>
        <v>0</v>
      </c>
      <c r="CY108" s="202">
        <v>1000</v>
      </c>
      <c r="CZ108" s="202">
        <v>0.69</v>
      </c>
      <c r="DA108" s="202">
        <v>4.9000000000000004</v>
      </c>
      <c r="DB108" s="202" t="s">
        <v>434</v>
      </c>
      <c r="DC108" s="202">
        <v>0</v>
      </c>
      <c r="DD108" s="205">
        <f>IF(ISNUMBER(DC108),DC108*(DE108/DC$41+DF108*(1+DG108/DC$30^0.3)),0)</f>
        <v>0</v>
      </c>
      <c r="DE108" s="202">
        <v>1000</v>
      </c>
      <c r="DF108" s="202">
        <v>2</v>
      </c>
      <c r="DG108" s="202"/>
      <c r="DH108" s="202" t="s">
        <v>444</v>
      </c>
      <c r="DI108" s="202">
        <v>0</v>
      </c>
      <c r="DJ108" s="205">
        <f>IF(ISNUMBER(DI108),DI108*(DK108/DI$41+DL108*(1+DM108/DI$30^0.3)),0)</f>
        <v>0</v>
      </c>
      <c r="DK108" s="202">
        <v>1000</v>
      </c>
      <c r="DL108" s="202">
        <v>2</v>
      </c>
      <c r="DM108" s="202"/>
      <c r="DN108" s="202" t="s">
        <v>444</v>
      </c>
      <c r="DO108" s="202">
        <v>0</v>
      </c>
      <c r="DP108" s="205">
        <f>IF(ISNUMBER(DO108),DO108*(DQ108/DO$41+DR108*(1+DS108/DO$30^0.3)),0)</f>
        <v>0</v>
      </c>
      <c r="DQ108" s="202">
        <v>1000</v>
      </c>
      <c r="DR108" s="202">
        <v>2</v>
      </c>
      <c r="DS108" s="202"/>
      <c r="DT108" s="202" t="s">
        <v>444</v>
      </c>
    </row>
    <row r="109" spans="2:124" x14ac:dyDescent="0.35">
      <c r="B109" s="201" t="s">
        <v>472</v>
      </c>
      <c r="C109" s="13"/>
      <c r="D109" s="13"/>
      <c r="E109" s="202">
        <v>0</v>
      </c>
      <c r="F109" s="205">
        <f t="shared" si="134"/>
        <v>0</v>
      </c>
      <c r="G109" s="202">
        <v>1500</v>
      </c>
      <c r="H109" s="202">
        <v>0.46</v>
      </c>
      <c r="I109" s="202">
        <v>4</v>
      </c>
      <c r="J109" s="202" t="s">
        <v>434</v>
      </c>
      <c r="K109" s="202">
        <v>0</v>
      </c>
      <c r="L109" s="205">
        <f t="shared" ref="L109:L110" si="211">IF(ISNUMBER(K109),K109*(M109/K$41+N109*(1+O109/K$28^0.3)),0)</f>
        <v>0</v>
      </c>
      <c r="M109" s="202">
        <v>1500</v>
      </c>
      <c r="N109" s="202">
        <v>0.46</v>
      </c>
      <c r="O109" s="202">
        <v>4</v>
      </c>
      <c r="P109" s="202" t="s">
        <v>434</v>
      </c>
      <c r="Q109" s="202">
        <v>0</v>
      </c>
      <c r="R109" s="205">
        <f t="shared" ref="R109:R110" si="212">IF(ISNUMBER(Q109),Q109*(S109/Q$41+T109*(1+U109/Q$28^0.3)),0)</f>
        <v>0</v>
      </c>
      <c r="S109" s="202">
        <v>1500</v>
      </c>
      <c r="T109" s="202">
        <v>0.46</v>
      </c>
      <c r="U109" s="202">
        <v>4</v>
      </c>
      <c r="V109" s="202" t="s">
        <v>434</v>
      </c>
      <c r="W109" s="202">
        <v>0</v>
      </c>
      <c r="X109" s="205">
        <f t="shared" ref="X109:X110" si="213">IF(ISNUMBER(W109),W109*(Y109/W$41+Z109*(1+AA109/W$28^0.3)),0)</f>
        <v>0</v>
      </c>
      <c r="Y109" s="202">
        <v>1500</v>
      </c>
      <c r="Z109" s="202">
        <v>0.46</v>
      </c>
      <c r="AA109" s="202">
        <v>4</v>
      </c>
      <c r="AB109" s="202" t="s">
        <v>434</v>
      </c>
      <c r="AC109" s="202">
        <v>0</v>
      </c>
      <c r="AD109" s="205">
        <f t="shared" ref="AD109:AD110" si="214">IF(ISNUMBER(AC109),AC109*(AE109/AC$41+AF109*(1+AG109/AC$28^0.3)),0)</f>
        <v>0</v>
      </c>
      <c r="AE109" s="202">
        <v>1500</v>
      </c>
      <c r="AF109" s="202">
        <v>0.46</v>
      </c>
      <c r="AG109" s="202">
        <v>4</v>
      </c>
      <c r="AH109" s="202" t="s">
        <v>434</v>
      </c>
      <c r="AI109" s="202">
        <v>0</v>
      </c>
      <c r="AJ109" s="205">
        <f t="shared" ref="AJ109:AJ110" si="215">IF(ISNUMBER(AI109),AI109*(AK109/AI$41+AL109*(1+AM109/AI$28^0.3)),0)</f>
        <v>0</v>
      </c>
      <c r="AK109" s="202">
        <v>1500</v>
      </c>
      <c r="AL109" s="202">
        <v>0.46</v>
      </c>
      <c r="AM109" s="202">
        <v>4</v>
      </c>
      <c r="AN109" s="202" t="s">
        <v>434</v>
      </c>
      <c r="AO109" s="202">
        <v>0</v>
      </c>
      <c r="AP109" s="205">
        <f t="shared" ref="AP109:AP110" si="216">IF(ISNUMBER(AO109),AO109*(AQ109/AO$41+AR109*(1+AS109/AO$28^0.3)),0)</f>
        <v>0</v>
      </c>
      <c r="AQ109" s="202">
        <v>1500</v>
      </c>
      <c r="AR109" s="202">
        <v>0.46</v>
      </c>
      <c r="AS109" s="202">
        <v>4</v>
      </c>
      <c r="AT109" s="202" t="s">
        <v>434</v>
      </c>
      <c r="AU109" s="202">
        <v>0</v>
      </c>
      <c r="AV109" s="205">
        <f t="shared" ref="AV109:AV110" si="217">IF(ISNUMBER(AU109),AU109*(AW109/AU$41+AX109*(1+AY109/AU$28^0.3)),0)</f>
        <v>0</v>
      </c>
      <c r="AW109" s="202">
        <v>1500</v>
      </c>
      <c r="AX109" s="202">
        <v>0.46</v>
      </c>
      <c r="AY109" s="202">
        <v>4</v>
      </c>
      <c r="AZ109" s="202" t="s">
        <v>434</v>
      </c>
      <c r="BA109" s="202">
        <v>0</v>
      </c>
      <c r="BB109" s="205">
        <f t="shared" ref="BB109:BB110" si="218">IF(ISNUMBER(BA109),BA109*(BC109/BA$41+BD109*(1+BE109/BA$28^0.3)),0)</f>
        <v>0</v>
      </c>
      <c r="BC109" s="202">
        <v>1500</v>
      </c>
      <c r="BD109" s="202">
        <v>0.46</v>
      </c>
      <c r="BE109" s="202">
        <v>4</v>
      </c>
      <c r="BF109" s="202" t="s">
        <v>434</v>
      </c>
      <c r="BG109" s="202">
        <v>0</v>
      </c>
      <c r="BH109" s="205">
        <f t="shared" ref="BH109:BH110" si="219">IF(ISNUMBER(BG109),BG109*(BI109/BG$41+BJ109*(1+BK109/BG$28^0.3)),0)</f>
        <v>0</v>
      </c>
      <c r="BI109" s="202">
        <v>1500</v>
      </c>
      <c r="BJ109" s="202">
        <v>0.46</v>
      </c>
      <c r="BK109" s="202">
        <v>4</v>
      </c>
      <c r="BL109" s="202" t="s">
        <v>434</v>
      </c>
      <c r="BM109" s="202">
        <v>0</v>
      </c>
      <c r="BN109" s="205">
        <f t="shared" ref="BN109:BN110" si="220">IF(ISNUMBER(BM109),BM109*(BO109/BM$41+BP109*(1+BQ109/BM$28^0.3)),0)</f>
        <v>0</v>
      </c>
      <c r="BO109" s="202">
        <v>1500</v>
      </c>
      <c r="BP109" s="202">
        <v>0.46</v>
      </c>
      <c r="BQ109" s="202">
        <v>4</v>
      </c>
      <c r="BR109" s="202" t="s">
        <v>434</v>
      </c>
      <c r="BS109" s="202">
        <v>0</v>
      </c>
      <c r="BT109" s="205">
        <f t="shared" ref="BT109:BT110" si="221">IF(ISNUMBER(BS109),BS109*(BU109/BS$41+BV109*(1+BW109/BS$28^0.3)),0)</f>
        <v>0</v>
      </c>
      <c r="BU109" s="202">
        <v>1500</v>
      </c>
      <c r="BV109" s="202">
        <v>0.46</v>
      </c>
      <c r="BW109" s="202">
        <v>4</v>
      </c>
      <c r="BX109" s="202" t="s">
        <v>434</v>
      </c>
      <c r="BY109" s="202">
        <v>0</v>
      </c>
      <c r="BZ109" s="205">
        <f t="shared" ref="BZ109:BZ110" si="222">IF(ISNUMBER(BY109),BY109*(CA109/BY$41+CB109*(1+CC109/BY$28^0.3)),0)</f>
        <v>0</v>
      </c>
      <c r="CA109" s="202">
        <v>1500</v>
      </c>
      <c r="CB109" s="202">
        <v>0.46</v>
      </c>
      <c r="CC109" s="202">
        <v>4</v>
      </c>
      <c r="CD109" s="202" t="s">
        <v>434</v>
      </c>
      <c r="CE109" s="202">
        <v>0</v>
      </c>
      <c r="CF109" s="205">
        <f t="shared" ref="CF109:CF110" si="223">IF(ISNUMBER(CE109),CE109*(CG109/CE$41+CH109*(1+CI109/CE$28^0.3)),0)</f>
        <v>0</v>
      </c>
      <c r="CG109" s="202">
        <v>1500</v>
      </c>
      <c r="CH109" s="202">
        <v>0.46</v>
      </c>
      <c r="CI109" s="202">
        <v>4</v>
      </c>
      <c r="CJ109" s="202" t="s">
        <v>434</v>
      </c>
      <c r="CK109" s="202">
        <v>0</v>
      </c>
      <c r="CL109" s="205">
        <f t="shared" ref="CL109:CL110" si="224">IF(ISNUMBER(CK109),CK109*(CM109/CK$41+CN109*(1+CO109/CK$28^0.3)),0)</f>
        <v>0</v>
      </c>
      <c r="CM109" s="202">
        <v>1500</v>
      </c>
      <c r="CN109" s="202">
        <v>0.46</v>
      </c>
      <c r="CO109" s="202">
        <v>4</v>
      </c>
      <c r="CP109" s="202" t="s">
        <v>434</v>
      </c>
      <c r="CQ109" s="202">
        <v>0</v>
      </c>
      <c r="CR109" s="205">
        <f t="shared" ref="CR109:CR110" si="225">IF(ISNUMBER(CQ109),CQ109*(CS109/CQ$41+CT109*(1+CU109/CQ$28^0.3)),0)</f>
        <v>0</v>
      </c>
      <c r="CS109" s="202">
        <v>1500</v>
      </c>
      <c r="CT109" s="202">
        <v>0.46</v>
      </c>
      <c r="CU109" s="202">
        <v>4</v>
      </c>
      <c r="CV109" s="202" t="s">
        <v>434</v>
      </c>
      <c r="CW109" s="202">
        <v>0</v>
      </c>
      <c r="CX109" s="205">
        <f>IF(ISNUMBER(CW109),CW109*(CY109/CW$41+CZ109*(1+DA109/CW$30^0.3)),0)</f>
        <v>0</v>
      </c>
      <c r="CY109" s="202">
        <v>1000</v>
      </c>
      <c r="CZ109" s="202">
        <v>2</v>
      </c>
      <c r="DA109" s="202"/>
      <c r="DB109" s="202" t="s">
        <v>444</v>
      </c>
      <c r="DC109" s="202">
        <v>0</v>
      </c>
      <c r="DD109" s="205">
        <f t="shared" ref="DD109:DD110" si="226">IF(ISNUMBER(DC109),DC109*(DE109/DC$41+DF109*(1+DG109/DC$28^0.3)),0)</f>
        <v>0</v>
      </c>
      <c r="DE109" s="202">
        <v>1500</v>
      </c>
      <c r="DF109" s="202">
        <v>0.46</v>
      </c>
      <c r="DG109" s="202">
        <v>4</v>
      </c>
      <c r="DH109" s="202" t="s">
        <v>434</v>
      </c>
      <c r="DI109" s="202">
        <v>0</v>
      </c>
      <c r="DJ109" s="205">
        <f t="shared" ref="DJ109:DJ110" si="227">IF(ISNUMBER(DI109),DI109*(DK109/DI$41+DL109*(1+DM109/DI$28^0.3)),0)</f>
        <v>0</v>
      </c>
      <c r="DK109" s="202">
        <v>1500</v>
      </c>
      <c r="DL109" s="202">
        <v>0.46</v>
      </c>
      <c r="DM109" s="202">
        <v>4</v>
      </c>
      <c r="DN109" s="202" t="s">
        <v>434</v>
      </c>
      <c r="DO109" s="202">
        <v>0</v>
      </c>
      <c r="DP109" s="205">
        <f t="shared" ref="DP109:DP110" si="228">IF(ISNUMBER(DO109),DO109*(DQ109/DO$41+DR109*(1+DS109/DO$28^0.3)),0)</f>
        <v>0</v>
      </c>
      <c r="DQ109" s="202">
        <v>1500</v>
      </c>
      <c r="DR109" s="202">
        <v>0.46</v>
      </c>
      <c r="DS109" s="202">
        <v>4</v>
      </c>
      <c r="DT109" s="202" t="s">
        <v>434</v>
      </c>
    </row>
    <row r="110" spans="2:124" x14ac:dyDescent="0.35">
      <c r="B110" s="201" t="s">
        <v>473</v>
      </c>
      <c r="C110" s="13"/>
      <c r="D110" s="13"/>
      <c r="E110" s="202">
        <v>0</v>
      </c>
      <c r="F110" s="205">
        <f t="shared" si="134"/>
        <v>0</v>
      </c>
      <c r="G110" s="202">
        <v>2000</v>
      </c>
      <c r="H110" s="202">
        <v>2.85</v>
      </c>
      <c r="I110" s="202">
        <v>3.8</v>
      </c>
      <c r="J110" s="202" t="s">
        <v>434</v>
      </c>
      <c r="K110" s="202">
        <v>0</v>
      </c>
      <c r="L110" s="205">
        <f t="shared" si="211"/>
        <v>0</v>
      </c>
      <c r="M110" s="202">
        <v>2000</v>
      </c>
      <c r="N110" s="202">
        <v>2.85</v>
      </c>
      <c r="O110" s="202">
        <v>3.8</v>
      </c>
      <c r="P110" s="202" t="s">
        <v>434</v>
      </c>
      <c r="Q110" s="202">
        <v>0</v>
      </c>
      <c r="R110" s="205">
        <f t="shared" si="212"/>
        <v>0</v>
      </c>
      <c r="S110" s="202">
        <v>2000</v>
      </c>
      <c r="T110" s="202">
        <v>2.85</v>
      </c>
      <c r="U110" s="202">
        <v>3.8</v>
      </c>
      <c r="V110" s="202" t="s">
        <v>434</v>
      </c>
      <c r="W110" s="202">
        <v>0</v>
      </c>
      <c r="X110" s="205">
        <f t="shared" si="213"/>
        <v>0</v>
      </c>
      <c r="Y110" s="202">
        <v>2000</v>
      </c>
      <c r="Z110" s="202">
        <v>2.85</v>
      </c>
      <c r="AA110" s="202">
        <v>3.8</v>
      </c>
      <c r="AB110" s="202" t="s">
        <v>434</v>
      </c>
      <c r="AC110" s="202">
        <v>0</v>
      </c>
      <c r="AD110" s="205">
        <f t="shared" si="214"/>
        <v>0</v>
      </c>
      <c r="AE110" s="202">
        <v>2000</v>
      </c>
      <c r="AF110" s="202">
        <v>2.85</v>
      </c>
      <c r="AG110" s="202">
        <v>3.8</v>
      </c>
      <c r="AH110" s="202" t="s">
        <v>434</v>
      </c>
      <c r="AI110" s="202">
        <v>0</v>
      </c>
      <c r="AJ110" s="205">
        <f t="shared" si="215"/>
        <v>0</v>
      </c>
      <c r="AK110" s="202">
        <v>2000</v>
      </c>
      <c r="AL110" s="202">
        <v>2.85</v>
      </c>
      <c r="AM110" s="202">
        <v>3.8</v>
      </c>
      <c r="AN110" s="202" t="s">
        <v>434</v>
      </c>
      <c r="AO110" s="202">
        <v>0</v>
      </c>
      <c r="AP110" s="205">
        <f t="shared" si="216"/>
        <v>0</v>
      </c>
      <c r="AQ110" s="202">
        <v>2000</v>
      </c>
      <c r="AR110" s="202">
        <v>2.85</v>
      </c>
      <c r="AS110" s="202">
        <v>3.8</v>
      </c>
      <c r="AT110" s="202" t="s">
        <v>434</v>
      </c>
      <c r="AU110" s="202">
        <v>0</v>
      </c>
      <c r="AV110" s="205">
        <f t="shared" si="217"/>
        <v>0</v>
      </c>
      <c r="AW110" s="202">
        <v>2000</v>
      </c>
      <c r="AX110" s="202">
        <v>2.85</v>
      </c>
      <c r="AY110" s="202">
        <v>3.8</v>
      </c>
      <c r="AZ110" s="202" t="s">
        <v>434</v>
      </c>
      <c r="BA110" s="202">
        <v>0</v>
      </c>
      <c r="BB110" s="205">
        <f t="shared" si="218"/>
        <v>0</v>
      </c>
      <c r="BC110" s="202">
        <v>2000</v>
      </c>
      <c r="BD110" s="202">
        <v>2.85</v>
      </c>
      <c r="BE110" s="202">
        <v>3.8</v>
      </c>
      <c r="BF110" s="202" t="s">
        <v>434</v>
      </c>
      <c r="BG110" s="202">
        <v>0</v>
      </c>
      <c r="BH110" s="205">
        <f t="shared" si="219"/>
        <v>0</v>
      </c>
      <c r="BI110" s="202">
        <v>2000</v>
      </c>
      <c r="BJ110" s="202">
        <v>2.85</v>
      </c>
      <c r="BK110" s="202">
        <v>3.8</v>
      </c>
      <c r="BL110" s="202" t="s">
        <v>434</v>
      </c>
      <c r="BM110" s="202">
        <v>0</v>
      </c>
      <c r="BN110" s="205">
        <f t="shared" si="220"/>
        <v>0</v>
      </c>
      <c r="BO110" s="202">
        <v>2000</v>
      </c>
      <c r="BP110" s="202">
        <v>2.85</v>
      </c>
      <c r="BQ110" s="202">
        <v>3.8</v>
      </c>
      <c r="BR110" s="202" t="s">
        <v>434</v>
      </c>
      <c r="BS110" s="202">
        <v>0</v>
      </c>
      <c r="BT110" s="205">
        <f t="shared" si="221"/>
        <v>0</v>
      </c>
      <c r="BU110" s="202">
        <v>2000</v>
      </c>
      <c r="BV110" s="202">
        <v>2.85</v>
      </c>
      <c r="BW110" s="202">
        <v>3.8</v>
      </c>
      <c r="BX110" s="202" t="s">
        <v>434</v>
      </c>
      <c r="BY110" s="202">
        <v>0</v>
      </c>
      <c r="BZ110" s="205">
        <f t="shared" si="222"/>
        <v>0</v>
      </c>
      <c r="CA110" s="202">
        <v>2000</v>
      </c>
      <c r="CB110" s="202">
        <v>2.85</v>
      </c>
      <c r="CC110" s="202">
        <v>3.8</v>
      </c>
      <c r="CD110" s="202" t="s">
        <v>434</v>
      </c>
      <c r="CE110" s="202">
        <v>0</v>
      </c>
      <c r="CF110" s="205">
        <f t="shared" si="223"/>
        <v>0</v>
      </c>
      <c r="CG110" s="202">
        <v>2000</v>
      </c>
      <c r="CH110" s="202">
        <v>2.85</v>
      </c>
      <c r="CI110" s="202">
        <v>3.8</v>
      </c>
      <c r="CJ110" s="202" t="s">
        <v>434</v>
      </c>
      <c r="CK110" s="202">
        <v>0</v>
      </c>
      <c r="CL110" s="205">
        <f t="shared" si="224"/>
        <v>0</v>
      </c>
      <c r="CM110" s="202">
        <v>2000</v>
      </c>
      <c r="CN110" s="202">
        <v>2.85</v>
      </c>
      <c r="CO110" s="202">
        <v>3.8</v>
      </c>
      <c r="CP110" s="202" t="s">
        <v>434</v>
      </c>
      <c r="CQ110" s="202">
        <v>0</v>
      </c>
      <c r="CR110" s="205">
        <f t="shared" si="225"/>
        <v>0</v>
      </c>
      <c r="CS110" s="202">
        <v>2000</v>
      </c>
      <c r="CT110" s="202">
        <v>2.85</v>
      </c>
      <c r="CU110" s="202">
        <v>3.8</v>
      </c>
      <c r="CV110" s="202" t="s">
        <v>434</v>
      </c>
      <c r="CW110" s="202">
        <v>0</v>
      </c>
      <c r="CX110" s="205">
        <f t="shared" ref="CX110:CX111" si="229">IF(ISNUMBER(CW110),CW110*(CY110/CW$41+CZ110*(1+DA110/CW$28^0.3)),0)</f>
        <v>0</v>
      </c>
      <c r="CY110" s="202">
        <v>1500</v>
      </c>
      <c r="CZ110" s="202">
        <v>0.46</v>
      </c>
      <c r="DA110" s="202">
        <v>4</v>
      </c>
      <c r="DB110" s="202" t="s">
        <v>434</v>
      </c>
      <c r="DC110" s="202">
        <v>0</v>
      </c>
      <c r="DD110" s="205">
        <f t="shared" si="226"/>
        <v>0</v>
      </c>
      <c r="DE110" s="202">
        <v>2000</v>
      </c>
      <c r="DF110" s="202">
        <v>2.85</v>
      </c>
      <c r="DG110" s="202">
        <v>3.8</v>
      </c>
      <c r="DH110" s="202" t="s">
        <v>434</v>
      </c>
      <c r="DI110" s="202">
        <v>0</v>
      </c>
      <c r="DJ110" s="205">
        <f t="shared" si="227"/>
        <v>0</v>
      </c>
      <c r="DK110" s="202">
        <v>2000</v>
      </c>
      <c r="DL110" s="202">
        <v>2.85</v>
      </c>
      <c r="DM110" s="202">
        <v>3.8</v>
      </c>
      <c r="DN110" s="202" t="s">
        <v>434</v>
      </c>
      <c r="DO110" s="202">
        <v>0</v>
      </c>
      <c r="DP110" s="205">
        <f t="shared" si="228"/>
        <v>0</v>
      </c>
      <c r="DQ110" s="202">
        <v>2000</v>
      </c>
      <c r="DR110" s="202">
        <v>2.85</v>
      </c>
      <c r="DS110" s="202">
        <v>3.8</v>
      </c>
      <c r="DT110" s="202" t="s">
        <v>434</v>
      </c>
    </row>
    <row r="111" spans="2:124" x14ac:dyDescent="0.35">
      <c r="B111" s="201" t="s">
        <v>474</v>
      </c>
      <c r="C111" s="201"/>
      <c r="D111" s="201"/>
      <c r="E111" s="202">
        <v>0</v>
      </c>
      <c r="F111" s="205">
        <f>IF(ISNUMBER(E111),E111*(G111/E$41+H111*(1+I111/E$30^0.3)),0)</f>
        <v>0</v>
      </c>
      <c r="G111" s="202">
        <v>1000</v>
      </c>
      <c r="H111" s="202">
        <v>0.5</v>
      </c>
      <c r="I111" s="202"/>
      <c r="J111" s="202" t="s">
        <v>444</v>
      </c>
      <c r="K111" s="202">
        <v>0</v>
      </c>
      <c r="L111" s="205">
        <f>IF(ISNUMBER(K111),K111*(M111/K$41+N111*(1+O111/K$30^0.3)),0)</f>
        <v>0</v>
      </c>
      <c r="M111" s="202">
        <v>1000</v>
      </c>
      <c r="N111" s="202">
        <v>0.5</v>
      </c>
      <c r="O111" s="202"/>
      <c r="P111" s="202" t="s">
        <v>444</v>
      </c>
      <c r="Q111" s="202">
        <v>0</v>
      </c>
      <c r="R111" s="205">
        <f>IF(ISNUMBER(Q111),Q111*(S111/Q$41+T111*(1+U111/Q$30^0.3)),0)</f>
        <v>0</v>
      </c>
      <c r="S111" s="202">
        <v>1000</v>
      </c>
      <c r="T111" s="202">
        <v>0.5</v>
      </c>
      <c r="U111" s="202"/>
      <c r="V111" s="202" t="s">
        <v>444</v>
      </c>
      <c r="W111" s="202">
        <v>0</v>
      </c>
      <c r="X111" s="205">
        <f>IF(ISNUMBER(W111),W111*(Y111/W$41+Z111*(1+AA111/W$30^0.3)),0)</f>
        <v>0</v>
      </c>
      <c r="Y111" s="202">
        <v>1000</v>
      </c>
      <c r="Z111" s="202">
        <v>0.5</v>
      </c>
      <c r="AA111" s="202"/>
      <c r="AB111" s="202" t="s">
        <v>444</v>
      </c>
      <c r="AC111" s="202">
        <v>0</v>
      </c>
      <c r="AD111" s="205">
        <f>IF(ISNUMBER(AC111),AC111*(AE111/AC$41+AF111*(1+AG111/AC$30^0.3)),0)</f>
        <v>0</v>
      </c>
      <c r="AE111" s="202">
        <v>1000</v>
      </c>
      <c r="AF111" s="202">
        <v>0.5</v>
      </c>
      <c r="AG111" s="202"/>
      <c r="AH111" s="202" t="s">
        <v>444</v>
      </c>
      <c r="AI111" s="202">
        <v>0</v>
      </c>
      <c r="AJ111" s="205">
        <f>IF(ISNUMBER(AI111),AI111*(AK111/AI$41+AL111*(1+AM111/AI$30^0.3)),0)</f>
        <v>0</v>
      </c>
      <c r="AK111" s="202">
        <v>1000</v>
      </c>
      <c r="AL111" s="202">
        <v>0.5</v>
      </c>
      <c r="AM111" s="202"/>
      <c r="AN111" s="202" t="s">
        <v>444</v>
      </c>
      <c r="AO111" s="202">
        <v>0</v>
      </c>
      <c r="AP111" s="205">
        <f>IF(ISNUMBER(AO111),AO111*(AQ111/AO$41+AR111*(1+AS111/AO$30^0.3)),0)</f>
        <v>0</v>
      </c>
      <c r="AQ111" s="202">
        <v>1000</v>
      </c>
      <c r="AR111" s="202">
        <v>0.5</v>
      </c>
      <c r="AS111" s="202"/>
      <c r="AT111" s="202" t="s">
        <v>444</v>
      </c>
      <c r="AU111" s="202">
        <v>0</v>
      </c>
      <c r="AV111" s="205">
        <f>IF(ISNUMBER(AU111),AU111*(AW111/AU$41+AX111*(1+AY111/AU$30^0.3)),0)</f>
        <v>0</v>
      </c>
      <c r="AW111" s="202">
        <v>1000</v>
      </c>
      <c r="AX111" s="202">
        <v>0.5</v>
      </c>
      <c r="AY111" s="202"/>
      <c r="AZ111" s="202" t="s">
        <v>444</v>
      </c>
      <c r="BA111" s="202">
        <v>0</v>
      </c>
      <c r="BB111" s="205">
        <f>IF(ISNUMBER(BA111),BA111*(BC111/BA$41+BD111*(1+BE111/BA$30^0.3)),0)</f>
        <v>0</v>
      </c>
      <c r="BC111" s="202">
        <v>1000</v>
      </c>
      <c r="BD111" s="202">
        <v>0.5</v>
      </c>
      <c r="BE111" s="202"/>
      <c r="BF111" s="202" t="s">
        <v>444</v>
      </c>
      <c r="BG111" s="202">
        <v>0</v>
      </c>
      <c r="BH111" s="205">
        <f>IF(ISNUMBER(BG111),BG111*(BI111/BG$41+BJ111*(1+BK111/BG$30^0.3)),0)</f>
        <v>0</v>
      </c>
      <c r="BI111" s="202">
        <v>1000</v>
      </c>
      <c r="BJ111" s="202">
        <v>0.5</v>
      </c>
      <c r="BK111" s="202"/>
      <c r="BL111" s="202" t="s">
        <v>444</v>
      </c>
      <c r="BM111" s="202">
        <v>0</v>
      </c>
      <c r="BN111" s="205">
        <f>IF(ISNUMBER(BM111),BM111*(BO111/BM$41+BP111*(1+BQ111/BM$30^0.3)),0)</f>
        <v>0</v>
      </c>
      <c r="BO111" s="202">
        <v>1000</v>
      </c>
      <c r="BP111" s="202">
        <v>0.5</v>
      </c>
      <c r="BQ111" s="202"/>
      <c r="BR111" s="202" t="s">
        <v>444</v>
      </c>
      <c r="BS111" s="202">
        <v>0</v>
      </c>
      <c r="BT111" s="205">
        <f>IF(ISNUMBER(BS111),BS111*(BU111/BS$41+BV111*(1+BW111/BS$30^0.3)),0)</f>
        <v>0</v>
      </c>
      <c r="BU111" s="202">
        <v>1000</v>
      </c>
      <c r="BV111" s="202">
        <v>0.5</v>
      </c>
      <c r="BW111" s="202"/>
      <c r="BX111" s="202" t="s">
        <v>444</v>
      </c>
      <c r="BY111" s="202">
        <v>0</v>
      </c>
      <c r="BZ111" s="205">
        <f>IF(ISNUMBER(BY111),BY111*(CA111/BY$41+CB111*(1+CC111/BY$30^0.3)),0)</f>
        <v>0</v>
      </c>
      <c r="CA111" s="202">
        <v>1000</v>
      </c>
      <c r="CB111" s="202">
        <v>0.5</v>
      </c>
      <c r="CC111" s="202"/>
      <c r="CD111" s="202" t="s">
        <v>444</v>
      </c>
      <c r="CE111" s="202">
        <v>0</v>
      </c>
      <c r="CF111" s="205">
        <f>IF(ISNUMBER(CE111),CE111*(CG111/CE$41+CH111*(1+CI111/CE$30^0.3)),0)</f>
        <v>0</v>
      </c>
      <c r="CG111" s="202">
        <v>1000</v>
      </c>
      <c r="CH111" s="202">
        <v>0.5</v>
      </c>
      <c r="CI111" s="202"/>
      <c r="CJ111" s="202" t="s">
        <v>444</v>
      </c>
      <c r="CK111" s="202">
        <v>0</v>
      </c>
      <c r="CL111" s="205">
        <f>IF(ISNUMBER(CK111),CK111*(CM111/CK$41+CN111*(1+CO111/CK$30^0.3)),0)</f>
        <v>0</v>
      </c>
      <c r="CM111" s="202">
        <v>1000</v>
      </c>
      <c r="CN111" s="202">
        <v>0.5</v>
      </c>
      <c r="CO111" s="202"/>
      <c r="CP111" s="202" t="s">
        <v>444</v>
      </c>
      <c r="CQ111" s="202">
        <v>0</v>
      </c>
      <c r="CR111" s="205">
        <f>IF(ISNUMBER(CQ111),CQ111*(CS111/CQ$41+CT111*(1+CU111/CQ$30^0.3)),0)</f>
        <v>0</v>
      </c>
      <c r="CS111" s="202">
        <v>1000</v>
      </c>
      <c r="CT111" s="202">
        <v>0.5</v>
      </c>
      <c r="CU111" s="202"/>
      <c r="CV111" s="202" t="s">
        <v>444</v>
      </c>
      <c r="CW111" s="202">
        <v>0</v>
      </c>
      <c r="CX111" s="205">
        <f t="shared" si="229"/>
        <v>0</v>
      </c>
      <c r="CY111" s="202">
        <v>2000</v>
      </c>
      <c r="CZ111" s="202">
        <v>2.85</v>
      </c>
      <c r="DA111" s="202">
        <v>3.8</v>
      </c>
      <c r="DB111" s="202" t="s">
        <v>434</v>
      </c>
      <c r="DC111" s="202">
        <v>0</v>
      </c>
      <c r="DD111" s="205">
        <f>IF(ISNUMBER(DC111),DC111*(DE111/DC$41+DF111*(1+DG111/DC$30^0.3)),0)</f>
        <v>0</v>
      </c>
      <c r="DE111" s="202">
        <v>1000</v>
      </c>
      <c r="DF111" s="202">
        <v>0.5</v>
      </c>
      <c r="DG111" s="202"/>
      <c r="DH111" s="202" t="s">
        <v>444</v>
      </c>
      <c r="DI111" s="202">
        <v>0</v>
      </c>
      <c r="DJ111" s="205">
        <f>IF(ISNUMBER(DI111),DI111*(DK111/DI$41+DL111*(1+DM111/DI$30^0.3)),0)</f>
        <v>0</v>
      </c>
      <c r="DK111" s="202">
        <v>1000</v>
      </c>
      <c r="DL111" s="202">
        <v>0.5</v>
      </c>
      <c r="DM111" s="202"/>
      <c r="DN111" s="202" t="s">
        <v>444</v>
      </c>
      <c r="DO111" s="202">
        <v>0</v>
      </c>
      <c r="DP111" s="205">
        <f>IF(ISNUMBER(DO111),DO111*(DQ111/DO$41+DR111*(1+DS111/DO$30^0.3)),0)</f>
        <v>0</v>
      </c>
      <c r="DQ111" s="202">
        <v>1000</v>
      </c>
      <c r="DR111" s="202">
        <v>0.5</v>
      </c>
      <c r="DS111" s="202"/>
      <c r="DT111" s="202" t="s">
        <v>444</v>
      </c>
    </row>
    <row r="112" spans="2:124" x14ac:dyDescent="0.35">
      <c r="B112" s="203" t="s">
        <v>475</v>
      </c>
      <c r="C112" s="203"/>
      <c r="D112" s="201" t="s">
        <v>514</v>
      </c>
      <c r="E112" s="206">
        <v>1.5</v>
      </c>
      <c r="F112" s="204" t="s">
        <v>428</v>
      </c>
      <c r="G112" s="207" t="s">
        <v>476</v>
      </c>
      <c r="H112" s="333"/>
      <c r="I112" s="333"/>
      <c r="J112" s="333"/>
      <c r="K112" s="206">
        <v>1.5</v>
      </c>
      <c r="L112" s="204" t="s">
        <v>428</v>
      </c>
      <c r="M112" s="207" t="s">
        <v>476</v>
      </c>
      <c r="N112" s="14"/>
      <c r="O112" s="14"/>
      <c r="P112" s="14"/>
      <c r="Q112" s="206">
        <v>1.5</v>
      </c>
      <c r="R112" s="204" t="s">
        <v>428</v>
      </c>
      <c r="S112" s="207" t="s">
        <v>476</v>
      </c>
      <c r="T112" s="14"/>
      <c r="U112" s="14"/>
      <c r="V112" s="14"/>
      <c r="W112" s="206">
        <v>1.5</v>
      </c>
      <c r="X112" s="204" t="s">
        <v>428</v>
      </c>
      <c r="Y112" s="207" t="s">
        <v>476</v>
      </c>
      <c r="Z112" s="14"/>
      <c r="AA112" s="14"/>
      <c r="AB112" s="14"/>
      <c r="AC112" s="206">
        <v>1.5</v>
      </c>
      <c r="AD112" s="204" t="s">
        <v>428</v>
      </c>
      <c r="AE112" s="207" t="s">
        <v>476</v>
      </c>
      <c r="AF112" s="14"/>
      <c r="AG112" s="14"/>
      <c r="AH112" s="14"/>
      <c r="AI112" s="206">
        <v>1.5</v>
      </c>
      <c r="AJ112" s="204" t="s">
        <v>428</v>
      </c>
      <c r="AK112" s="207" t="s">
        <v>476</v>
      </c>
      <c r="AL112" s="14"/>
      <c r="AM112" s="14"/>
      <c r="AN112" s="14"/>
      <c r="AO112" s="206">
        <v>1.5</v>
      </c>
      <c r="AP112" s="204" t="s">
        <v>428</v>
      </c>
      <c r="AQ112" s="207" t="s">
        <v>476</v>
      </c>
      <c r="AR112" s="14"/>
      <c r="AS112" s="14"/>
      <c r="AT112" s="14"/>
      <c r="AU112" s="206">
        <v>1.5</v>
      </c>
      <c r="AV112" s="204" t="s">
        <v>428</v>
      </c>
      <c r="AW112" s="207" t="s">
        <v>476</v>
      </c>
      <c r="AX112" s="14"/>
      <c r="AY112" s="14"/>
      <c r="AZ112" s="14"/>
      <c r="BA112" s="206">
        <v>1.5</v>
      </c>
      <c r="BB112" s="204" t="s">
        <v>428</v>
      </c>
      <c r="BC112" s="207" t="s">
        <v>476</v>
      </c>
      <c r="BD112" s="14"/>
      <c r="BE112" s="14"/>
      <c r="BF112" s="14"/>
      <c r="BG112" s="206">
        <v>1.5</v>
      </c>
      <c r="BH112" s="204" t="s">
        <v>428</v>
      </c>
      <c r="BI112" s="207" t="s">
        <v>476</v>
      </c>
      <c r="BJ112" s="14"/>
      <c r="BK112" s="14"/>
      <c r="BL112" s="14"/>
      <c r="BM112" s="206">
        <v>1.5</v>
      </c>
      <c r="BN112" s="204" t="s">
        <v>428</v>
      </c>
      <c r="BO112" s="207" t="s">
        <v>476</v>
      </c>
      <c r="BP112" s="14"/>
      <c r="BQ112" s="14"/>
      <c r="BR112" s="14"/>
      <c r="BS112" s="206">
        <v>1.5</v>
      </c>
      <c r="BT112" s="204" t="s">
        <v>428</v>
      </c>
      <c r="BU112" s="207" t="s">
        <v>476</v>
      </c>
      <c r="BV112" s="14"/>
      <c r="BW112" s="14"/>
      <c r="BX112" s="14"/>
      <c r="BY112" s="206">
        <v>1.5</v>
      </c>
      <c r="BZ112" s="204" t="s">
        <v>428</v>
      </c>
      <c r="CA112" s="207" t="s">
        <v>476</v>
      </c>
      <c r="CB112" s="14"/>
      <c r="CC112" s="14"/>
      <c r="CD112" s="14"/>
      <c r="CE112" s="206">
        <v>1.5</v>
      </c>
      <c r="CF112" s="204" t="s">
        <v>428</v>
      </c>
      <c r="CG112" s="207" t="s">
        <v>476</v>
      </c>
      <c r="CH112" s="14"/>
      <c r="CI112" s="14"/>
      <c r="CJ112" s="14"/>
      <c r="CK112" s="206">
        <v>1.5</v>
      </c>
      <c r="CL112" s="204" t="s">
        <v>428</v>
      </c>
      <c r="CM112" s="207" t="s">
        <v>476</v>
      </c>
      <c r="CN112" s="14"/>
      <c r="CO112" s="14"/>
      <c r="CP112" s="14"/>
      <c r="CQ112" s="206">
        <v>1.5</v>
      </c>
      <c r="CR112" s="204" t="s">
        <v>428</v>
      </c>
      <c r="CS112" s="207" t="s">
        <v>476</v>
      </c>
      <c r="CT112" s="14"/>
      <c r="CU112" s="14"/>
      <c r="CV112" s="14"/>
      <c r="CW112" s="202">
        <v>0</v>
      </c>
      <c r="CX112" s="205">
        <f>IF(ISNUMBER(CW112),CW112*(CY112/CW$41+CZ112*(1+DA112/CW$30^0.3)),0)</f>
        <v>0</v>
      </c>
      <c r="CY112" s="202">
        <v>1000</v>
      </c>
      <c r="CZ112" s="202">
        <v>0.5</v>
      </c>
      <c r="DA112" s="202"/>
      <c r="DB112" s="202" t="s">
        <v>444</v>
      </c>
      <c r="DC112" s="206">
        <v>1.5</v>
      </c>
      <c r="DD112" s="204" t="s">
        <v>428</v>
      </c>
      <c r="DE112" s="207" t="s">
        <v>476</v>
      </c>
      <c r="DF112" s="14"/>
      <c r="DG112" s="14"/>
      <c r="DH112" s="14"/>
      <c r="DI112" s="206">
        <v>1.5</v>
      </c>
      <c r="DJ112" s="204" t="s">
        <v>428</v>
      </c>
      <c r="DK112" s="207" t="s">
        <v>476</v>
      </c>
      <c r="DL112" s="14"/>
      <c r="DM112" s="14"/>
      <c r="DN112" s="14"/>
      <c r="DO112" s="206">
        <v>1.5</v>
      </c>
      <c r="DP112" s="204" t="s">
        <v>428</v>
      </c>
      <c r="DQ112" s="207" t="s">
        <v>476</v>
      </c>
      <c r="DR112" s="421"/>
      <c r="DS112" s="421"/>
      <c r="DT112" s="421"/>
    </row>
    <row r="113" spans="2:124" ht="14.5" hidden="1" customHeight="1" x14ac:dyDescent="0.35">
      <c r="B113" s="203"/>
      <c r="C113" s="203"/>
      <c r="D113" s="201"/>
      <c r="E113" s="206">
        <f>E112*25.4</f>
        <v>38.099999999999994</v>
      </c>
      <c r="F113" s="204"/>
      <c r="G113" s="207"/>
      <c r="H113" s="333"/>
      <c r="I113" s="333"/>
      <c r="J113" s="333"/>
      <c r="K113" s="206">
        <f>K112*25.4</f>
        <v>38.099999999999994</v>
      </c>
      <c r="L113" s="204"/>
      <c r="M113" s="207"/>
      <c r="N113" s="14"/>
      <c r="O113" s="14"/>
      <c r="P113" s="14"/>
      <c r="Q113" s="206">
        <f>Q112*25.4</f>
        <v>38.099999999999994</v>
      </c>
      <c r="R113" s="204"/>
      <c r="S113" s="207"/>
      <c r="T113" s="14"/>
      <c r="U113" s="14"/>
      <c r="V113" s="14"/>
      <c r="W113" s="206">
        <f>W112*25.4</f>
        <v>38.099999999999994</v>
      </c>
      <c r="X113" s="204"/>
      <c r="Y113" s="207"/>
      <c r="Z113" s="14"/>
      <c r="AA113" s="14"/>
      <c r="AB113" s="14"/>
      <c r="AC113" s="206">
        <f>AC112*25.4</f>
        <v>38.099999999999994</v>
      </c>
      <c r="AD113" s="204"/>
      <c r="AE113" s="207"/>
      <c r="AF113" s="14"/>
      <c r="AG113" s="14"/>
      <c r="AH113" s="14"/>
      <c r="AI113" s="206">
        <f>AI112*25.4</f>
        <v>38.099999999999994</v>
      </c>
      <c r="AJ113" s="204"/>
      <c r="AK113" s="207"/>
      <c r="AL113" s="14"/>
      <c r="AM113" s="14"/>
      <c r="AN113" s="14"/>
      <c r="AO113" s="206">
        <f>AO112*25.4</f>
        <v>38.099999999999994</v>
      </c>
      <c r="AP113" s="204"/>
      <c r="AQ113" s="207"/>
      <c r="AR113" s="14"/>
      <c r="AS113" s="14"/>
      <c r="AT113" s="14"/>
      <c r="AU113" s="206">
        <f>AU112*25.4</f>
        <v>38.099999999999994</v>
      </c>
      <c r="AV113" s="204"/>
      <c r="AW113" s="207"/>
      <c r="AX113" s="14"/>
      <c r="AY113" s="14"/>
      <c r="AZ113" s="14"/>
      <c r="BA113" s="206">
        <f>BA112*25.4</f>
        <v>38.099999999999994</v>
      </c>
      <c r="BB113" s="204"/>
      <c r="BC113" s="207"/>
      <c r="BD113" s="14"/>
      <c r="BE113" s="14"/>
      <c r="BF113" s="14"/>
      <c r="BG113" s="206">
        <f>BG112*25.4</f>
        <v>38.099999999999994</v>
      </c>
      <c r="BH113" s="204"/>
      <c r="BI113" s="207"/>
      <c r="BJ113" s="14"/>
      <c r="BK113" s="14"/>
      <c r="BL113" s="14"/>
      <c r="BM113" s="206">
        <f>BM112*25.4</f>
        <v>38.099999999999994</v>
      </c>
      <c r="BN113" s="204"/>
      <c r="BO113" s="207"/>
      <c r="BP113" s="14"/>
      <c r="BQ113" s="14"/>
      <c r="BR113" s="14"/>
      <c r="BS113" s="206">
        <f>BS112*25.4</f>
        <v>38.099999999999994</v>
      </c>
      <c r="BT113" s="204"/>
      <c r="BU113" s="207"/>
      <c r="BV113" s="14"/>
      <c r="BW113" s="14"/>
      <c r="BX113" s="14"/>
      <c r="BY113" s="206">
        <f>BY112*25.4</f>
        <v>38.099999999999994</v>
      </c>
      <c r="BZ113" s="204"/>
      <c r="CA113" s="207"/>
      <c r="CB113" s="14"/>
      <c r="CC113" s="14"/>
      <c r="CD113" s="14"/>
      <c r="CE113" s="206">
        <f>CE112*25.4</f>
        <v>38.099999999999994</v>
      </c>
      <c r="CF113" s="204"/>
      <c r="CG113" s="207"/>
      <c r="CH113" s="14"/>
      <c r="CI113" s="14"/>
      <c r="CJ113" s="14"/>
      <c r="CK113" s="206">
        <f>CK112*25.4</f>
        <v>38.099999999999994</v>
      </c>
      <c r="CL113" s="204"/>
      <c r="CM113" s="207"/>
      <c r="CN113" s="14"/>
      <c r="CO113" s="14"/>
      <c r="CP113" s="14"/>
      <c r="CQ113" s="206">
        <f>CQ112*25.4</f>
        <v>38.099999999999994</v>
      </c>
      <c r="CR113" s="204"/>
      <c r="CS113" s="207"/>
      <c r="CT113" s="14"/>
      <c r="CU113" s="14"/>
      <c r="CV113" s="14"/>
      <c r="CW113" s="206">
        <v>1.5</v>
      </c>
      <c r="CX113" s="204" t="s">
        <v>428</v>
      </c>
      <c r="CY113" s="207" t="s">
        <v>476</v>
      </c>
      <c r="CZ113" s="14"/>
      <c r="DA113" s="14"/>
      <c r="DB113" s="14"/>
      <c r="DC113" s="206">
        <f>DC112*25.4</f>
        <v>38.099999999999994</v>
      </c>
      <c r="DD113" s="204"/>
      <c r="DE113" s="207"/>
      <c r="DF113" s="14"/>
      <c r="DG113" s="14"/>
      <c r="DH113" s="14"/>
      <c r="DI113" s="206">
        <f>DI112*25.4</f>
        <v>38.099999999999994</v>
      </c>
      <c r="DJ113" s="204"/>
      <c r="DK113" s="207"/>
      <c r="DL113" s="14"/>
      <c r="DM113" s="14"/>
      <c r="DN113" s="14"/>
      <c r="DO113" s="206">
        <f>DO112*25.4</f>
        <v>38.099999999999994</v>
      </c>
      <c r="DP113" s="204"/>
      <c r="DQ113" s="207"/>
      <c r="DR113" s="421"/>
      <c r="DS113" s="421"/>
      <c r="DT113" s="421"/>
    </row>
    <row r="114" spans="2:124" x14ac:dyDescent="0.35">
      <c r="B114" s="208" t="s">
        <v>477</v>
      </c>
      <c r="C114" s="13"/>
      <c r="D114" s="13"/>
      <c r="E114" s="201"/>
      <c r="F114" s="201"/>
      <c r="G114" s="201"/>
      <c r="H114" s="333"/>
      <c r="I114" s="333"/>
      <c r="J114" s="333"/>
      <c r="K114" s="201"/>
      <c r="L114" s="201"/>
      <c r="M114" s="201"/>
      <c r="N114" s="14"/>
      <c r="O114" s="14"/>
      <c r="P114" s="14"/>
      <c r="Q114" s="201"/>
      <c r="R114" s="201"/>
      <c r="S114" s="201"/>
      <c r="T114" s="14"/>
      <c r="U114" s="14"/>
      <c r="V114" s="14"/>
      <c r="W114" s="201"/>
      <c r="X114" s="201"/>
      <c r="Y114" s="201"/>
      <c r="Z114" s="14"/>
      <c r="AA114" s="14"/>
      <c r="AB114" s="14"/>
      <c r="AC114" s="201"/>
      <c r="AD114" s="201"/>
      <c r="AE114" s="201"/>
      <c r="AF114" s="14"/>
      <c r="AG114" s="14"/>
      <c r="AH114" s="14"/>
      <c r="AI114" s="201"/>
      <c r="AJ114" s="201"/>
      <c r="AK114" s="201"/>
      <c r="AL114" s="14"/>
      <c r="AM114" s="14"/>
      <c r="AN114" s="14"/>
      <c r="AO114" s="201"/>
      <c r="AP114" s="201"/>
      <c r="AQ114" s="201"/>
      <c r="AR114" s="14"/>
      <c r="AS114" s="14"/>
      <c r="AT114" s="14"/>
      <c r="AU114" s="201"/>
      <c r="AV114" s="201"/>
      <c r="AW114" s="201"/>
      <c r="AX114" s="14"/>
      <c r="AY114" s="14"/>
      <c r="AZ114" s="14"/>
      <c r="BA114" s="201"/>
      <c r="BB114" s="201"/>
      <c r="BC114" s="201"/>
      <c r="BD114" s="14"/>
      <c r="BE114" s="14"/>
      <c r="BF114" s="14"/>
      <c r="BG114" s="201"/>
      <c r="BH114" s="201"/>
      <c r="BI114" s="201"/>
      <c r="BJ114" s="14"/>
      <c r="BK114" s="14"/>
      <c r="BL114" s="14"/>
      <c r="BM114" s="201"/>
      <c r="BN114" s="201"/>
      <c r="BO114" s="201"/>
      <c r="BP114" s="14"/>
      <c r="BQ114" s="14"/>
      <c r="BR114" s="14"/>
      <c r="BS114" s="201"/>
      <c r="BT114" s="201"/>
      <c r="BU114" s="201"/>
      <c r="BV114" s="14"/>
      <c r="BW114" s="14"/>
      <c r="BX114" s="14"/>
      <c r="BY114" s="201"/>
      <c r="BZ114" s="201"/>
      <c r="CA114" s="201"/>
      <c r="CB114" s="14"/>
      <c r="CC114" s="14"/>
      <c r="CD114" s="14"/>
      <c r="CE114" s="201"/>
      <c r="CF114" s="201"/>
      <c r="CG114" s="201"/>
      <c r="CH114" s="14"/>
      <c r="CI114" s="14"/>
      <c r="CJ114" s="14"/>
      <c r="CK114" s="201"/>
      <c r="CL114" s="201"/>
      <c r="CM114" s="201"/>
      <c r="CN114" s="14"/>
      <c r="CO114" s="14"/>
      <c r="CP114" s="14"/>
      <c r="CQ114" s="201"/>
      <c r="CR114" s="201"/>
      <c r="CS114" s="201"/>
      <c r="CT114" s="14"/>
      <c r="CU114" s="14"/>
      <c r="CV114" s="14"/>
      <c r="CW114" s="206">
        <f>CW113*25.4</f>
        <v>38.099999999999994</v>
      </c>
      <c r="CX114" s="204"/>
      <c r="CY114" s="207"/>
      <c r="CZ114" s="14"/>
      <c r="DA114" s="14"/>
      <c r="DB114" s="14"/>
      <c r="DC114" s="201"/>
      <c r="DD114" s="201"/>
      <c r="DE114" s="201"/>
      <c r="DF114" s="14"/>
      <c r="DG114" s="14"/>
      <c r="DH114" s="14"/>
      <c r="DI114" s="201"/>
      <c r="DJ114" s="201"/>
      <c r="DK114" s="201"/>
      <c r="DL114" s="14"/>
      <c r="DM114" s="14"/>
      <c r="DN114" s="14"/>
      <c r="DO114" s="201"/>
      <c r="DP114" s="201"/>
      <c r="DQ114" s="201"/>
      <c r="DR114" s="421"/>
      <c r="DS114" s="421"/>
      <c r="DT114" s="421"/>
    </row>
    <row r="115" spans="2:124" x14ac:dyDescent="0.35">
      <c r="B115" s="201"/>
      <c r="C115" s="13"/>
      <c r="D115" s="201" t="s">
        <v>478</v>
      </c>
      <c r="E115" s="202">
        <v>0</v>
      </c>
      <c r="F115" s="209">
        <f>IF(AND(ISNUMBER(E113),ISNUMBER(E115)),E115*G115,0)</f>
        <v>0</v>
      </c>
      <c r="G115" s="209">
        <f>IF(E113=0,0,( IF(E$41&lt;=2500,(1.2+160/E$41)*(((E$30*25.4)/E$113)^4-1),(0.6+0.48*E$50)*((E$30*25.4)/E$113)^2*(((E$30*25.4)/E$113)^2-1))))</f>
        <v>152.43706822319311</v>
      </c>
      <c r="H115" s="333"/>
      <c r="I115" s="333"/>
      <c r="J115" s="333"/>
      <c r="K115" s="202">
        <v>0</v>
      </c>
      <c r="L115" s="209">
        <f>IF(AND(ISNUMBER(K113),ISNUMBER(K115)),K115*M115,0)</f>
        <v>0</v>
      </c>
      <c r="M115" s="209">
        <f>IF(K113=0,0,( IF(K$41&lt;=2500,(1.2+160/K$41)*(((K$30*25.4)/K$113)^4-1),(0.6+0.48*K$50)*((K$30*25.4)/K$113)^2*(((K$30*25.4)/K$113)^2-1))))</f>
        <v>152.43707279098285</v>
      </c>
      <c r="N115" s="14"/>
      <c r="O115" s="14"/>
      <c r="P115" s="14"/>
      <c r="Q115" s="202">
        <v>0</v>
      </c>
      <c r="R115" s="209">
        <f>IF(AND(ISNUMBER(Q113),ISNUMBER(Q115)),Q115*S115,0)</f>
        <v>0</v>
      </c>
      <c r="S115" s="209">
        <f>IF(Q113=0,0,( IF(Q$41&lt;=2500,(1.2+160/Q$41)*(((Q$30*25.4)/Q$113)^4-1),(0.6+0.48*Q$50)*((Q$30*25.4)/Q$113)^2*(((Q$30*25.4)/Q$113)^2-1))))</f>
        <v>152.43707279098285</v>
      </c>
      <c r="T115" s="14"/>
      <c r="U115" s="14"/>
      <c r="V115" s="14"/>
      <c r="W115" s="202">
        <v>0</v>
      </c>
      <c r="X115" s="209">
        <f>IF(AND(ISNUMBER(W113),ISNUMBER(W115)),W115*Y115,0)</f>
        <v>0</v>
      </c>
      <c r="Y115" s="209">
        <f>IF(W113=0,0,( IF(W$41&lt;=2500,(1.2+160/W$41)*(((W$30*25.4)/W$113)^4-1),(0.6+0.48*W$50)*((W$30*25.4)/W$113)^2*(((W$30*25.4)/W$113)^2-1))))</f>
        <v>152.39989882144468</v>
      </c>
      <c r="Z115" s="14"/>
      <c r="AA115" s="14"/>
      <c r="AB115" s="14"/>
      <c r="AC115" s="202">
        <v>0</v>
      </c>
      <c r="AD115" s="209">
        <f>IF(AND(ISNUMBER(AC113),ISNUMBER(AC115)),AC115*AE115,0)</f>
        <v>0</v>
      </c>
      <c r="AE115" s="209">
        <f>IF(AC113=0,0,( IF(AC$41&lt;=2500,(1.2+160/AC$41)*(((AC$30*25.4)/AC$113)^4-1),(0.6+0.48*AC$50)*((AC$30*25.4)/AC$113)^2*(((AC$30*25.4)/AC$113)^2-1))))</f>
        <v>27.168764568477467</v>
      </c>
      <c r="AF115" s="14"/>
      <c r="AG115" s="14"/>
      <c r="AH115" s="14"/>
      <c r="AI115" s="202">
        <v>0</v>
      </c>
      <c r="AJ115" s="209">
        <f>IF(AND(ISNUMBER(AI113),ISNUMBER(AI115)),AI115*AK115,0)</f>
        <v>0</v>
      </c>
      <c r="AK115" s="209">
        <f>IF(AI113=0,0,( IF(AI$41&lt;=2500,(1.2+160/AI$41)*(((AI$30*25.4)/AI$113)^4-1),(0.6+0.48*AI$50)*((AI$30*25.4)/AI$113)^2*(((AI$30*25.4)/AI$113)^2-1))))</f>
        <v>27.168764568477467</v>
      </c>
      <c r="AL115" s="14"/>
      <c r="AM115" s="14"/>
      <c r="AN115" s="14"/>
      <c r="AO115" s="202">
        <v>0</v>
      </c>
      <c r="AP115" s="209">
        <f>IF(AND(ISNUMBER(AO113),ISNUMBER(AO115)),AO115*AQ115,0)</f>
        <v>0</v>
      </c>
      <c r="AQ115" s="209">
        <f>IF(AO113=0,0,( IF(AO$41&lt;=2500,(1.2+160/AO$41)*(((AO$30*25.4)/AO$113)^4-1),(0.6+0.48*AO$50)*((AO$30*25.4)/AO$113)^2*(((AO$30*25.4)/AO$113)^2-1))))</f>
        <v>27.168764568477467</v>
      </c>
      <c r="AR115" s="14"/>
      <c r="AS115" s="14"/>
      <c r="AT115" s="14"/>
      <c r="AU115" s="202">
        <v>0</v>
      </c>
      <c r="AV115" s="209">
        <f>IF(AND(ISNUMBER(AU113),ISNUMBER(AU115)),AU115*AW115,0)</f>
        <v>0</v>
      </c>
      <c r="AW115" s="209">
        <f>IF(AU113=0,0,( IF(AU$41&lt;=2500,(1.2+160/AU$41)*(((AU$30*25.4)/AU$113)^4-1),(0.6+0.48*AU$50)*((AU$30*25.4)/AU$113)^2*(((AU$30*25.4)/AU$113)^2-1))))</f>
        <v>27.168765794047651</v>
      </c>
      <c r="AX115" s="14"/>
      <c r="AY115" s="14"/>
      <c r="AZ115" s="14"/>
      <c r="BA115" s="202">
        <v>0</v>
      </c>
      <c r="BB115" s="209">
        <f>IF(AND(ISNUMBER(BA113),ISNUMBER(BA115)),BA115*BC115,0)</f>
        <v>0</v>
      </c>
      <c r="BC115" s="209">
        <f>IF(BA113=0,0,( IF(BA$41&lt;=2500,(1.2+160/BA$41)*(((BA$30*25.4)/BA$113)^4-1),(0.6+0.48*BA$50)*((BA$30*25.4)/BA$113)^2*(((BA$30*25.4)/BA$113)^2-1))))</f>
        <v>27.168765794047651</v>
      </c>
      <c r="BD115" s="14"/>
      <c r="BE115" s="14"/>
      <c r="BF115" s="14"/>
      <c r="BG115" s="202">
        <v>0</v>
      </c>
      <c r="BH115" s="209">
        <f>IF(AND(ISNUMBER(BG113),ISNUMBER(BG115)),BG115*BI115,0)</f>
        <v>0</v>
      </c>
      <c r="BI115" s="209">
        <f>IF(BG113=0,0,( IF(BG$41&lt;=2500,(1.2+160/BG$41)*(((BG$30*25.4)/BG$113)^4-1),(0.6+0.48*BG$50)*((BG$30*25.4)/BG$113)^2*(((BG$30*25.4)/BG$113)^2-1))))</f>
        <v>27.168765794047651</v>
      </c>
      <c r="BJ115" s="14"/>
      <c r="BK115" s="14"/>
      <c r="BL115" s="14"/>
      <c r="BM115" s="202">
        <v>0</v>
      </c>
      <c r="BN115" s="209">
        <f>IF(AND(ISNUMBER(BM113),ISNUMBER(BM115)),BM115*BO115,0)</f>
        <v>0</v>
      </c>
      <c r="BO115" s="209">
        <f>IF(BM113=0,0,( IF(BM$41&lt;=2500,(1.2+160/BM$41)*(((BM$30*25.4)/BM$113)^4-1),(0.6+0.48*BM$50)*((BM$30*25.4)/BM$113)^2*(((BM$30*25.4)/BM$113)^2-1))))</f>
        <v>469.68961246826336</v>
      </c>
      <c r="BP115" s="14"/>
      <c r="BQ115" s="14"/>
      <c r="BR115" s="14"/>
      <c r="BS115" s="202">
        <v>0</v>
      </c>
      <c r="BT115" s="209">
        <f>IF(AND(ISNUMBER(BS113),ISNUMBER(BS115)),BS115*BU115,0)</f>
        <v>0</v>
      </c>
      <c r="BU115" s="209">
        <f>IF(BS113=0,0,( IF(BS$41&lt;=2500,(1.2+160/BS$41)*(((BS$30*25.4)/BS$113)^4-1),(0.6+0.48*BS$50)*((BS$30*25.4)/BS$113)^2*(((BS$30*25.4)/BS$113)^2-1))))</f>
        <v>469.56784025287652</v>
      </c>
      <c r="BV115" s="14"/>
      <c r="BW115" s="14"/>
      <c r="BX115" s="14"/>
      <c r="BY115" s="202">
        <v>0</v>
      </c>
      <c r="BZ115" s="209">
        <f>IF(AND(ISNUMBER(BY113),ISNUMBER(BY115)),BY115*CA115,0)</f>
        <v>0</v>
      </c>
      <c r="CA115" s="209">
        <f>IF(BY113=0,0,( IF(BY$41&lt;=2500,(1.2+160/BY$41)*(((BY$30*25.4)/BY$113)^4-1),(0.6+0.48*BY$50)*((BY$30*25.4)/BY$113)^2*(((BY$30*25.4)/BY$113)^2-1))))</f>
        <v>27.17371152138286</v>
      </c>
      <c r="CB115" s="14"/>
      <c r="CC115" s="14"/>
      <c r="CD115" s="14"/>
      <c r="CE115" s="202">
        <v>0</v>
      </c>
      <c r="CF115" s="209">
        <f>IF(AND(ISNUMBER(CE113),ISNUMBER(CE115)),CE115*CG115,0)</f>
        <v>0</v>
      </c>
      <c r="CG115" s="209">
        <f>IF(CE113=0,0,( IF(CE$41&lt;=2500,(1.2+160/CE$41)*(((CE$30*25.4)/CE$113)^4-1),(0.6+0.48*CE$50)*((CE$30*25.4)/CE$113)^2*(((CE$30*25.4)/CE$113)^2-1))))</f>
        <v>27.17371152138286</v>
      </c>
      <c r="CH115" s="14"/>
      <c r="CI115" s="14"/>
      <c r="CJ115" s="14"/>
      <c r="CK115" s="202">
        <v>0</v>
      </c>
      <c r="CL115" s="209">
        <f>IF(AND(ISNUMBER(CK113),ISNUMBER(CK115)),CK115*CM115,0)</f>
        <v>0</v>
      </c>
      <c r="CM115" s="209">
        <f>IF(CK113=0,0,( IF(CK$41&lt;=2500,(1.2+160/CK$41)*(((CK$30*25.4)/CK$113)^4-1),(0.6+0.48*CK$50)*((CK$30*25.4)/CK$113)^2*(((CK$30*25.4)/CK$113)^2-1))))</f>
        <v>6.2287724506230449</v>
      </c>
      <c r="CN115" s="14"/>
      <c r="CO115" s="14"/>
      <c r="CP115" s="14"/>
      <c r="CQ115" s="202">
        <v>0</v>
      </c>
      <c r="CR115" s="209">
        <f>IF(AND(ISNUMBER(CQ113),ISNUMBER(CQ115)),CQ115*CS115,0)</f>
        <v>0</v>
      </c>
      <c r="CS115" s="209">
        <f>IF(CQ113=0,0,( IF(CQ$41&lt;=2500,(1.2+160/CQ$41)*(((CQ$30*25.4)/CQ$113)^4-1),(0.6+0.48*CQ$50)*((CQ$30*25.4)/CQ$113)^2*(((CQ$30*25.4)/CQ$113)^2-1))))</f>
        <v>6.2287724506230449</v>
      </c>
      <c r="CT115" s="14"/>
      <c r="CU115" s="14"/>
      <c r="CV115" s="14"/>
      <c r="CW115" s="201"/>
      <c r="CX115" s="323"/>
      <c r="CY115" s="323"/>
      <c r="CZ115" s="322"/>
      <c r="DA115" s="322"/>
      <c r="DB115" s="322"/>
      <c r="DC115" s="324">
        <v>0</v>
      </c>
      <c r="DD115" s="325">
        <f>IF(AND(ISNUMBER(DC113),ISNUMBER(DC115)),DC115*DE115,0)</f>
        <v>0</v>
      </c>
      <c r="DE115" s="325">
        <f>IF(DC113=0,0,( IF(DC$41&lt;=2500,(1.2+160/DC$41)*(((DC$30*25.4)/DC$113)^4-1),(0.6+0.48*DC$50)*((DC$30*25.4)/DC$113)^2*(((DC$30*25.4)/DC$113)^2-1))))</f>
        <v>6.2287724506230449</v>
      </c>
      <c r="DF115" s="322"/>
      <c r="DG115" s="322"/>
      <c r="DH115" s="322"/>
      <c r="DI115" s="324">
        <v>0</v>
      </c>
      <c r="DJ115" s="325">
        <f>IF(AND(ISNUMBER(DI113),ISNUMBER(DI115)),DI115*DK115,0)</f>
        <v>0</v>
      </c>
      <c r="DK115" s="325">
        <f>IF(DI113=0,0,( IF(DI$41&lt;=2500,(1.2+160/DI$41)*(((DI$30*25.4)/DI$113)^4-1),(0.6+0.48*DI$50)*((DI$30*25.4)/DI$113)^2*(((DI$30*25.4)/DI$113)^2-1))))</f>
        <v>6.2287724506230449</v>
      </c>
      <c r="DL115" s="322"/>
      <c r="DM115" s="322"/>
      <c r="DN115" s="322"/>
      <c r="DO115" s="324">
        <v>0</v>
      </c>
      <c r="DP115" s="325">
        <f>IF(AND(ISNUMBER(DO113),ISNUMBER(DO115)),DO115*DQ115,0)</f>
        <v>0</v>
      </c>
      <c r="DQ115" s="325">
        <f>IF(DO113=0,0,( IF(DO$41&lt;=2500,(1.2+160/DO$41)*(((DO$30*25.4)/DO$113)^4-1),(0.6+0.48*DO$50)*((DO$30*25.4)/DO$113)^2*(((DO$30*25.4)/DO$113)^2-1))))</f>
        <v>-1.6729299265482722</v>
      </c>
      <c r="DR115" s="429"/>
      <c r="DS115" s="429"/>
      <c r="DT115" s="429"/>
    </row>
    <row r="116" spans="2:124" x14ac:dyDescent="0.35">
      <c r="B116" s="201"/>
      <c r="C116" s="13"/>
      <c r="D116" s="13"/>
      <c r="E116" s="201"/>
      <c r="F116" s="201"/>
      <c r="G116" s="205"/>
      <c r="H116" s="333"/>
      <c r="I116" s="333"/>
      <c r="J116" s="333"/>
      <c r="K116" s="201"/>
      <c r="L116" s="201"/>
      <c r="M116" s="205"/>
      <c r="N116" s="14"/>
      <c r="O116" s="14"/>
      <c r="P116" s="14"/>
      <c r="Q116" s="201"/>
      <c r="R116" s="201"/>
      <c r="S116" s="205"/>
      <c r="T116" s="14"/>
      <c r="U116" s="14"/>
      <c r="V116" s="14"/>
      <c r="W116" s="201"/>
      <c r="X116" s="201"/>
      <c r="Y116" s="205"/>
      <c r="Z116" s="14"/>
      <c r="AA116" s="14"/>
      <c r="AB116" s="14"/>
      <c r="AC116" s="201"/>
      <c r="AD116" s="201"/>
      <c r="AE116" s="205"/>
      <c r="AF116" s="14"/>
      <c r="AG116" s="14"/>
      <c r="AH116" s="14"/>
      <c r="AI116" s="201"/>
      <c r="AJ116" s="201"/>
      <c r="AK116" s="205"/>
      <c r="AL116" s="14"/>
      <c r="AM116" s="14"/>
      <c r="AN116" s="14"/>
      <c r="AO116" s="201"/>
      <c r="AP116" s="201"/>
      <c r="AQ116" s="205"/>
      <c r="AR116" s="14"/>
      <c r="AS116" s="14"/>
      <c r="AT116" s="14"/>
      <c r="AU116" s="201"/>
      <c r="AV116" s="201"/>
      <c r="AW116" s="205"/>
      <c r="AX116" s="14"/>
      <c r="AY116" s="14"/>
      <c r="AZ116" s="14"/>
      <c r="BA116" s="201"/>
      <c r="BB116" s="201"/>
      <c r="BC116" s="205"/>
      <c r="BD116" s="14"/>
      <c r="BE116" s="14"/>
      <c r="BF116" s="14"/>
      <c r="BG116" s="201"/>
      <c r="BH116" s="201"/>
      <c r="BI116" s="205"/>
      <c r="BJ116" s="14"/>
      <c r="BK116" s="14"/>
      <c r="BL116" s="14"/>
      <c r="BM116" s="201"/>
      <c r="BN116" s="201"/>
      <c r="BO116" s="205"/>
      <c r="BP116" s="14"/>
      <c r="BQ116" s="14"/>
      <c r="BR116" s="14"/>
      <c r="BS116" s="201"/>
      <c r="BT116" s="201"/>
      <c r="BU116" s="205"/>
      <c r="BV116" s="14"/>
      <c r="BW116" s="14"/>
      <c r="BX116" s="14"/>
      <c r="BY116" s="201"/>
      <c r="BZ116" s="201"/>
      <c r="CA116" s="205"/>
      <c r="CB116" s="14"/>
      <c r="CC116" s="14"/>
      <c r="CD116" s="14"/>
      <c r="CE116" s="201"/>
      <c r="CF116" s="201"/>
      <c r="CG116" s="205"/>
      <c r="CH116" s="14"/>
      <c r="CI116" s="14"/>
      <c r="CJ116" s="14"/>
      <c r="CK116" s="201"/>
      <c r="CL116" s="201"/>
      <c r="CM116" s="205"/>
      <c r="CN116" s="14"/>
      <c r="CO116" s="14"/>
      <c r="CP116" s="14"/>
      <c r="CQ116" s="201"/>
      <c r="CR116" s="201"/>
      <c r="CS116" s="205"/>
      <c r="CT116" s="14"/>
      <c r="CU116" s="14"/>
      <c r="CV116" s="14"/>
      <c r="CW116" s="202">
        <v>0</v>
      </c>
      <c r="CX116" s="209">
        <f>IF(AND(ISNUMBER(CW114),ISNUMBER(CW116)),CW116*CY116,0)</f>
        <v>0</v>
      </c>
      <c r="CY116" s="209">
        <f>IF(CW114=0,0,( IF(CW$41&lt;=2500,(1.2+160/CW$41)*(((CW$30*25.4)/CW$113)^4-1),(0.6+0.48*CW$50)*((CW$30*25.4)/CW$113)^2*(((CW$30*25.4)/CW$113)^2-1))))</f>
        <v>3538119.3814322338</v>
      </c>
      <c r="CZ116" s="14"/>
      <c r="DA116" s="14"/>
      <c r="DB116" s="14"/>
      <c r="DC116" s="201"/>
      <c r="DD116" s="201"/>
      <c r="DE116" s="205"/>
      <c r="DF116" s="14"/>
      <c r="DG116" s="14"/>
      <c r="DH116" s="14"/>
      <c r="DI116" s="201"/>
      <c r="DJ116" s="201"/>
      <c r="DK116" s="205"/>
      <c r="DL116" s="14"/>
      <c r="DM116" s="14"/>
      <c r="DN116" s="14"/>
      <c r="DO116" s="201"/>
      <c r="DP116" s="201"/>
      <c r="DQ116" s="205"/>
      <c r="DR116" s="421"/>
      <c r="DS116" s="421"/>
      <c r="DT116" s="421"/>
    </row>
    <row r="117" spans="2:124" x14ac:dyDescent="0.35">
      <c r="B117" s="201"/>
      <c r="C117" s="13"/>
      <c r="D117" s="13"/>
      <c r="E117" s="201"/>
      <c r="F117" s="201"/>
      <c r="G117" s="205"/>
      <c r="H117" s="14"/>
      <c r="I117" s="14"/>
      <c r="J117" s="14"/>
      <c r="K117" s="201"/>
      <c r="L117" s="201"/>
      <c r="M117" s="205"/>
      <c r="N117" s="14"/>
      <c r="O117" s="14"/>
      <c r="P117" s="14"/>
      <c r="Q117" s="201"/>
      <c r="R117" s="201"/>
      <c r="S117" s="205"/>
      <c r="T117" s="14"/>
      <c r="U117" s="14"/>
      <c r="V117" s="14"/>
      <c r="W117" s="201"/>
      <c r="X117" s="201"/>
      <c r="Y117" s="205"/>
      <c r="Z117" s="14"/>
      <c r="AA117" s="14"/>
      <c r="AB117" s="14"/>
      <c r="AC117" s="201"/>
      <c r="AD117" s="201"/>
      <c r="AE117" s="205"/>
      <c r="AF117" s="14"/>
      <c r="AG117" s="14"/>
      <c r="AH117" s="14"/>
      <c r="AI117" s="201"/>
      <c r="AJ117" s="201"/>
      <c r="AK117" s="205"/>
      <c r="AL117" s="14"/>
      <c r="AM117" s="14"/>
      <c r="AN117" s="14"/>
      <c r="AO117" s="201"/>
      <c r="AP117" s="201"/>
      <c r="AQ117" s="205"/>
      <c r="AR117" s="14"/>
      <c r="AS117" s="14"/>
      <c r="AT117" s="14"/>
      <c r="AU117" s="201"/>
      <c r="AV117" s="201"/>
      <c r="AW117" s="205"/>
      <c r="AX117" s="14"/>
      <c r="AY117" s="14"/>
      <c r="AZ117" s="14"/>
      <c r="BA117" s="201"/>
      <c r="BB117" s="201"/>
      <c r="BC117" s="205"/>
      <c r="BD117" s="14"/>
      <c r="BE117" s="14"/>
      <c r="BF117" s="14"/>
      <c r="BG117" s="201"/>
      <c r="BH117" s="201"/>
      <c r="BI117" s="205"/>
      <c r="BJ117" s="14"/>
      <c r="BK117" s="14"/>
      <c r="BL117" s="14"/>
      <c r="BM117" s="201"/>
      <c r="BN117" s="201"/>
      <c r="BO117" s="205"/>
      <c r="BP117" s="14"/>
      <c r="BQ117" s="14"/>
      <c r="BR117" s="14"/>
      <c r="BS117" s="201"/>
      <c r="BT117" s="201"/>
      <c r="BU117" s="205"/>
      <c r="BV117" s="14"/>
      <c r="BW117" s="14"/>
      <c r="BX117" s="14"/>
      <c r="BY117" s="201"/>
      <c r="BZ117" s="201"/>
      <c r="CA117" s="205"/>
      <c r="CB117" s="14"/>
      <c r="CC117" s="14"/>
      <c r="CD117" s="14"/>
      <c r="CE117" s="201"/>
      <c r="CF117" s="201"/>
      <c r="CG117" s="205"/>
      <c r="CH117" s="14"/>
      <c r="CI117" s="14"/>
      <c r="CJ117" s="14"/>
      <c r="CK117" s="201"/>
      <c r="CL117" s="201"/>
      <c r="CM117" s="205"/>
      <c r="CN117" s="14"/>
      <c r="CO117" s="14"/>
      <c r="CP117" s="14"/>
      <c r="CQ117" s="201"/>
      <c r="CR117" s="201"/>
      <c r="CS117" s="205"/>
      <c r="CT117" s="14"/>
      <c r="CU117" s="14"/>
      <c r="CV117" s="14"/>
      <c r="CW117" s="201"/>
      <c r="CX117" s="201"/>
      <c r="CY117" s="205"/>
      <c r="CZ117" s="14"/>
      <c r="DA117" s="14"/>
      <c r="DB117" s="14"/>
      <c r="DC117" s="201"/>
      <c r="DD117" s="201"/>
      <c r="DE117" s="205"/>
      <c r="DF117" s="14"/>
      <c r="DG117" s="14"/>
      <c r="DH117" s="14"/>
      <c r="DI117" s="201"/>
      <c r="DJ117" s="201"/>
      <c r="DK117" s="205"/>
      <c r="DL117" s="14"/>
      <c r="DM117" s="14"/>
      <c r="DN117" s="14"/>
      <c r="DO117" s="201"/>
      <c r="DP117" s="201"/>
      <c r="DQ117" s="205"/>
      <c r="DR117" s="421"/>
      <c r="DS117" s="421"/>
      <c r="DT117" s="421"/>
    </row>
    <row r="118" spans="2:124" x14ac:dyDescent="0.35">
      <c r="B118" s="208" t="s">
        <v>479</v>
      </c>
      <c r="C118" s="13"/>
      <c r="D118" s="13"/>
      <c r="E118" s="201"/>
      <c r="F118" s="201"/>
      <c r="G118" s="205"/>
      <c r="H118" s="14"/>
      <c r="I118" s="14"/>
      <c r="J118" s="14"/>
      <c r="K118" s="201"/>
      <c r="L118" s="201"/>
      <c r="M118" s="205"/>
      <c r="N118" s="14"/>
      <c r="O118" s="14"/>
      <c r="P118" s="14"/>
      <c r="Q118" s="201"/>
      <c r="R118" s="201"/>
      <c r="S118" s="205"/>
      <c r="T118" s="14"/>
      <c r="U118" s="14"/>
      <c r="V118" s="14"/>
      <c r="W118" s="201"/>
      <c r="X118" s="201"/>
      <c r="Y118" s="205"/>
      <c r="Z118" s="14"/>
      <c r="AA118" s="14"/>
      <c r="AB118" s="14"/>
      <c r="AC118" s="201"/>
      <c r="AD118" s="201"/>
      <c r="AE118" s="205"/>
      <c r="AF118" s="14"/>
      <c r="AG118" s="14"/>
      <c r="AH118" s="14"/>
      <c r="AI118" s="201"/>
      <c r="AJ118" s="201"/>
      <c r="AK118" s="205"/>
      <c r="AL118" s="14"/>
      <c r="AM118" s="14"/>
      <c r="AN118" s="14"/>
      <c r="AO118" s="201"/>
      <c r="AP118" s="201"/>
      <c r="AQ118" s="205"/>
      <c r="AR118" s="14"/>
      <c r="AS118" s="14"/>
      <c r="AT118" s="14"/>
      <c r="AU118" s="201"/>
      <c r="AV118" s="201"/>
      <c r="AW118" s="205"/>
      <c r="AX118" s="14"/>
      <c r="AY118" s="14"/>
      <c r="AZ118" s="14"/>
      <c r="BA118" s="201"/>
      <c r="BB118" s="201"/>
      <c r="BC118" s="205"/>
      <c r="BD118" s="14"/>
      <c r="BE118" s="14"/>
      <c r="BF118" s="14"/>
      <c r="BG118" s="201"/>
      <c r="BH118" s="201"/>
      <c r="BI118" s="205"/>
      <c r="BJ118" s="14"/>
      <c r="BK118" s="14"/>
      <c r="BL118" s="14"/>
      <c r="BM118" s="201"/>
      <c r="BN118" s="201"/>
      <c r="BO118" s="205"/>
      <c r="BP118" s="14"/>
      <c r="BQ118" s="14"/>
      <c r="BR118" s="14"/>
      <c r="BS118" s="201"/>
      <c r="BT118" s="201"/>
      <c r="BU118" s="205"/>
      <c r="BV118" s="14"/>
      <c r="BW118" s="14"/>
      <c r="BX118" s="14"/>
      <c r="BY118" s="201"/>
      <c r="BZ118" s="201"/>
      <c r="CA118" s="205"/>
      <c r="CB118" s="14"/>
      <c r="CC118" s="14"/>
      <c r="CD118" s="14"/>
      <c r="CE118" s="201"/>
      <c r="CF118" s="201"/>
      <c r="CG118" s="205"/>
      <c r="CH118" s="14"/>
      <c r="CI118" s="14"/>
      <c r="CJ118" s="14"/>
      <c r="CK118" s="201"/>
      <c r="CL118" s="201"/>
      <c r="CM118" s="205"/>
      <c r="CN118" s="14"/>
      <c r="CO118" s="14"/>
      <c r="CP118" s="14"/>
      <c r="CQ118" s="201"/>
      <c r="CR118" s="201"/>
      <c r="CS118" s="205"/>
      <c r="CT118" s="14"/>
      <c r="CU118" s="14"/>
      <c r="CV118" s="14"/>
      <c r="CW118" s="201"/>
      <c r="CX118" s="201"/>
      <c r="CY118" s="205"/>
      <c r="CZ118" s="14"/>
      <c r="DA118" s="14"/>
      <c r="DB118" s="14"/>
      <c r="DC118" s="201"/>
      <c r="DD118" s="201"/>
      <c r="DE118" s="205"/>
      <c r="DF118" s="14"/>
      <c r="DG118" s="14"/>
      <c r="DH118" s="14"/>
      <c r="DI118" s="201"/>
      <c r="DJ118" s="201"/>
      <c r="DK118" s="205"/>
      <c r="DL118" s="14"/>
      <c r="DM118" s="14"/>
      <c r="DN118" s="14"/>
      <c r="DO118" s="201"/>
      <c r="DP118" s="201"/>
      <c r="DQ118" s="205"/>
      <c r="DR118" s="421"/>
      <c r="DS118" s="421"/>
      <c r="DT118" s="421"/>
    </row>
    <row r="119" spans="2:124" x14ac:dyDescent="0.35">
      <c r="B119" s="201"/>
      <c r="C119" s="13"/>
      <c r="D119" s="210" t="s">
        <v>480</v>
      </c>
      <c r="E119" s="211">
        <v>30</v>
      </c>
      <c r="F119" s="201"/>
      <c r="G119" s="212">
        <f>IF(ISNUMBER(E119), PI()*E119/180,0)</f>
        <v>0.52359877559829882</v>
      </c>
      <c r="H119" s="14"/>
      <c r="I119" s="14"/>
      <c r="J119" s="14"/>
      <c r="K119" s="211">
        <v>30</v>
      </c>
      <c r="L119" s="201"/>
      <c r="M119" s="212">
        <f>IF(ISNUMBER(K119), PI()*K119/180,0)</f>
        <v>0.52359877559829882</v>
      </c>
      <c r="N119" s="14"/>
      <c r="O119" s="14"/>
      <c r="P119" s="14"/>
      <c r="Q119" s="211">
        <v>30</v>
      </c>
      <c r="R119" s="201"/>
      <c r="S119" s="212">
        <f>IF(ISNUMBER(Q119), PI()*Q119/180,0)</f>
        <v>0.52359877559829882</v>
      </c>
      <c r="T119" s="14"/>
      <c r="U119" s="14"/>
      <c r="V119" s="14"/>
      <c r="W119" s="211">
        <v>30</v>
      </c>
      <c r="X119" s="201"/>
      <c r="Y119" s="212">
        <f>IF(ISNUMBER(W119), PI()*W119/180,0)</f>
        <v>0.52359877559829882</v>
      </c>
      <c r="Z119" s="14"/>
      <c r="AA119" s="14"/>
      <c r="AB119" s="14"/>
      <c r="AC119" s="211">
        <v>30</v>
      </c>
      <c r="AD119" s="201"/>
      <c r="AE119" s="212">
        <f>IF(ISNUMBER(AC119), PI()*AC119/180,0)</f>
        <v>0.52359877559829882</v>
      </c>
      <c r="AF119" s="14"/>
      <c r="AG119" s="14"/>
      <c r="AH119" s="14"/>
      <c r="AI119" s="211">
        <v>30</v>
      </c>
      <c r="AJ119" s="201"/>
      <c r="AK119" s="212">
        <f>IF(ISNUMBER(AI119), PI()*AI119/180,0)</f>
        <v>0.52359877559829882</v>
      </c>
      <c r="AL119" s="14"/>
      <c r="AM119" s="14"/>
      <c r="AN119" s="14"/>
      <c r="AO119" s="211">
        <v>30</v>
      </c>
      <c r="AP119" s="201"/>
      <c r="AQ119" s="212">
        <f>IF(ISNUMBER(AO119), PI()*AO119/180,0)</f>
        <v>0.52359877559829882</v>
      </c>
      <c r="AR119" s="14"/>
      <c r="AS119" s="14"/>
      <c r="AT119" s="14"/>
      <c r="AU119" s="211">
        <v>30</v>
      </c>
      <c r="AV119" s="201"/>
      <c r="AW119" s="212">
        <f>IF(ISNUMBER(AU119), PI()*AU119/180,0)</f>
        <v>0.52359877559829882</v>
      </c>
      <c r="AX119" s="14"/>
      <c r="AY119" s="14"/>
      <c r="AZ119" s="14"/>
      <c r="BA119" s="211">
        <v>30</v>
      </c>
      <c r="BB119" s="201"/>
      <c r="BC119" s="212">
        <f>IF(ISNUMBER(BA119), PI()*BA119/180,0)</f>
        <v>0.52359877559829882</v>
      </c>
      <c r="BD119" s="14"/>
      <c r="BE119" s="14"/>
      <c r="BF119" s="14"/>
      <c r="BG119" s="211">
        <v>30</v>
      </c>
      <c r="BH119" s="201"/>
      <c r="BI119" s="212">
        <f>IF(ISNUMBER(BG119), PI()*BG119/180,0)</f>
        <v>0.52359877559829882</v>
      </c>
      <c r="BJ119" s="14"/>
      <c r="BK119" s="14"/>
      <c r="BL119" s="14"/>
      <c r="BM119" s="211">
        <v>30</v>
      </c>
      <c r="BN119" s="201"/>
      <c r="BO119" s="212">
        <f>IF(ISNUMBER(BM119), PI()*BM119/180,0)</f>
        <v>0.52359877559829882</v>
      </c>
      <c r="BP119" s="14"/>
      <c r="BQ119" s="14"/>
      <c r="BR119" s="14"/>
      <c r="BS119" s="211">
        <v>30</v>
      </c>
      <c r="BT119" s="201"/>
      <c r="BU119" s="212">
        <f>IF(ISNUMBER(BS119), PI()*BS119/180,0)</f>
        <v>0.52359877559829882</v>
      </c>
      <c r="BV119" s="14"/>
      <c r="BW119" s="14"/>
      <c r="BX119" s="14"/>
      <c r="BY119" s="211">
        <v>30</v>
      </c>
      <c r="BZ119" s="201"/>
      <c r="CA119" s="212">
        <f>IF(ISNUMBER(BY119), PI()*BY119/180,0)</f>
        <v>0.52359877559829882</v>
      </c>
      <c r="CB119" s="14"/>
      <c r="CC119" s="14"/>
      <c r="CD119" s="14"/>
      <c r="CE119" s="211">
        <v>30</v>
      </c>
      <c r="CF119" s="201"/>
      <c r="CG119" s="212">
        <f>IF(ISNUMBER(CE119), PI()*CE119/180,0)</f>
        <v>0.52359877559829882</v>
      </c>
      <c r="CH119" s="14"/>
      <c r="CI119" s="14"/>
      <c r="CJ119" s="14"/>
      <c r="CK119" s="211">
        <v>30</v>
      </c>
      <c r="CL119" s="201"/>
      <c r="CM119" s="212">
        <f>IF(ISNUMBER(CK119), PI()*CK119/180,0)</f>
        <v>0.52359877559829882</v>
      </c>
      <c r="CN119" s="14"/>
      <c r="CO119" s="14"/>
      <c r="CP119" s="14"/>
      <c r="CQ119" s="211">
        <v>30</v>
      </c>
      <c r="CR119" s="201"/>
      <c r="CS119" s="212">
        <f>IF(ISNUMBER(CQ119), PI()*CQ119/180,0)</f>
        <v>0.52359877559829882</v>
      </c>
      <c r="CT119" s="14"/>
      <c r="CU119" s="14"/>
      <c r="CV119" s="14"/>
      <c r="CW119" s="201"/>
      <c r="CX119" s="201"/>
      <c r="CY119" s="205"/>
      <c r="CZ119" s="14"/>
      <c r="DA119" s="14"/>
      <c r="DB119" s="14"/>
      <c r="DC119" s="211">
        <v>30</v>
      </c>
      <c r="DD119" s="201"/>
      <c r="DE119" s="212">
        <f>IF(ISNUMBER(DC119), PI()*DC119/180,0)</f>
        <v>0.52359877559829882</v>
      </c>
      <c r="DF119" s="14"/>
      <c r="DG119" s="14"/>
      <c r="DH119" s="14"/>
      <c r="DI119" s="211">
        <v>30</v>
      </c>
      <c r="DJ119" s="201"/>
      <c r="DK119" s="212">
        <f>IF(ISNUMBER(DI119), PI()*DI119/180,0)</f>
        <v>0.52359877559829882</v>
      </c>
      <c r="DL119" s="14"/>
      <c r="DM119" s="14"/>
      <c r="DN119" s="14"/>
      <c r="DO119" s="211">
        <v>30</v>
      </c>
      <c r="DP119" s="201"/>
      <c r="DQ119" s="212">
        <f>IF(ISNUMBER(DO119), PI()*DO119/180,0)</f>
        <v>0.52359877559829882</v>
      </c>
      <c r="DR119" s="421"/>
      <c r="DS119" s="421"/>
      <c r="DT119" s="421"/>
    </row>
    <row r="120" spans="2:124" x14ac:dyDescent="0.35">
      <c r="B120" s="201"/>
      <c r="C120" s="13"/>
      <c r="D120" s="13"/>
      <c r="E120" s="201"/>
      <c r="F120" s="201"/>
      <c r="G120" s="205"/>
      <c r="H120" s="14"/>
      <c r="I120" s="14"/>
      <c r="J120" s="14"/>
      <c r="K120" s="201"/>
      <c r="L120" s="201"/>
      <c r="M120" s="205"/>
      <c r="N120" s="14"/>
      <c r="O120" s="14"/>
      <c r="P120" s="14"/>
      <c r="Q120" s="201"/>
      <c r="R120" s="201"/>
      <c r="S120" s="205"/>
      <c r="T120" s="14"/>
      <c r="U120" s="14"/>
      <c r="V120" s="14"/>
      <c r="W120" s="201"/>
      <c r="X120" s="201"/>
      <c r="Y120" s="205"/>
      <c r="Z120" s="14"/>
      <c r="AA120" s="14"/>
      <c r="AB120" s="14"/>
      <c r="AC120" s="201"/>
      <c r="AD120" s="201"/>
      <c r="AE120" s="205"/>
      <c r="AF120" s="14"/>
      <c r="AG120" s="14"/>
      <c r="AH120" s="14"/>
      <c r="AI120" s="201"/>
      <c r="AJ120" s="201"/>
      <c r="AK120" s="205"/>
      <c r="AL120" s="14"/>
      <c r="AM120" s="14"/>
      <c r="AN120" s="14"/>
      <c r="AO120" s="201"/>
      <c r="AP120" s="201"/>
      <c r="AQ120" s="205"/>
      <c r="AR120" s="14"/>
      <c r="AS120" s="14"/>
      <c r="AT120" s="14"/>
      <c r="AU120" s="201"/>
      <c r="AV120" s="201"/>
      <c r="AW120" s="205"/>
      <c r="AX120" s="14"/>
      <c r="AY120" s="14"/>
      <c r="AZ120" s="14"/>
      <c r="BA120" s="201"/>
      <c r="BB120" s="201"/>
      <c r="BC120" s="205"/>
      <c r="BD120" s="14"/>
      <c r="BE120" s="14"/>
      <c r="BF120" s="14"/>
      <c r="BG120" s="201"/>
      <c r="BH120" s="201"/>
      <c r="BI120" s="205"/>
      <c r="BJ120" s="14"/>
      <c r="BK120" s="14"/>
      <c r="BL120" s="14"/>
      <c r="BM120" s="201"/>
      <c r="BN120" s="201"/>
      <c r="BO120" s="205"/>
      <c r="BP120" s="14"/>
      <c r="BQ120" s="14"/>
      <c r="BR120" s="14"/>
      <c r="BS120" s="201"/>
      <c r="BT120" s="201"/>
      <c r="BU120" s="205"/>
      <c r="BV120" s="14"/>
      <c r="BW120" s="14"/>
      <c r="BX120" s="14"/>
      <c r="BY120" s="201"/>
      <c r="BZ120" s="201"/>
      <c r="CA120" s="205"/>
      <c r="CB120" s="14"/>
      <c r="CC120" s="14"/>
      <c r="CD120" s="14"/>
      <c r="CE120" s="201"/>
      <c r="CF120" s="201"/>
      <c r="CG120" s="205"/>
      <c r="CH120" s="14"/>
      <c r="CI120" s="14"/>
      <c r="CJ120" s="14"/>
      <c r="CK120" s="201"/>
      <c r="CL120" s="201"/>
      <c r="CM120" s="205"/>
      <c r="CN120" s="14"/>
      <c r="CO120" s="14"/>
      <c r="CP120" s="14"/>
      <c r="CQ120" s="201"/>
      <c r="CR120" s="201"/>
      <c r="CS120" s="205"/>
      <c r="CT120" s="14"/>
      <c r="CU120" s="14"/>
      <c r="CV120" s="14"/>
      <c r="CW120" s="211">
        <v>30</v>
      </c>
      <c r="CX120" s="201"/>
      <c r="CY120" s="212">
        <f>IF(ISNUMBER(CW120), PI()*CW120/180,0)</f>
        <v>0.52359877559829882</v>
      </c>
      <c r="CZ120" s="14"/>
      <c r="DA120" s="14"/>
      <c r="DB120" s="14"/>
      <c r="DC120" s="201"/>
      <c r="DD120" s="201"/>
      <c r="DE120" s="205"/>
      <c r="DF120" s="14"/>
      <c r="DG120" s="14"/>
      <c r="DH120" s="14"/>
      <c r="DI120" s="201"/>
      <c r="DJ120" s="201"/>
      <c r="DK120" s="205"/>
      <c r="DL120" s="14"/>
      <c r="DM120" s="14"/>
      <c r="DN120" s="14"/>
      <c r="DO120" s="201"/>
      <c r="DP120" s="201"/>
      <c r="DQ120" s="205"/>
      <c r="DR120" s="421"/>
      <c r="DS120" s="421"/>
      <c r="DT120" s="421"/>
    </row>
    <row r="121" spans="2:124" x14ac:dyDescent="0.35">
      <c r="B121" s="201"/>
      <c r="C121" s="13"/>
      <c r="D121" s="201" t="s">
        <v>478</v>
      </c>
      <c r="E121" s="202">
        <v>0</v>
      </c>
      <c r="F121" s="205">
        <f>IF(AND(ISNUMBER(E119),ISNUMBER(E121),ISNUMBER(E113)),E121*G121,0)</f>
        <v>0</v>
      </c>
      <c r="G121" s="205">
        <f>IF(E119&lt;45,1.6*SIN(G119/2)*G115,(SIN(G119/2))^0.5*G115)</f>
        <v>63.125786297207434</v>
      </c>
      <c r="H121" s="14"/>
      <c r="I121" s="14"/>
      <c r="J121" s="14"/>
      <c r="K121" s="202">
        <v>0</v>
      </c>
      <c r="L121" s="205">
        <f>IF(AND(ISNUMBER(K119),ISNUMBER(K121),ISNUMBER(K113)),K121*M121,0)</f>
        <v>0</v>
      </c>
      <c r="M121" s="205">
        <f>IF(K119&lt;45,1.6*SIN(M119/2)*M115,(SIN(M119/2))^0.5*M115)</f>
        <v>63.125788188777008</v>
      </c>
      <c r="N121" s="14"/>
      <c r="O121" s="14"/>
      <c r="P121" s="14"/>
      <c r="Q121" s="202">
        <v>0</v>
      </c>
      <c r="R121" s="205">
        <f>IF(AND(ISNUMBER(Q119),ISNUMBER(Q121),ISNUMBER(Q113)),Q121*S121,0)</f>
        <v>0</v>
      </c>
      <c r="S121" s="205">
        <f>IF(Q119&lt;45,1.6*SIN(S119/2)*S115,(SIN(S119/2))^0.5*S115)</f>
        <v>63.125788188777008</v>
      </c>
      <c r="T121" s="14"/>
      <c r="U121" s="14"/>
      <c r="V121" s="14"/>
      <c r="W121" s="202">
        <v>0</v>
      </c>
      <c r="X121" s="205">
        <f>IF(AND(ISNUMBER(W119),ISNUMBER(W121),ISNUMBER(W113)),W121*Y121,0)</f>
        <v>0</v>
      </c>
      <c r="Y121" s="205">
        <f>IF(W119&lt;45,1.6*SIN(Y119/2)*Y115,(SIN(Y119/2))^0.5*Y115)</f>
        <v>63.110394058699342</v>
      </c>
      <c r="Z121" s="14"/>
      <c r="AA121" s="14"/>
      <c r="AB121" s="14"/>
      <c r="AC121" s="202">
        <v>0</v>
      </c>
      <c r="AD121" s="205">
        <f>IF(AND(ISNUMBER(AC119),ISNUMBER(AC121),ISNUMBER(AC113)),AC121*AE121,0)</f>
        <v>0</v>
      </c>
      <c r="AE121" s="205">
        <f>IF(AC119&lt;45,1.6*SIN(AE119/2)*AE115,(SIN(AE119/2))^0.5*AE115)</f>
        <v>11.250869923565659</v>
      </c>
      <c r="AF121" s="14"/>
      <c r="AG121" s="14"/>
      <c r="AH121" s="14"/>
      <c r="AI121" s="202">
        <v>0</v>
      </c>
      <c r="AJ121" s="205">
        <f>IF(AND(ISNUMBER(AI119),ISNUMBER(AI121),ISNUMBER(AI113)),AI121*AK121,0)</f>
        <v>0</v>
      </c>
      <c r="AK121" s="205">
        <f>IF(AI119&lt;45,1.6*SIN(AK119/2)*AK115,(SIN(AK119/2))^0.5*AK115)</f>
        <v>11.250869923565659</v>
      </c>
      <c r="AL121" s="14"/>
      <c r="AM121" s="14"/>
      <c r="AN121" s="14"/>
      <c r="AO121" s="202">
        <v>0</v>
      </c>
      <c r="AP121" s="205">
        <f>IF(AND(ISNUMBER(AO119),ISNUMBER(AO121),ISNUMBER(AO113)),AO121*AQ121,0)</f>
        <v>0</v>
      </c>
      <c r="AQ121" s="205">
        <f>IF(AO119&lt;45,1.6*SIN(AQ119/2)*AQ115,(SIN(AQ119/2))^0.5*AQ115)</f>
        <v>11.250869923565659</v>
      </c>
      <c r="AR121" s="14"/>
      <c r="AS121" s="14"/>
      <c r="AT121" s="14"/>
      <c r="AU121" s="202">
        <v>0</v>
      </c>
      <c r="AV121" s="205">
        <f>IF(AND(ISNUMBER(AU119),ISNUMBER(AU121),ISNUMBER(AU113)),AU121*AW121,0)</f>
        <v>0</v>
      </c>
      <c r="AW121" s="205">
        <f>IF(AU119&lt;45,1.6*SIN(AW119/2)*AW115,(SIN(AW119/2))^0.5*AW115)</f>
        <v>11.250870431087106</v>
      </c>
      <c r="AX121" s="14"/>
      <c r="AY121" s="14"/>
      <c r="AZ121" s="14"/>
      <c r="BA121" s="202">
        <v>0</v>
      </c>
      <c r="BB121" s="205">
        <f>IF(AND(ISNUMBER(BA119),ISNUMBER(BA121),ISNUMBER(BA113)),BA121*BC121,0)</f>
        <v>0</v>
      </c>
      <c r="BC121" s="205">
        <f>IF(BA119&lt;45,1.6*SIN(BC119/2)*BC115,(SIN(BC119/2))^0.5*BC115)</f>
        <v>11.250870431087106</v>
      </c>
      <c r="BD121" s="14"/>
      <c r="BE121" s="14"/>
      <c r="BF121" s="14"/>
      <c r="BG121" s="202">
        <v>0</v>
      </c>
      <c r="BH121" s="205">
        <f>IF(AND(ISNUMBER(BG119),ISNUMBER(BG121),ISNUMBER(BG113)),BG121*BI121,0)</f>
        <v>0</v>
      </c>
      <c r="BI121" s="205">
        <f>IF(BG119&lt;45,1.6*SIN(BI119/2)*BI115,(SIN(BI119/2))^0.5*BI115)</f>
        <v>11.250870431087106</v>
      </c>
      <c r="BJ121" s="14"/>
      <c r="BK121" s="14"/>
      <c r="BL121" s="14"/>
      <c r="BM121" s="202">
        <v>0</v>
      </c>
      <c r="BN121" s="205">
        <f>IF(AND(ISNUMBER(BM119),ISNUMBER(BM121),ISNUMBER(BM113)),BM121*BO121,0)</f>
        <v>0</v>
      </c>
      <c r="BO121" s="205">
        <f>IF(BM119&lt;45,1.6*SIN(BO119/2)*BO115,(SIN(BO119/2))^0.5*BO115)</f>
        <v>194.50338718977432</v>
      </c>
      <c r="BP121" s="14"/>
      <c r="BQ121" s="14"/>
      <c r="BR121" s="14"/>
      <c r="BS121" s="202">
        <v>0</v>
      </c>
      <c r="BT121" s="205">
        <f>IF(AND(ISNUMBER(BS119),ISNUMBER(BS121),ISNUMBER(BS113)),BS121*BU121,0)</f>
        <v>0</v>
      </c>
      <c r="BU121" s="205">
        <f>IF(BS119&lt;45,1.6*SIN(BU119/2)*BU115,(SIN(BU119/2))^0.5*BU115)</f>
        <v>194.45296004016402</v>
      </c>
      <c r="BV121" s="14"/>
      <c r="BW121" s="14"/>
      <c r="BX121" s="14"/>
      <c r="BY121" s="202">
        <v>0</v>
      </c>
      <c r="BZ121" s="205">
        <f>IF(AND(ISNUMBER(BY119),ISNUMBER(BY121),ISNUMBER(BY113)),BY121*CA121,0)</f>
        <v>0</v>
      </c>
      <c r="CA121" s="205">
        <f>IF(BY119&lt;45,1.6*SIN(CA119/2)*CA115,(SIN(CA119/2))^0.5*CA115)</f>
        <v>11.252918508569085</v>
      </c>
      <c r="CB121" s="14"/>
      <c r="CC121" s="14"/>
      <c r="CD121" s="14"/>
      <c r="CE121" s="202">
        <v>0</v>
      </c>
      <c r="CF121" s="205">
        <f>IF(AND(ISNUMBER(CE119),ISNUMBER(CE121),ISNUMBER(CE113)),CE121*CG121,0)</f>
        <v>0</v>
      </c>
      <c r="CG121" s="205">
        <f>IF(CE119&lt;45,1.6*SIN(CG119/2)*CG115,(SIN(CG119/2))^0.5*CG115)</f>
        <v>11.252918508569085</v>
      </c>
      <c r="CH121" s="14"/>
      <c r="CI121" s="14"/>
      <c r="CJ121" s="14"/>
      <c r="CK121" s="202">
        <v>0</v>
      </c>
      <c r="CL121" s="205">
        <f>IF(AND(ISNUMBER(CK119),ISNUMBER(CK121),ISNUMBER(CK113)),CK121*CM121,0)</f>
        <v>0</v>
      </c>
      <c r="CM121" s="205">
        <f>IF(CK119&lt;45,1.6*SIN(CM119/2)*CM115,(SIN(CM119/2))^0.5*CM115)</f>
        <v>2.5793999005298311</v>
      </c>
      <c r="CN121" s="14"/>
      <c r="CO121" s="14"/>
      <c r="CP121" s="14"/>
      <c r="CQ121" s="202">
        <v>0</v>
      </c>
      <c r="CR121" s="205">
        <f>IF(AND(ISNUMBER(CQ119),ISNUMBER(CQ121),ISNUMBER(CQ113)),CQ121*CS121,0)</f>
        <v>0</v>
      </c>
      <c r="CS121" s="205">
        <f>IF(CQ119&lt;45,1.6*SIN(CS119/2)*CS115,(SIN(CS119/2))^0.5*CS115)</f>
        <v>2.5793999005298311</v>
      </c>
      <c r="CT121" s="14"/>
      <c r="CU121" s="14"/>
      <c r="CV121" s="14"/>
      <c r="CW121" s="201"/>
      <c r="CX121" s="201"/>
      <c r="CY121" s="205"/>
      <c r="CZ121" s="14"/>
      <c r="DA121" s="14"/>
      <c r="DB121" s="14"/>
      <c r="DC121" s="202">
        <v>0</v>
      </c>
      <c r="DD121" s="205">
        <f>IF(AND(ISNUMBER(DC119),ISNUMBER(DC121),ISNUMBER(DC113)),DC121*DE121,0)</f>
        <v>0</v>
      </c>
      <c r="DE121" s="205">
        <f>IF(DC119&lt;45,1.6*SIN(DE119/2)*DE115,(SIN(DE119/2))^0.5*DE115)</f>
        <v>2.5793999005298311</v>
      </c>
      <c r="DF121" s="14"/>
      <c r="DG121" s="14"/>
      <c r="DH121" s="14"/>
      <c r="DI121" s="202">
        <v>0</v>
      </c>
      <c r="DJ121" s="205">
        <f>IF(AND(ISNUMBER(DI119),ISNUMBER(DI121),ISNUMBER(DI113)),DI121*DK121,0)</f>
        <v>0</v>
      </c>
      <c r="DK121" s="205">
        <f>IF(DI119&lt;45,1.6*SIN(DK119/2)*DK115,(SIN(DK119/2))^0.5*DK115)</f>
        <v>2.5793999005298311</v>
      </c>
      <c r="DL121" s="14"/>
      <c r="DM121" s="14"/>
      <c r="DN121" s="14"/>
      <c r="DO121" s="202">
        <v>0</v>
      </c>
      <c r="DP121" s="205">
        <f>IF(AND(ISNUMBER(DO119),ISNUMBER(DO121),ISNUMBER(DO113)),DO121*DQ121,0)</f>
        <v>0</v>
      </c>
      <c r="DQ121" s="205">
        <f>IF(DO119&lt;45,1.6*SIN(DQ119/2)*DQ115,(SIN(DQ119/2))^0.5*DQ115)</f>
        <v>-0.69277780178024639</v>
      </c>
      <c r="DR121" s="421"/>
      <c r="DS121" s="421"/>
      <c r="DT121" s="421"/>
    </row>
    <row r="122" spans="2:124" x14ac:dyDescent="0.35">
      <c r="B122" s="208" t="s">
        <v>481</v>
      </c>
      <c r="C122" s="13"/>
      <c r="D122" s="13"/>
      <c r="E122" s="201"/>
      <c r="F122" s="201"/>
      <c r="G122" s="205"/>
      <c r="H122" s="14"/>
      <c r="I122" s="14"/>
      <c r="J122" s="14"/>
      <c r="K122" s="201"/>
      <c r="L122" s="201"/>
      <c r="M122" s="205"/>
      <c r="N122" s="14"/>
      <c r="O122" s="14"/>
      <c r="P122" s="14"/>
      <c r="Q122" s="201"/>
      <c r="R122" s="201"/>
      <c r="S122" s="205"/>
      <c r="T122" s="14"/>
      <c r="U122" s="14"/>
      <c r="V122" s="14"/>
      <c r="W122" s="201"/>
      <c r="X122" s="201"/>
      <c r="Y122" s="205"/>
      <c r="Z122" s="14"/>
      <c r="AA122" s="14"/>
      <c r="AB122" s="14"/>
      <c r="AC122" s="201"/>
      <c r="AD122" s="201"/>
      <c r="AE122" s="205"/>
      <c r="AF122" s="14"/>
      <c r="AG122" s="14"/>
      <c r="AH122" s="14"/>
      <c r="AI122" s="201"/>
      <c r="AJ122" s="201"/>
      <c r="AK122" s="205"/>
      <c r="AL122" s="14"/>
      <c r="AM122" s="14"/>
      <c r="AN122" s="14"/>
      <c r="AO122" s="201"/>
      <c r="AP122" s="201"/>
      <c r="AQ122" s="205"/>
      <c r="AR122" s="14"/>
      <c r="AS122" s="14"/>
      <c r="AT122" s="14"/>
      <c r="AU122" s="201"/>
      <c r="AV122" s="201"/>
      <c r="AW122" s="205"/>
      <c r="AX122" s="14"/>
      <c r="AY122" s="14"/>
      <c r="AZ122" s="14"/>
      <c r="BA122" s="201"/>
      <c r="BB122" s="201"/>
      <c r="BC122" s="205"/>
      <c r="BD122" s="14"/>
      <c r="BE122" s="14"/>
      <c r="BF122" s="14"/>
      <c r="BG122" s="201"/>
      <c r="BH122" s="201"/>
      <c r="BI122" s="205"/>
      <c r="BJ122" s="14"/>
      <c r="BK122" s="14"/>
      <c r="BL122" s="14"/>
      <c r="BM122" s="201"/>
      <c r="BN122" s="201"/>
      <c r="BO122" s="205"/>
      <c r="BP122" s="14"/>
      <c r="BQ122" s="14"/>
      <c r="BR122" s="14"/>
      <c r="BS122" s="201"/>
      <c r="BT122" s="201"/>
      <c r="BU122" s="205"/>
      <c r="BV122" s="14"/>
      <c r="BW122" s="14"/>
      <c r="BX122" s="14"/>
      <c r="BY122" s="201"/>
      <c r="BZ122" s="201"/>
      <c r="CA122" s="205"/>
      <c r="CB122" s="14"/>
      <c r="CC122" s="14"/>
      <c r="CD122" s="14"/>
      <c r="CE122" s="201"/>
      <c r="CF122" s="201"/>
      <c r="CG122" s="205"/>
      <c r="CH122" s="14"/>
      <c r="CI122" s="14"/>
      <c r="CJ122" s="14"/>
      <c r="CK122" s="201"/>
      <c r="CL122" s="201"/>
      <c r="CM122" s="205"/>
      <c r="CN122" s="14"/>
      <c r="CO122" s="14"/>
      <c r="CP122" s="14"/>
      <c r="CQ122" s="201"/>
      <c r="CR122" s="201"/>
      <c r="CS122" s="205"/>
      <c r="CT122" s="14"/>
      <c r="CU122" s="14"/>
      <c r="CV122" s="14"/>
      <c r="CW122" s="202">
        <v>0</v>
      </c>
      <c r="CX122" s="205">
        <f>IF(AND(ISNUMBER(CW120),ISNUMBER(CW122),ISNUMBER(CW114)),CW122*CY122,0)</f>
        <v>0</v>
      </c>
      <c r="CY122" s="205">
        <f>IF(CW120&lt;45,1.6*SIN(CY120/2)*CY116,(SIN(CY120/2))^0.5*CY116)</f>
        <v>1465172.2876176194</v>
      </c>
      <c r="CZ122" s="14"/>
      <c r="DA122" s="14"/>
      <c r="DB122" s="14"/>
      <c r="DC122" s="201"/>
      <c r="DD122" s="201"/>
      <c r="DE122" s="205"/>
      <c r="DF122" s="14"/>
      <c r="DG122" s="14"/>
      <c r="DH122" s="14"/>
      <c r="DI122" s="201"/>
      <c r="DJ122" s="201"/>
      <c r="DK122" s="205"/>
      <c r="DL122" s="14"/>
      <c r="DM122" s="14"/>
      <c r="DN122" s="14"/>
      <c r="DO122" s="201"/>
      <c r="DP122" s="201"/>
      <c r="DQ122" s="205"/>
      <c r="DR122" s="421"/>
      <c r="DS122" s="421"/>
      <c r="DT122" s="421"/>
    </row>
    <row r="123" spans="2:124" x14ac:dyDescent="0.35">
      <c r="B123" s="201"/>
      <c r="C123" s="13"/>
      <c r="D123" s="13"/>
      <c r="E123" s="201"/>
      <c r="F123" s="201"/>
      <c r="G123" s="205"/>
      <c r="H123" s="14"/>
      <c r="I123" s="14"/>
      <c r="J123" s="14"/>
      <c r="K123" s="201"/>
      <c r="L123" s="201"/>
      <c r="M123" s="205"/>
      <c r="N123" s="14"/>
      <c r="O123" s="14"/>
      <c r="P123" s="14"/>
      <c r="Q123" s="201"/>
      <c r="R123" s="201"/>
      <c r="S123" s="205"/>
      <c r="T123" s="14"/>
      <c r="U123" s="14"/>
      <c r="V123" s="14"/>
      <c r="W123" s="201"/>
      <c r="X123" s="201"/>
      <c r="Y123" s="205"/>
      <c r="Z123" s="14"/>
      <c r="AA123" s="14"/>
      <c r="AB123" s="14"/>
      <c r="AC123" s="201"/>
      <c r="AD123" s="201"/>
      <c r="AE123" s="205"/>
      <c r="AF123" s="14"/>
      <c r="AG123" s="14"/>
      <c r="AH123" s="14"/>
      <c r="AI123" s="201"/>
      <c r="AJ123" s="201"/>
      <c r="AK123" s="205"/>
      <c r="AL123" s="14"/>
      <c r="AM123" s="14"/>
      <c r="AN123" s="14"/>
      <c r="AO123" s="201"/>
      <c r="AP123" s="201"/>
      <c r="AQ123" s="205"/>
      <c r="AR123" s="14"/>
      <c r="AS123" s="14"/>
      <c r="AT123" s="14"/>
      <c r="AU123" s="201"/>
      <c r="AV123" s="201"/>
      <c r="AW123" s="205"/>
      <c r="AX123" s="14"/>
      <c r="AY123" s="14"/>
      <c r="AZ123" s="14"/>
      <c r="BA123" s="201"/>
      <c r="BB123" s="201"/>
      <c r="BC123" s="205"/>
      <c r="BD123" s="14"/>
      <c r="BE123" s="14"/>
      <c r="BF123" s="14"/>
      <c r="BG123" s="201"/>
      <c r="BH123" s="201"/>
      <c r="BI123" s="205"/>
      <c r="BJ123" s="14"/>
      <c r="BK123" s="14"/>
      <c r="BL123" s="14"/>
      <c r="BM123" s="201"/>
      <c r="BN123" s="201"/>
      <c r="BO123" s="205"/>
      <c r="BP123" s="14"/>
      <c r="BQ123" s="14"/>
      <c r="BR123" s="14"/>
      <c r="BS123" s="201"/>
      <c r="BT123" s="201"/>
      <c r="BU123" s="205"/>
      <c r="BV123" s="14"/>
      <c r="BW123" s="14"/>
      <c r="BX123" s="14"/>
      <c r="BY123" s="201"/>
      <c r="BZ123" s="201"/>
      <c r="CA123" s="205"/>
      <c r="CB123" s="14"/>
      <c r="CC123" s="14"/>
      <c r="CD123" s="14"/>
      <c r="CE123" s="201"/>
      <c r="CF123" s="201"/>
      <c r="CG123" s="205"/>
      <c r="CH123" s="14"/>
      <c r="CI123" s="14"/>
      <c r="CJ123" s="14"/>
      <c r="CK123" s="201"/>
      <c r="CL123" s="201"/>
      <c r="CM123" s="205"/>
      <c r="CN123" s="14"/>
      <c r="CO123" s="14"/>
      <c r="CP123" s="14"/>
      <c r="CQ123" s="201"/>
      <c r="CR123" s="201"/>
      <c r="CS123" s="205"/>
      <c r="CT123" s="14"/>
      <c r="CU123" s="14"/>
      <c r="CV123" s="14"/>
      <c r="CW123" s="201"/>
      <c r="CX123" s="201"/>
      <c r="CY123" s="205"/>
      <c r="CZ123" s="14"/>
      <c r="DA123" s="14"/>
      <c r="DB123" s="14"/>
      <c r="DC123" s="201"/>
      <c r="DD123" s="201"/>
      <c r="DE123" s="205"/>
      <c r="DF123" s="14"/>
      <c r="DG123" s="14"/>
      <c r="DH123" s="14"/>
      <c r="DI123" s="201"/>
      <c r="DJ123" s="201"/>
      <c r="DK123" s="205"/>
      <c r="DL123" s="14"/>
      <c r="DM123" s="14"/>
      <c r="DN123" s="14"/>
      <c r="DO123" s="201"/>
      <c r="DP123" s="201"/>
      <c r="DQ123" s="205"/>
      <c r="DR123" s="421"/>
      <c r="DS123" s="421"/>
      <c r="DT123" s="421"/>
    </row>
    <row r="124" spans="2:124" x14ac:dyDescent="0.35">
      <c r="B124" s="201"/>
      <c r="C124" s="13"/>
      <c r="D124" s="13"/>
      <c r="E124" s="202">
        <v>0</v>
      </c>
      <c r="F124" s="205">
        <f>IF(ISNUMBER(E113),E124*G124,0)</f>
        <v>0</v>
      </c>
      <c r="G124" s="205">
        <f>(0.1+50/E$41)*(((E$30*25.4)/E$113)^4-1)</f>
        <v>26.640533414908916</v>
      </c>
      <c r="H124" s="14"/>
      <c r="I124" s="14"/>
      <c r="J124" s="14"/>
      <c r="K124" s="202">
        <v>0</v>
      </c>
      <c r="L124" s="205">
        <f>IF(ISNUMBER(K113),K124*M124,0)</f>
        <v>0</v>
      </c>
      <c r="M124" s="205">
        <f>(0.1+50/K$41)*(((K$30*25.4)/K$113)^4-1)</f>
        <v>26.640534173507081</v>
      </c>
      <c r="N124" s="14"/>
      <c r="O124" s="14"/>
      <c r="P124" s="14"/>
      <c r="Q124" s="202">
        <v>0</v>
      </c>
      <c r="R124" s="205">
        <f>IF(ISNUMBER(Q113),Q124*S124,0)</f>
        <v>0</v>
      </c>
      <c r="S124" s="205">
        <f>(0.1+50/Q$41)*(((Q$30*25.4)/Q$113)^4-1)</f>
        <v>26.640534173507081</v>
      </c>
      <c r="T124" s="14"/>
      <c r="U124" s="14"/>
      <c r="V124" s="14"/>
      <c r="W124" s="202">
        <v>0</v>
      </c>
      <c r="X124" s="205">
        <f>IF(ISNUMBER(W113),W124*Y124,0)</f>
        <v>0</v>
      </c>
      <c r="Y124" s="205">
        <f>(0.1+50/W$41)*(((W$30*25.4)/W$113)^4-1)</f>
        <v>26.63460190664626</v>
      </c>
      <c r="Z124" s="14"/>
      <c r="AA124" s="14"/>
      <c r="AB124" s="14"/>
      <c r="AC124" s="202">
        <v>0</v>
      </c>
      <c r="AD124" s="205">
        <f>IF(ISNUMBER(AC113),AC124*AE124,0)</f>
        <v>0</v>
      </c>
      <c r="AE124" s="205">
        <f>(0.1+50/AC$41)*(((AC$30*25.4)/AC$113)^4-1)</f>
        <v>5.0904564149466598</v>
      </c>
      <c r="AF124" s="14"/>
      <c r="AG124" s="14"/>
      <c r="AH124" s="14"/>
      <c r="AI124" s="202">
        <v>0</v>
      </c>
      <c r="AJ124" s="205">
        <f>IF(ISNUMBER(AI113),AI124*AK124,0)</f>
        <v>0</v>
      </c>
      <c r="AK124" s="205">
        <f>(0.1+50/AI$41)*(((AI$30*25.4)/AI$113)^4-1)</f>
        <v>5.0904564149466598</v>
      </c>
      <c r="AL124" s="14"/>
      <c r="AM124" s="14"/>
      <c r="AN124" s="14"/>
      <c r="AO124" s="202">
        <v>0</v>
      </c>
      <c r="AP124" s="205">
        <f>IF(ISNUMBER(AO113),AO124*AQ124,0)</f>
        <v>0</v>
      </c>
      <c r="AQ124" s="205">
        <f>(0.1+50/AO$41)*(((AO$30*25.4)/AO$113)^4-1)</f>
        <v>5.0904564149466598</v>
      </c>
      <c r="AR124" s="14"/>
      <c r="AS124" s="14"/>
      <c r="AT124" s="14"/>
      <c r="AU124" s="202">
        <v>0</v>
      </c>
      <c r="AV124" s="205">
        <f>IF(ISNUMBER(AU113),AU124*AW124,0)</f>
        <v>0</v>
      </c>
      <c r="AW124" s="205">
        <f>(0.1+50/AU$41)*(((AU$30*25.4)/AU$113)^4-1)</f>
        <v>5.0904566755018328</v>
      </c>
      <c r="AX124" s="14"/>
      <c r="AY124" s="14"/>
      <c r="AZ124" s="14"/>
      <c r="BA124" s="202">
        <v>0</v>
      </c>
      <c r="BB124" s="205">
        <f>IF(ISNUMBER(BA113),BA124*BC124,0)</f>
        <v>0</v>
      </c>
      <c r="BC124" s="205">
        <f>(0.1+50/BA$41)*(((BA$30*25.4)/BA$113)^4-1)</f>
        <v>5.0904566755018328</v>
      </c>
      <c r="BD124" s="14"/>
      <c r="BE124" s="14"/>
      <c r="BF124" s="14"/>
      <c r="BG124" s="202">
        <v>0</v>
      </c>
      <c r="BH124" s="205">
        <f>IF(ISNUMBER(BG113),BG124*BI124,0)</f>
        <v>0</v>
      </c>
      <c r="BI124" s="205">
        <f>(0.1+50/BG$41)*(((BG$30*25.4)/BG$113)^4-1)</f>
        <v>5.0904566755018328</v>
      </c>
      <c r="BJ124" s="14"/>
      <c r="BK124" s="14"/>
      <c r="BL124" s="14"/>
      <c r="BM124" s="202">
        <v>0</v>
      </c>
      <c r="BN124" s="205">
        <f>IF(ISNUMBER(BM113),BM124*BO124,0)</f>
        <v>0</v>
      </c>
      <c r="BO124" s="205">
        <f>(0.1+50/BM$41)*(((BM$30*25.4)/BM$113)^4-1)</f>
        <v>80.124190015601997</v>
      </c>
      <c r="BP124" s="14"/>
      <c r="BQ124" s="14"/>
      <c r="BR124" s="14"/>
      <c r="BS124" s="202">
        <v>0</v>
      </c>
      <c r="BT124" s="205">
        <f>IF(ISNUMBER(BS113),BS124*BU124,0)</f>
        <v>0</v>
      </c>
      <c r="BU124" s="205">
        <f>(0.1+50/BS$41)*(((BS$30*25.4)/BS$113)^4-1)</f>
        <v>80.104595079759477</v>
      </c>
      <c r="BV124" s="14"/>
      <c r="BW124" s="14"/>
      <c r="BX124" s="14"/>
      <c r="BY124" s="202">
        <v>0</v>
      </c>
      <c r="BZ124" s="205">
        <f>IF(ISNUMBER(BY113),BY124*CA124,0)</f>
        <v>0</v>
      </c>
      <c r="CA124" s="205">
        <f>(0.1+50/BY$41)*(((BY$30*25.4)/BY$113)^4-1)</f>
        <v>5.0915380413752951</v>
      </c>
      <c r="CB124" s="14"/>
      <c r="CC124" s="14"/>
      <c r="CD124" s="14"/>
      <c r="CE124" s="202">
        <v>0</v>
      </c>
      <c r="CF124" s="205">
        <f>IF(ISNUMBER(CE113),CE124*CG124,0)</f>
        <v>0</v>
      </c>
      <c r="CG124" s="205">
        <f>(0.1+50/CE$41)*(((CE$30*25.4)/CE$113)^4-1)</f>
        <v>5.0915380413752951</v>
      </c>
      <c r="CH124" s="14"/>
      <c r="CI124" s="14"/>
      <c r="CJ124" s="14"/>
      <c r="CK124" s="202">
        <v>0</v>
      </c>
      <c r="CL124" s="205">
        <f>IF(ISNUMBER(CK113),CK124*CM124,0)</f>
        <v>0</v>
      </c>
      <c r="CM124" s="205">
        <f>(0.1+50/CK$41)*(((CK$30*25.4)/CK$113)^4-1)</f>
        <v>1.2979284293346962</v>
      </c>
      <c r="CN124" s="14"/>
      <c r="CO124" s="14"/>
      <c r="CP124" s="14"/>
      <c r="CQ124" s="202">
        <v>0</v>
      </c>
      <c r="CR124" s="205">
        <f>IF(ISNUMBER(CQ113),CQ124*CS124,0)</f>
        <v>0</v>
      </c>
      <c r="CS124" s="205">
        <f>(0.1+50/CQ$41)*(((CQ$30*25.4)/CQ$113)^4-1)</f>
        <v>1.2979284293346962</v>
      </c>
      <c r="CT124" s="14"/>
      <c r="CU124" s="14"/>
      <c r="CV124" s="14"/>
      <c r="CW124" s="201"/>
      <c r="CX124" s="201"/>
      <c r="CY124" s="205"/>
      <c r="CZ124" s="14"/>
      <c r="DA124" s="14"/>
      <c r="DB124" s="14"/>
      <c r="DC124" s="202">
        <v>0</v>
      </c>
      <c r="DD124" s="205">
        <f>IF(ISNUMBER(DC113),DC124*DE124,0)</f>
        <v>0</v>
      </c>
      <c r="DE124" s="205">
        <f>(0.1+50/DC$41)*(((DC$30*25.4)/DC$113)^4-1)</f>
        <v>1.2979284293346962</v>
      </c>
      <c r="DF124" s="14"/>
      <c r="DG124" s="14"/>
      <c r="DH124" s="14"/>
      <c r="DI124" s="202">
        <v>0</v>
      </c>
      <c r="DJ124" s="205">
        <f>IF(ISNUMBER(DI113),DI124*DK124,0)</f>
        <v>0</v>
      </c>
      <c r="DK124" s="205">
        <f>(0.1+50/DI$41)*(((DI$30*25.4)/DI$113)^4-1)</f>
        <v>1.2979284293346962</v>
      </c>
      <c r="DL124" s="14"/>
      <c r="DM124" s="14"/>
      <c r="DN124" s="14"/>
      <c r="DO124" s="202">
        <v>0</v>
      </c>
      <c r="DP124" s="205">
        <f>IF(ISNUMBER(DO113),DO124*DQ124,0)</f>
        <v>0</v>
      </c>
      <c r="DQ124" s="205">
        <f>(0.1+50/DO$41)*(((DO$30*25.4)/DO$113)^4-1)</f>
        <v>-0.26425641883179679</v>
      </c>
      <c r="DR124" s="421"/>
      <c r="DS124" s="421"/>
      <c r="DT124" s="421"/>
    </row>
    <row r="125" spans="2:124" x14ac:dyDescent="0.35">
      <c r="B125" s="201"/>
      <c r="C125" s="201"/>
      <c r="D125" s="201"/>
      <c r="E125" s="201"/>
      <c r="F125" s="201"/>
      <c r="G125" s="205"/>
      <c r="H125" s="14"/>
      <c r="I125" s="14"/>
      <c r="J125" s="14"/>
      <c r="K125" s="201"/>
      <c r="L125" s="201"/>
      <c r="M125" s="205"/>
      <c r="N125" s="14"/>
      <c r="O125" s="14"/>
      <c r="P125" s="14"/>
      <c r="Q125" s="201"/>
      <c r="R125" s="201"/>
      <c r="S125" s="205"/>
      <c r="T125" s="14"/>
      <c r="U125" s="14"/>
      <c r="V125" s="14"/>
      <c r="W125" s="201"/>
      <c r="X125" s="201"/>
      <c r="Y125" s="205"/>
      <c r="Z125" s="14"/>
      <c r="AA125" s="14"/>
      <c r="AB125" s="14"/>
      <c r="AC125" s="201"/>
      <c r="AD125" s="201"/>
      <c r="AE125" s="205"/>
      <c r="AF125" s="14"/>
      <c r="AG125" s="14"/>
      <c r="AH125" s="14"/>
      <c r="AI125" s="201"/>
      <c r="AJ125" s="201"/>
      <c r="AK125" s="205"/>
      <c r="AL125" s="14"/>
      <c r="AM125" s="14"/>
      <c r="AN125" s="14"/>
      <c r="AO125" s="201"/>
      <c r="AP125" s="201"/>
      <c r="AQ125" s="205"/>
      <c r="AR125" s="14"/>
      <c r="AS125" s="14"/>
      <c r="AT125" s="14"/>
      <c r="AU125" s="201"/>
      <c r="AV125" s="201"/>
      <c r="AW125" s="205"/>
      <c r="AX125" s="14"/>
      <c r="AY125" s="14"/>
      <c r="AZ125" s="14"/>
      <c r="BA125" s="201"/>
      <c r="BB125" s="201"/>
      <c r="BC125" s="205"/>
      <c r="BD125" s="14"/>
      <c r="BE125" s="14"/>
      <c r="BF125" s="14"/>
      <c r="BG125" s="201"/>
      <c r="BH125" s="201"/>
      <c r="BI125" s="205"/>
      <c r="BJ125" s="14"/>
      <c r="BK125" s="14"/>
      <c r="BL125" s="14"/>
      <c r="BM125" s="201"/>
      <c r="BN125" s="201"/>
      <c r="BO125" s="205"/>
      <c r="BP125" s="14"/>
      <c r="BQ125" s="14"/>
      <c r="BR125" s="14"/>
      <c r="BS125" s="201"/>
      <c r="BT125" s="201"/>
      <c r="BU125" s="205"/>
      <c r="BV125" s="14"/>
      <c r="BW125" s="14"/>
      <c r="BX125" s="14"/>
      <c r="BY125" s="201"/>
      <c r="BZ125" s="201"/>
      <c r="CA125" s="205"/>
      <c r="CB125" s="14"/>
      <c r="CC125" s="14"/>
      <c r="CD125" s="14"/>
      <c r="CE125" s="201"/>
      <c r="CF125" s="201"/>
      <c r="CG125" s="205"/>
      <c r="CH125" s="14"/>
      <c r="CI125" s="14"/>
      <c r="CJ125" s="14"/>
      <c r="CK125" s="201"/>
      <c r="CL125" s="201"/>
      <c r="CM125" s="205"/>
      <c r="CN125" s="14"/>
      <c r="CO125" s="14"/>
      <c r="CP125" s="14"/>
      <c r="CQ125" s="201"/>
      <c r="CR125" s="201"/>
      <c r="CS125" s="205"/>
      <c r="CT125" s="14"/>
      <c r="CU125" s="14"/>
      <c r="CV125" s="14"/>
      <c r="CW125" s="202">
        <v>0</v>
      </c>
      <c r="CX125" s="205">
        <f>IF(ISNUMBER(CW114),CW125*CY125,0)</f>
        <v>0</v>
      </c>
      <c r="CY125" s="205">
        <f>(0.1+50/CW$41)*(((CW$30*25.4)/CW$113)^4-1)</f>
        <v>581888.28225206293</v>
      </c>
      <c r="CZ125" s="14"/>
      <c r="DA125" s="14"/>
      <c r="DB125" s="14"/>
      <c r="DC125" s="201"/>
      <c r="DD125" s="201"/>
      <c r="DE125" s="205"/>
      <c r="DF125" s="14"/>
      <c r="DG125" s="14"/>
      <c r="DH125" s="14"/>
      <c r="DI125" s="201"/>
      <c r="DJ125" s="201"/>
      <c r="DK125" s="205"/>
      <c r="DL125" s="14"/>
      <c r="DM125" s="14"/>
      <c r="DN125" s="14"/>
      <c r="DO125" s="201"/>
      <c r="DP125" s="201"/>
      <c r="DQ125" s="205"/>
      <c r="DR125" s="421"/>
      <c r="DS125" s="421"/>
      <c r="DT125" s="421"/>
    </row>
    <row r="126" spans="2:124" ht="12.65" customHeight="1" x14ac:dyDescent="0.35">
      <c r="B126" s="203" t="s">
        <v>482</v>
      </c>
      <c r="C126" s="203"/>
      <c r="D126" s="201" t="s">
        <v>514</v>
      </c>
      <c r="E126" s="213">
        <v>1</v>
      </c>
      <c r="F126" s="201"/>
      <c r="G126" s="201"/>
      <c r="H126" s="14"/>
      <c r="I126" s="14"/>
      <c r="J126" s="14"/>
      <c r="K126" s="213">
        <v>1</v>
      </c>
      <c r="L126" s="201"/>
      <c r="M126" s="201"/>
      <c r="N126" s="14"/>
      <c r="O126" s="14"/>
      <c r="P126" s="14"/>
      <c r="Q126" s="213">
        <v>1</v>
      </c>
      <c r="R126" s="201"/>
      <c r="S126" s="201"/>
      <c r="T126" s="14"/>
      <c r="U126" s="14"/>
      <c r="V126" s="14"/>
      <c r="W126" s="213">
        <v>1</v>
      </c>
      <c r="X126" s="201"/>
      <c r="Y126" s="201"/>
      <c r="Z126" s="14"/>
      <c r="AA126" s="14"/>
      <c r="AB126" s="14"/>
      <c r="AC126" s="213">
        <v>1</v>
      </c>
      <c r="AD126" s="201"/>
      <c r="AE126" s="201"/>
      <c r="AF126" s="14"/>
      <c r="AG126" s="14"/>
      <c r="AH126" s="14"/>
      <c r="AI126" s="213">
        <v>1</v>
      </c>
      <c r="AJ126" s="201"/>
      <c r="AK126" s="201"/>
      <c r="AL126" s="14"/>
      <c r="AM126" s="14"/>
      <c r="AN126" s="14"/>
      <c r="AO126" s="213">
        <v>1</v>
      </c>
      <c r="AP126" s="201"/>
      <c r="AQ126" s="201"/>
      <c r="AR126" s="14"/>
      <c r="AS126" s="14"/>
      <c r="AT126" s="14"/>
      <c r="AU126" s="213">
        <v>1</v>
      </c>
      <c r="AV126" s="201"/>
      <c r="AW126" s="201"/>
      <c r="AX126" s="14"/>
      <c r="AY126" s="14"/>
      <c r="AZ126" s="14"/>
      <c r="BA126" s="213">
        <v>1</v>
      </c>
      <c r="BB126" s="201"/>
      <c r="BC126" s="201"/>
      <c r="BD126" s="14"/>
      <c r="BE126" s="14"/>
      <c r="BF126" s="14"/>
      <c r="BG126" s="213">
        <v>1</v>
      </c>
      <c r="BH126" s="201"/>
      <c r="BI126" s="201"/>
      <c r="BJ126" s="14"/>
      <c r="BK126" s="14"/>
      <c r="BL126" s="14"/>
      <c r="BM126" s="213">
        <v>1</v>
      </c>
      <c r="BN126" s="201"/>
      <c r="BO126" s="201"/>
      <c r="BP126" s="14"/>
      <c r="BQ126" s="14"/>
      <c r="BR126" s="14"/>
      <c r="BS126" s="213">
        <v>1</v>
      </c>
      <c r="BT126" s="201"/>
      <c r="BU126" s="201"/>
      <c r="BV126" s="14"/>
      <c r="BW126" s="14"/>
      <c r="BX126" s="14"/>
      <c r="BY126" s="213">
        <v>1</v>
      </c>
      <c r="BZ126" s="201"/>
      <c r="CA126" s="201"/>
      <c r="CB126" s="14"/>
      <c r="CC126" s="14"/>
      <c r="CD126" s="14"/>
      <c r="CE126" s="213">
        <v>1</v>
      </c>
      <c r="CF126" s="201"/>
      <c r="CG126" s="201"/>
      <c r="CH126" s="14"/>
      <c r="CI126" s="14"/>
      <c r="CJ126" s="14"/>
      <c r="CK126" s="213">
        <v>1</v>
      </c>
      <c r="CL126" s="201"/>
      <c r="CM126" s="201"/>
      <c r="CN126" s="14"/>
      <c r="CO126" s="14"/>
      <c r="CP126" s="14"/>
      <c r="CQ126" s="213">
        <v>1</v>
      </c>
      <c r="CR126" s="201"/>
      <c r="CS126" s="201"/>
      <c r="CT126" s="14"/>
      <c r="CU126" s="14"/>
      <c r="CV126" s="14"/>
      <c r="CW126" s="201"/>
      <c r="CX126" s="201"/>
      <c r="CY126" s="205"/>
      <c r="CZ126" s="14"/>
      <c r="DA126" s="14"/>
      <c r="DB126" s="14"/>
      <c r="DC126" s="213">
        <v>1</v>
      </c>
      <c r="DD126" s="201"/>
      <c r="DE126" s="201"/>
      <c r="DF126" s="14"/>
      <c r="DG126" s="14"/>
      <c r="DH126" s="14"/>
      <c r="DI126" s="213">
        <v>1</v>
      </c>
      <c r="DJ126" s="201"/>
      <c r="DK126" s="201"/>
      <c r="DL126" s="14"/>
      <c r="DM126" s="14"/>
      <c r="DN126" s="14"/>
      <c r="DO126" s="213">
        <v>1</v>
      </c>
      <c r="DP126" s="201"/>
      <c r="DQ126" s="201"/>
      <c r="DR126" s="421"/>
      <c r="DS126" s="421"/>
      <c r="DT126" s="421"/>
    </row>
    <row r="127" spans="2:124" ht="14.5" hidden="1" customHeight="1" x14ac:dyDescent="0.35">
      <c r="B127" s="203"/>
      <c r="C127" s="203"/>
      <c r="D127" s="201"/>
      <c r="E127" s="213">
        <f>E126*25.4</f>
        <v>25.4</v>
      </c>
      <c r="F127" s="201"/>
      <c r="G127" s="201"/>
      <c r="H127" s="14"/>
      <c r="I127" s="14"/>
      <c r="J127" s="14"/>
      <c r="K127" s="213">
        <f>K126*25.4</f>
        <v>25.4</v>
      </c>
      <c r="L127" s="201"/>
      <c r="M127" s="201"/>
      <c r="N127" s="14"/>
      <c r="O127" s="14"/>
      <c r="P127" s="14"/>
      <c r="Q127" s="213">
        <f>Q126*25.4</f>
        <v>25.4</v>
      </c>
      <c r="R127" s="201"/>
      <c r="S127" s="201"/>
      <c r="T127" s="14"/>
      <c r="U127" s="14"/>
      <c r="V127" s="14"/>
      <c r="W127" s="213">
        <f>W126*25.4</f>
        <v>25.4</v>
      </c>
      <c r="X127" s="201"/>
      <c r="Y127" s="201"/>
      <c r="Z127" s="14"/>
      <c r="AA127" s="14"/>
      <c r="AB127" s="14"/>
      <c r="AC127" s="213">
        <f>AC126*25.4</f>
        <v>25.4</v>
      </c>
      <c r="AD127" s="201"/>
      <c r="AE127" s="201"/>
      <c r="AF127" s="14"/>
      <c r="AG127" s="14"/>
      <c r="AH127" s="14"/>
      <c r="AI127" s="213">
        <f>AI126*25.4</f>
        <v>25.4</v>
      </c>
      <c r="AJ127" s="201"/>
      <c r="AK127" s="201"/>
      <c r="AL127" s="14"/>
      <c r="AM127" s="14"/>
      <c r="AN127" s="14"/>
      <c r="AO127" s="213">
        <f>AO126*25.4</f>
        <v>25.4</v>
      </c>
      <c r="AP127" s="201"/>
      <c r="AQ127" s="201"/>
      <c r="AR127" s="14"/>
      <c r="AS127" s="14"/>
      <c r="AT127" s="14"/>
      <c r="AU127" s="213">
        <f>AU126*25.4</f>
        <v>25.4</v>
      </c>
      <c r="AV127" s="201"/>
      <c r="AW127" s="201"/>
      <c r="AX127" s="14"/>
      <c r="AY127" s="14"/>
      <c r="AZ127" s="14"/>
      <c r="BA127" s="213">
        <f>BA126*25.4</f>
        <v>25.4</v>
      </c>
      <c r="BB127" s="201"/>
      <c r="BC127" s="201"/>
      <c r="BD127" s="14"/>
      <c r="BE127" s="14"/>
      <c r="BF127" s="14"/>
      <c r="BG127" s="213">
        <f>BG126*25.4</f>
        <v>25.4</v>
      </c>
      <c r="BH127" s="201"/>
      <c r="BI127" s="201"/>
      <c r="BJ127" s="14"/>
      <c r="BK127" s="14"/>
      <c r="BL127" s="14"/>
      <c r="BM127" s="213">
        <f>BM126*25.4</f>
        <v>25.4</v>
      </c>
      <c r="BN127" s="201"/>
      <c r="BO127" s="201"/>
      <c r="BP127" s="14"/>
      <c r="BQ127" s="14"/>
      <c r="BR127" s="14"/>
      <c r="BS127" s="213">
        <f>BS126*25.4</f>
        <v>25.4</v>
      </c>
      <c r="BT127" s="201"/>
      <c r="BU127" s="201"/>
      <c r="BV127" s="14"/>
      <c r="BW127" s="14"/>
      <c r="BX127" s="14"/>
      <c r="BY127" s="213">
        <f>BY126*25.4</f>
        <v>25.4</v>
      </c>
      <c r="BZ127" s="201"/>
      <c r="CA127" s="201"/>
      <c r="CB127" s="14"/>
      <c r="CC127" s="14"/>
      <c r="CD127" s="14"/>
      <c r="CE127" s="213">
        <f>CE126*25.4</f>
        <v>25.4</v>
      </c>
      <c r="CF127" s="201"/>
      <c r="CG127" s="201"/>
      <c r="CH127" s="14"/>
      <c r="CI127" s="14"/>
      <c r="CJ127" s="14"/>
      <c r="CK127" s="213">
        <f>CK126*25.4</f>
        <v>25.4</v>
      </c>
      <c r="CL127" s="201"/>
      <c r="CM127" s="201"/>
      <c r="CN127" s="14"/>
      <c r="CO127" s="14"/>
      <c r="CP127" s="14"/>
      <c r="CQ127" s="213">
        <f>CQ126*25.4</f>
        <v>25.4</v>
      </c>
      <c r="CR127" s="201"/>
      <c r="CS127" s="201"/>
      <c r="CT127" s="14"/>
      <c r="CU127" s="14"/>
      <c r="CV127" s="14"/>
      <c r="CW127" s="213">
        <v>1</v>
      </c>
      <c r="CX127" s="201"/>
      <c r="CY127" s="201"/>
      <c r="CZ127" s="14"/>
      <c r="DA127" s="14"/>
      <c r="DB127" s="14"/>
      <c r="DC127" s="213">
        <f>DC126*25.4</f>
        <v>25.4</v>
      </c>
      <c r="DD127" s="201"/>
      <c r="DE127" s="201"/>
      <c r="DF127" s="14"/>
      <c r="DG127" s="14"/>
      <c r="DH127" s="14"/>
      <c r="DI127" s="213">
        <f>DI126*25.4</f>
        <v>25.4</v>
      </c>
      <c r="DJ127" s="201"/>
      <c r="DK127" s="201"/>
      <c r="DL127" s="14"/>
      <c r="DM127" s="14"/>
      <c r="DN127" s="14"/>
      <c r="DO127" s="213">
        <f>DO126*25.4</f>
        <v>25.4</v>
      </c>
      <c r="DP127" s="201"/>
      <c r="DQ127" s="201"/>
      <c r="DR127" s="421"/>
      <c r="DS127" s="421"/>
      <c r="DT127" s="421"/>
    </row>
    <row r="128" spans="2:124" x14ac:dyDescent="0.35">
      <c r="B128" s="208" t="s">
        <v>483</v>
      </c>
      <c r="C128" s="13"/>
      <c r="D128" s="13"/>
      <c r="E128" s="201"/>
      <c r="F128" s="201"/>
      <c r="G128" s="205"/>
      <c r="H128" s="14"/>
      <c r="I128" s="14"/>
      <c r="J128" s="14"/>
      <c r="K128" s="201"/>
      <c r="L128" s="201"/>
      <c r="M128" s="205"/>
      <c r="N128" s="14"/>
      <c r="O128" s="14"/>
      <c r="P128" s="14"/>
      <c r="Q128" s="201"/>
      <c r="R128" s="201"/>
      <c r="S128" s="205"/>
      <c r="T128" s="14"/>
      <c r="U128" s="14"/>
      <c r="V128" s="14"/>
      <c r="W128" s="201"/>
      <c r="X128" s="201"/>
      <c r="Y128" s="205"/>
      <c r="Z128" s="14"/>
      <c r="AA128" s="14"/>
      <c r="AB128" s="14"/>
      <c r="AC128" s="201"/>
      <c r="AD128" s="201"/>
      <c r="AE128" s="205"/>
      <c r="AF128" s="14"/>
      <c r="AG128" s="14"/>
      <c r="AH128" s="14"/>
      <c r="AI128" s="201"/>
      <c r="AJ128" s="201"/>
      <c r="AK128" s="205"/>
      <c r="AL128" s="14"/>
      <c r="AM128" s="14"/>
      <c r="AN128" s="14"/>
      <c r="AO128" s="201"/>
      <c r="AP128" s="201"/>
      <c r="AQ128" s="205"/>
      <c r="AR128" s="14"/>
      <c r="AS128" s="14"/>
      <c r="AT128" s="14"/>
      <c r="AU128" s="201"/>
      <c r="AV128" s="201"/>
      <c r="AW128" s="205"/>
      <c r="AX128" s="14"/>
      <c r="AY128" s="14"/>
      <c r="AZ128" s="14"/>
      <c r="BA128" s="201"/>
      <c r="BB128" s="201"/>
      <c r="BC128" s="205"/>
      <c r="BD128" s="14"/>
      <c r="BE128" s="14"/>
      <c r="BF128" s="14"/>
      <c r="BG128" s="201"/>
      <c r="BH128" s="201"/>
      <c r="BI128" s="205"/>
      <c r="BJ128" s="14"/>
      <c r="BK128" s="14"/>
      <c r="BL128" s="14"/>
      <c r="BM128" s="201"/>
      <c r="BN128" s="201"/>
      <c r="BO128" s="205"/>
      <c r="BP128" s="14"/>
      <c r="BQ128" s="14"/>
      <c r="BR128" s="14"/>
      <c r="BS128" s="201"/>
      <c r="BT128" s="201"/>
      <c r="BU128" s="205"/>
      <c r="BV128" s="14"/>
      <c r="BW128" s="14"/>
      <c r="BX128" s="14"/>
      <c r="BY128" s="201"/>
      <c r="BZ128" s="201"/>
      <c r="CA128" s="205"/>
      <c r="CB128" s="14"/>
      <c r="CC128" s="14"/>
      <c r="CD128" s="14"/>
      <c r="CE128" s="201"/>
      <c r="CF128" s="201"/>
      <c r="CG128" s="205"/>
      <c r="CH128" s="14"/>
      <c r="CI128" s="14"/>
      <c r="CJ128" s="14"/>
      <c r="CK128" s="201"/>
      <c r="CL128" s="201"/>
      <c r="CM128" s="205"/>
      <c r="CN128" s="14"/>
      <c r="CO128" s="14"/>
      <c r="CP128" s="14"/>
      <c r="CQ128" s="201"/>
      <c r="CR128" s="201"/>
      <c r="CS128" s="205"/>
      <c r="CT128" s="14"/>
      <c r="CU128" s="14"/>
      <c r="CV128" s="14"/>
      <c r="CW128" s="213">
        <f>CW127*25.4</f>
        <v>25.4</v>
      </c>
      <c r="CX128" s="201"/>
      <c r="CY128" s="201"/>
      <c r="CZ128" s="14"/>
      <c r="DA128" s="14"/>
      <c r="DB128" s="14"/>
      <c r="DC128" s="201"/>
      <c r="DD128" s="201"/>
      <c r="DE128" s="205"/>
      <c r="DF128" s="14"/>
      <c r="DG128" s="14"/>
      <c r="DH128" s="14"/>
      <c r="DI128" s="201"/>
      <c r="DJ128" s="201"/>
      <c r="DK128" s="205"/>
      <c r="DL128" s="14"/>
      <c r="DM128" s="14"/>
      <c r="DN128" s="14"/>
      <c r="DO128" s="201"/>
      <c r="DP128" s="201"/>
      <c r="DQ128" s="205"/>
      <c r="DR128" s="421"/>
      <c r="DS128" s="421"/>
      <c r="DT128" s="421"/>
    </row>
    <row r="129" spans="2:124" x14ac:dyDescent="0.35">
      <c r="B129" s="201"/>
      <c r="C129" s="13"/>
      <c r="D129" s="201" t="s">
        <v>478</v>
      </c>
      <c r="E129" s="202">
        <v>0</v>
      </c>
      <c r="F129" s="205">
        <f>IF(ISNUMBER(E127),E129*G129,0)</f>
        <v>0</v>
      </c>
      <c r="G129" s="205">
        <f>IF(E41&lt;2500,(2.72 +(E127/(E30*25.4))^2*(120/E41-1))*(1-(E127/(E30*25.4))^2)*(((E30*25.4)/E127)^4-1),(2.72 +(E127/(E30*25.4))^2*(4000/E41))*(1-(E127/(E30*25.4))^2)*(((E30*25.4)/E127)^4-1))</f>
        <v>3577.8164218812512</v>
      </c>
      <c r="H129" s="14"/>
      <c r="I129" s="14"/>
      <c r="J129" s="14"/>
      <c r="K129" s="202">
        <v>0</v>
      </c>
      <c r="L129" s="205">
        <f>IF(ISNUMBER(K127),K129*M129,0)</f>
        <v>0</v>
      </c>
      <c r="M129" s="205">
        <f>IF(K41&lt;2500,(2.72 +(K127/(K30*25.4))^2*(120/K41-1))*(1-(K127/(K30*25.4))^2)*(((K30*25.4)/K127)^4-1),(2.72 +(K127/(K30*25.4))^2*(4000/K41))*(1-(K127/(K30*25.4))^2)*(((K30*25.4)/K127)^4-1))</f>
        <v>3577.8164300309595</v>
      </c>
      <c r="N129" s="14"/>
      <c r="O129" s="14"/>
      <c r="P129" s="14"/>
      <c r="Q129" s="202">
        <v>0</v>
      </c>
      <c r="R129" s="205">
        <f>IF(ISNUMBER(Q127),Q129*S129,0)</f>
        <v>0</v>
      </c>
      <c r="S129" s="205">
        <f>IF(Q41&lt;2500,(2.72 +(Q127/(Q30*25.4))^2*(120/Q41-1))*(1-(Q127/(Q30*25.4))^2)*(((Q30*25.4)/Q127)^4-1),(2.72 +(Q127/(Q30*25.4))^2*(4000/Q41))*(1-(Q127/(Q30*25.4))^2)*(((Q30*25.4)/Q127)^4-1))</f>
        <v>3577.8164300309595</v>
      </c>
      <c r="T129" s="14"/>
      <c r="U129" s="14"/>
      <c r="V129" s="14"/>
      <c r="W129" s="202">
        <v>0</v>
      </c>
      <c r="X129" s="205">
        <f>IF(ISNUMBER(W127),W129*Y129,0)</f>
        <v>0</v>
      </c>
      <c r="Y129" s="205">
        <f>IF(W41&lt;2500,(2.72 +(W127/(W30*25.4))^2*(120/W41-1))*(1-(W127/(W30*25.4))^2)*(((W30*25.4)/W127)^4-1),(2.72 +(W127/(W30*25.4))^2*(4000/W41))*(1-(W127/(W30*25.4))^2)*(((W30*25.4)/W127)^4-1))</f>
        <v>3577.7526989981056</v>
      </c>
      <c r="Z129" s="14"/>
      <c r="AA129" s="14"/>
      <c r="AB129" s="14"/>
      <c r="AC129" s="202">
        <v>0</v>
      </c>
      <c r="AD129" s="205">
        <f>IF(ISNUMBER(AC127),AC129*AE129,0)</f>
        <v>0</v>
      </c>
      <c r="AE129" s="205">
        <f>IF(AC41&lt;2500,(2.72 +(AC127/(AC30*25.4))^2*(120/AC41-1))*(1-(AC127/(AC30*25.4))^2)*(((AC30*25.4)/AC127)^4-1),(2.72 +(AC127/(AC30*25.4))^2*(4000/AC41))*(1-(AC127/(AC30*25.4))^2)*(((AC30*25.4)/AC127)^4-1))</f>
        <v>667.98330364866797</v>
      </c>
      <c r="AF129" s="14"/>
      <c r="AG129" s="14"/>
      <c r="AH129" s="14"/>
      <c r="AI129" s="202">
        <v>0</v>
      </c>
      <c r="AJ129" s="205">
        <f>IF(ISNUMBER(AI127),AI129*AK129,0)</f>
        <v>0</v>
      </c>
      <c r="AK129" s="205">
        <f>IF(AI41&lt;2500,(2.72 +(AI127/(AI30*25.4))^2*(120/AI41-1))*(1-(AI127/(AI30*25.4))^2)*(((AI30*25.4)/AI127)^4-1),(2.72 +(AI127/(AI30*25.4))^2*(4000/AI41))*(1-(AI127/(AI30*25.4))^2)*(((AI30*25.4)/AI127)^4-1))</f>
        <v>667.98330364866797</v>
      </c>
      <c r="AL129" s="14"/>
      <c r="AM129" s="14"/>
      <c r="AN129" s="14"/>
      <c r="AO129" s="202">
        <v>0</v>
      </c>
      <c r="AP129" s="205">
        <f>IF(ISNUMBER(AO127),AO129*AQ129,0)</f>
        <v>0</v>
      </c>
      <c r="AQ129" s="205">
        <f>IF(AO41&lt;2500,(2.72 +(AO127/(AO30*25.4))^2*(120/AO41-1))*(1-(AO127/(AO30*25.4))^2)*(((AO30*25.4)/AO127)^4-1),(2.72 +(AO127/(AO30*25.4))^2*(4000/AO41))*(1-(AO127/(AO30*25.4))^2)*(((AO30*25.4)/AO127)^4-1))</f>
        <v>667.98330364866797</v>
      </c>
      <c r="AR129" s="14"/>
      <c r="AS129" s="14"/>
      <c r="AT129" s="14"/>
      <c r="AU129" s="202">
        <v>0</v>
      </c>
      <c r="AV129" s="205">
        <f>IF(ISNUMBER(AU127),AU129*AW129,0)</f>
        <v>0</v>
      </c>
      <c r="AW129" s="205">
        <f>IF(AU41&lt;2500,(2.72 +(AU127/(AU30*25.4))^2*(120/AU41-1))*(1-(AU127/(AU30*25.4))^2)*(((AU30*25.4)/AU127)^4-1),(2.72 +(AU127/(AU30*25.4))^2*(4000/AU41))*(1-(AU127/(AU30*25.4))^2)*(((AU30*25.4)/AU127)^4-1))</f>
        <v>667.98330985371592</v>
      </c>
      <c r="AX129" s="14"/>
      <c r="AY129" s="14"/>
      <c r="AZ129" s="14"/>
      <c r="BA129" s="202">
        <v>0</v>
      </c>
      <c r="BB129" s="205">
        <f>IF(ISNUMBER(BA127),BA129*BC129,0)</f>
        <v>0</v>
      </c>
      <c r="BC129" s="205">
        <f>IF(BA41&lt;2500,(2.72 +(BA127/(BA30*25.4))^2*(120/BA41-1))*(1-(BA127/(BA30*25.4))^2)*(((BA30*25.4)/BA127)^4-1),(2.72 +(BA127/(BA30*25.4))^2*(4000/BA41))*(1-(BA127/(BA30*25.4))^2)*(((BA30*25.4)/BA127)^4-1))</f>
        <v>667.98330985371592</v>
      </c>
      <c r="BD129" s="14"/>
      <c r="BE129" s="14"/>
      <c r="BF129" s="14"/>
      <c r="BG129" s="202">
        <v>0</v>
      </c>
      <c r="BH129" s="205">
        <f>IF(ISNUMBER(BG127),BG129*BI129,0)</f>
        <v>0</v>
      </c>
      <c r="BI129" s="205">
        <f>IF(BG41&lt;2500,(2.72 +(BG127/(BG30*25.4))^2*(120/BG41-1))*(1-(BG127/(BG30*25.4))^2)*(((BG30*25.4)/BG127)^4-1),(2.72 +(BG127/(BG30*25.4))^2*(4000/BG41))*(1-(BG127/(BG30*25.4))^2)*(((BG30*25.4)/BG127)^4-1))</f>
        <v>667.98330985371592</v>
      </c>
      <c r="BJ129" s="14"/>
      <c r="BK129" s="14"/>
      <c r="BL129" s="14"/>
      <c r="BM129" s="202">
        <v>0</v>
      </c>
      <c r="BN129" s="205">
        <f>IF(ISNUMBER(BM127),BM129*BO129,0)</f>
        <v>0</v>
      </c>
      <c r="BO129" s="205">
        <f>IF(BM41&lt;2500,(2.72 +(BM127/(BM30*25.4))^2*(120/BM41-1))*(1-(BM127/(BM30*25.4))^2)*(((BM30*25.4)/BM127)^4-1),(2.72 +(BM127/(BM30*25.4))^2*(4000/BM41))*(1-(BM127/(BM30*25.4))^2)*(((BM30*25.4)/BM127)^4-1))</f>
        <v>10860.234660987258</v>
      </c>
      <c r="BP129" s="14"/>
      <c r="BQ129" s="14"/>
      <c r="BR129" s="14"/>
      <c r="BS129" s="202">
        <v>0</v>
      </c>
      <c r="BT129" s="205">
        <f>IF(ISNUMBER(BS127),BS129*BU129,0)</f>
        <v>0</v>
      </c>
      <c r="BU129" s="205">
        <f>IF(BS41&lt;2500,(2.72 +(BS127/(BS30*25.4))^2*(120/BS41-1))*(1-(BS127/(BS30*25.4))^2)*(((BS30*25.4)/BS127)^4-1),(2.72 +(BS127/(BS30*25.4))^2*(4000/BS41))*(1-(BS127/(BS30*25.4))^2)*(((BS30*25.4)/BS127)^4-1))</f>
        <v>10860.111903739082</v>
      </c>
      <c r="BV129" s="14"/>
      <c r="BW129" s="14"/>
      <c r="BX129" s="14"/>
      <c r="BY129" s="202">
        <v>0</v>
      </c>
      <c r="BZ129" s="205">
        <f>IF(ISNUMBER(BY127),BY129*CA129,0)</f>
        <v>0</v>
      </c>
      <c r="CA129" s="205">
        <f>IF(BY41&lt;2500,(2.72 +(BY127/(BY30*25.4))^2*(120/BY41-1))*(1-(BY127/(BY30*25.4))^2)*(((BY30*25.4)/BY127)^4-1),(2.72 +(BY127/(BY30*25.4))^2*(4000/BY41))*(1-(BY127/(BY30*25.4))^2)*(((BY30*25.4)/BY127)^4-1))</f>
        <v>668.00906227692531</v>
      </c>
      <c r="CB129" s="14"/>
      <c r="CC129" s="14"/>
      <c r="CD129" s="14"/>
      <c r="CE129" s="202">
        <v>0</v>
      </c>
      <c r="CF129" s="205">
        <f>IF(ISNUMBER(CE127),CE129*CG129,0)</f>
        <v>0</v>
      </c>
      <c r="CG129" s="205">
        <f>IF(CE41&lt;2500,(2.72 +(CE127/(CE30*25.4))^2*(120/CE41-1))*(1-(CE127/(CE30*25.4))^2)*(((CE30*25.4)/CE127)^4-1),(2.72 +(CE127/(CE30*25.4))^2*(4000/CE41))*(1-(CE127/(CE30*25.4))^2)*(((CE30*25.4)/CE127)^4-1))</f>
        <v>668.00906227692531</v>
      </c>
      <c r="CH129" s="14"/>
      <c r="CI129" s="14"/>
      <c r="CJ129" s="14"/>
      <c r="CK129" s="202">
        <v>0</v>
      </c>
      <c r="CL129" s="205">
        <f>IF(ISNUMBER(CK127),CK129*CM129,0)</f>
        <v>0</v>
      </c>
      <c r="CM129" s="205">
        <f>IF(CK41&lt;2500,(2.72 +(CK127/(CK30*25.4))^2*(120/CK41-1))*(1-(CK127/(CK30*25.4))^2)*(((CK30*25.4)/CK127)^4-1),(2.72 +(CK127/(CK30*25.4))^2*(4000/CK41))*(1-(CK127/(CK30*25.4))^2)*(((CK30*25.4)/CK127)^4-1))</f>
        <v>167.14605995394464</v>
      </c>
      <c r="CN129" s="14"/>
      <c r="CO129" s="14"/>
      <c r="CP129" s="14"/>
      <c r="CQ129" s="202">
        <v>0</v>
      </c>
      <c r="CR129" s="205">
        <f>IF(ISNUMBER(CQ127),CQ129*CS129,0)</f>
        <v>0</v>
      </c>
      <c r="CS129" s="205">
        <f>IF(CQ41&lt;2500,(2.72 +(CQ127/(CQ30*25.4))^2*(120/CQ41-1))*(1-(CQ127/(CQ30*25.4))^2)*(((CQ30*25.4)/CQ127)^4-1),(2.72 +(CQ127/(CQ30*25.4))^2*(4000/CQ41))*(1-(CQ127/(CQ30*25.4))^2)*(((CQ30*25.4)/CQ127)^4-1))</f>
        <v>167.14605995394464</v>
      </c>
      <c r="CT129" s="14"/>
      <c r="CU129" s="14"/>
      <c r="CV129" s="14"/>
      <c r="CW129" s="201"/>
      <c r="CX129" s="201"/>
      <c r="CY129" s="205"/>
      <c r="CZ129" s="14"/>
      <c r="DA129" s="14"/>
      <c r="DB129" s="14"/>
      <c r="DC129" s="202">
        <v>0</v>
      </c>
      <c r="DD129" s="205">
        <f>IF(ISNUMBER(DC127),DC129*DE129,0)</f>
        <v>0</v>
      </c>
      <c r="DE129" s="205">
        <f>IF(DC41&lt;2500,(2.72 +(DC127/(DC30*25.4))^2*(120/DC41-1))*(1-(DC127/(DC30*25.4))^2)*(((DC30*25.4)/DC127)^4-1),(2.72 +(DC127/(DC30*25.4))^2*(4000/DC41))*(1-(DC127/(DC30*25.4))^2)*(((DC30*25.4)/DC127)^4-1))</f>
        <v>167.14605995394464</v>
      </c>
      <c r="DF129" s="14"/>
      <c r="DG129" s="14"/>
      <c r="DH129" s="14"/>
      <c r="DI129" s="202">
        <v>0</v>
      </c>
      <c r="DJ129" s="205">
        <f>IF(ISNUMBER(DI127),DI129*DK129,0)</f>
        <v>0</v>
      </c>
      <c r="DK129" s="205">
        <f>IF(DI41&lt;2500,(2.72 +(DI127/(DI30*25.4))^2*(120/DI41-1))*(1-(DI127/(DI30*25.4))^2)*(((DI30*25.4)/DI127)^4-1),(2.72 +(DI127/(DI30*25.4))^2*(4000/DI41))*(1-(DI127/(DI30*25.4))^2)*(((DI30*25.4)/DI127)^4-1))</f>
        <v>167.14605995394464</v>
      </c>
      <c r="DL129" s="14"/>
      <c r="DM129" s="14"/>
      <c r="DN129" s="14"/>
      <c r="DO129" s="202">
        <v>0</v>
      </c>
      <c r="DP129" s="205">
        <f>IF(ISNUMBER(DO127),DO129*DQ129,0)</f>
        <v>0</v>
      </c>
      <c r="DQ129" s="205">
        <f>IF(DO41&lt;2500,(2.72 +(DO127/(DO30*25.4))^2*(120/DO41-1))*(1-(DO127/(DO30*25.4))^2)*(((DO30*25.4)/DO127)^4-1),(2.72 +(DO127/(DO30*25.4))^2*(4000/DO41))*(1-(DO127/(DO30*25.4))^2)*(((DO30*25.4)/DO127)^4-1))</f>
        <v>0.96314553877578857</v>
      </c>
      <c r="DR129" s="421"/>
      <c r="DS129" s="421"/>
      <c r="DT129" s="421"/>
    </row>
    <row r="130" spans="2:124" x14ac:dyDescent="0.35">
      <c r="B130" s="201"/>
      <c r="C130" s="13"/>
      <c r="D130" s="13"/>
      <c r="E130" s="201"/>
      <c r="F130" s="201"/>
      <c r="G130" s="205"/>
      <c r="H130" s="14"/>
      <c r="I130" s="14"/>
      <c r="J130" s="14"/>
      <c r="K130" s="201"/>
      <c r="L130" s="201"/>
      <c r="M130" s="205"/>
      <c r="N130" s="14"/>
      <c r="O130" s="14"/>
      <c r="P130" s="14"/>
      <c r="Q130" s="201"/>
      <c r="R130" s="201"/>
      <c r="S130" s="205"/>
      <c r="T130" s="14"/>
      <c r="U130" s="14"/>
      <c r="V130" s="14"/>
      <c r="W130" s="201"/>
      <c r="X130" s="201"/>
      <c r="Y130" s="205"/>
      <c r="Z130" s="14"/>
      <c r="AA130" s="14"/>
      <c r="AB130" s="14"/>
      <c r="AC130" s="201"/>
      <c r="AD130" s="201"/>
      <c r="AE130" s="205"/>
      <c r="AF130" s="14"/>
      <c r="AG130" s="14"/>
      <c r="AH130" s="14"/>
      <c r="AI130" s="201"/>
      <c r="AJ130" s="201"/>
      <c r="AK130" s="205"/>
      <c r="AL130" s="14"/>
      <c r="AM130" s="14"/>
      <c r="AN130" s="14"/>
      <c r="AO130" s="201"/>
      <c r="AP130" s="201"/>
      <c r="AQ130" s="205"/>
      <c r="AR130" s="14"/>
      <c r="AS130" s="14"/>
      <c r="AT130" s="14"/>
      <c r="AU130" s="201"/>
      <c r="AV130" s="201"/>
      <c r="AW130" s="205"/>
      <c r="AX130" s="14"/>
      <c r="AY130" s="14"/>
      <c r="AZ130" s="14"/>
      <c r="BA130" s="201"/>
      <c r="BB130" s="201"/>
      <c r="BC130" s="205"/>
      <c r="BD130" s="14"/>
      <c r="BE130" s="14"/>
      <c r="BF130" s="14"/>
      <c r="BG130" s="201"/>
      <c r="BH130" s="201"/>
      <c r="BI130" s="205"/>
      <c r="BJ130" s="14"/>
      <c r="BK130" s="14"/>
      <c r="BL130" s="14"/>
      <c r="BM130" s="201"/>
      <c r="BN130" s="201"/>
      <c r="BO130" s="205"/>
      <c r="BP130" s="14"/>
      <c r="BQ130" s="14"/>
      <c r="BR130" s="14"/>
      <c r="BS130" s="201"/>
      <c r="BT130" s="201"/>
      <c r="BU130" s="205"/>
      <c r="BV130" s="14"/>
      <c r="BW130" s="14"/>
      <c r="BX130" s="14"/>
      <c r="BY130" s="201"/>
      <c r="BZ130" s="201"/>
      <c r="CA130" s="205"/>
      <c r="CB130" s="14"/>
      <c r="CC130" s="14"/>
      <c r="CD130" s="14"/>
      <c r="CE130" s="201"/>
      <c r="CF130" s="201"/>
      <c r="CG130" s="205"/>
      <c r="CH130" s="14"/>
      <c r="CI130" s="14"/>
      <c r="CJ130" s="14"/>
      <c r="CK130" s="201"/>
      <c r="CL130" s="201"/>
      <c r="CM130" s="205"/>
      <c r="CN130" s="14"/>
      <c r="CO130" s="14"/>
      <c r="CP130" s="14"/>
      <c r="CQ130" s="201"/>
      <c r="CR130" s="201"/>
      <c r="CS130" s="205"/>
      <c r="CT130" s="14"/>
      <c r="CU130" s="14"/>
      <c r="CV130" s="14"/>
      <c r="CW130" s="202">
        <v>0</v>
      </c>
      <c r="CX130" s="205" t="e">
        <f>IF(ISNUMBER(CW128),CW130*CY130,0)</f>
        <v>#VALUE!</v>
      </c>
      <c r="CY130" s="205" t="e">
        <f>IF(CW42&lt;2500,(2.72 +(CW128/(CW31*25.4))^2*(120/CW42-1))*(1-(CW128/(CW31*25.4))^2)*(((CW31*25.4)/CW128)^4-1),(2.72 +(CW128/(CW31*25.4))^2*(4000/CW42))*(1-(CW128/(CW31*25.4))^2)*(((CW31*25.4)/CW128)^4-1))</f>
        <v>#VALUE!</v>
      </c>
      <c r="CZ130" s="14"/>
      <c r="DA130" s="14"/>
      <c r="DB130" s="14"/>
      <c r="DC130" s="201"/>
      <c r="DD130" s="201"/>
      <c r="DE130" s="205"/>
      <c r="DF130" s="14"/>
      <c r="DG130" s="14"/>
      <c r="DH130" s="14"/>
      <c r="DI130" s="201"/>
      <c r="DJ130" s="201"/>
      <c r="DK130" s="205"/>
      <c r="DL130" s="14"/>
      <c r="DM130" s="14"/>
      <c r="DN130" s="14"/>
      <c r="DO130" s="201"/>
      <c r="DP130" s="201"/>
      <c r="DQ130" s="205"/>
      <c r="DR130" s="421"/>
      <c r="DS130" s="421"/>
      <c r="DT130" s="421"/>
    </row>
    <row r="131" spans="2:124" x14ac:dyDescent="0.35">
      <c r="B131" s="201"/>
      <c r="C131" s="13"/>
      <c r="D131" s="13"/>
      <c r="E131" s="201"/>
      <c r="F131" s="201"/>
      <c r="G131" s="205"/>
      <c r="H131" s="14"/>
      <c r="I131" s="14"/>
      <c r="J131" s="14"/>
      <c r="K131" s="201"/>
      <c r="L131" s="201"/>
      <c r="M131" s="205"/>
      <c r="N131" s="14"/>
      <c r="O131" s="14"/>
      <c r="P131" s="14"/>
      <c r="Q131" s="201"/>
      <c r="R131" s="201"/>
      <c r="S131" s="205"/>
      <c r="T131" s="14"/>
      <c r="U131" s="14"/>
      <c r="V131" s="14"/>
      <c r="W131" s="201"/>
      <c r="X131" s="201"/>
      <c r="Y131" s="205"/>
      <c r="Z131" s="14"/>
      <c r="AA131" s="14"/>
      <c r="AB131" s="14"/>
      <c r="AC131" s="201"/>
      <c r="AD131" s="201"/>
      <c r="AE131" s="205"/>
      <c r="AF131" s="14"/>
      <c r="AG131" s="14"/>
      <c r="AH131" s="14"/>
      <c r="AI131" s="201"/>
      <c r="AJ131" s="201"/>
      <c r="AK131" s="205"/>
      <c r="AL131" s="14"/>
      <c r="AM131" s="14"/>
      <c r="AN131" s="14"/>
      <c r="AO131" s="201"/>
      <c r="AP131" s="201"/>
      <c r="AQ131" s="205"/>
      <c r="AR131" s="14"/>
      <c r="AS131" s="14"/>
      <c r="AT131" s="14"/>
      <c r="AU131" s="201"/>
      <c r="AV131" s="201"/>
      <c r="AW131" s="205"/>
      <c r="AX131" s="14"/>
      <c r="AY131" s="14"/>
      <c r="AZ131" s="14"/>
      <c r="BA131" s="201"/>
      <c r="BB131" s="201"/>
      <c r="BC131" s="205"/>
      <c r="BD131" s="14"/>
      <c r="BE131" s="14"/>
      <c r="BF131" s="14"/>
      <c r="BG131" s="201"/>
      <c r="BH131" s="201"/>
      <c r="BI131" s="205"/>
      <c r="BJ131" s="14"/>
      <c r="BK131" s="14"/>
      <c r="BL131" s="14"/>
      <c r="BM131" s="201"/>
      <c r="BN131" s="201"/>
      <c r="BO131" s="205"/>
      <c r="BP131" s="14"/>
      <c r="BQ131" s="14"/>
      <c r="BR131" s="14"/>
      <c r="BS131" s="201"/>
      <c r="BT131" s="201"/>
      <c r="BU131" s="205"/>
      <c r="BV131" s="14"/>
      <c r="BW131" s="14"/>
      <c r="BX131" s="14"/>
      <c r="BY131" s="201"/>
      <c r="BZ131" s="201"/>
      <c r="CA131" s="205"/>
      <c r="CB131" s="14"/>
      <c r="CC131" s="14"/>
      <c r="CD131" s="14"/>
      <c r="CE131" s="201"/>
      <c r="CF131" s="201"/>
      <c r="CG131" s="205"/>
      <c r="CH131" s="14"/>
      <c r="CI131" s="14"/>
      <c r="CJ131" s="14"/>
      <c r="CK131" s="201"/>
      <c r="CL131" s="201"/>
      <c r="CM131" s="205"/>
      <c r="CN131" s="14"/>
      <c r="CO131" s="14"/>
      <c r="CP131" s="14"/>
      <c r="CQ131" s="201"/>
      <c r="CR131" s="201"/>
      <c r="CS131" s="205"/>
      <c r="CT131" s="14"/>
      <c r="CU131" s="14"/>
      <c r="CV131" s="14"/>
      <c r="CW131" s="201"/>
      <c r="CX131" s="201"/>
      <c r="CY131" s="205"/>
      <c r="CZ131" s="14"/>
      <c r="DA131" s="14"/>
      <c r="DB131" s="14"/>
      <c r="DC131" s="201"/>
      <c r="DD131" s="201"/>
      <c r="DE131" s="205"/>
      <c r="DF131" s="14"/>
      <c r="DG131" s="14"/>
      <c r="DH131" s="14"/>
      <c r="DI131" s="201"/>
      <c r="DJ131" s="201"/>
      <c r="DK131" s="205"/>
      <c r="DL131" s="14"/>
      <c r="DM131" s="14"/>
      <c r="DN131" s="14"/>
      <c r="DO131" s="201"/>
      <c r="DP131" s="201"/>
      <c r="DQ131" s="205"/>
      <c r="DR131" s="421"/>
      <c r="DS131" s="421"/>
      <c r="DT131" s="421"/>
    </row>
    <row r="132" spans="2:124" x14ac:dyDescent="0.35">
      <c r="B132" s="208" t="s">
        <v>484</v>
      </c>
      <c r="C132" s="13"/>
      <c r="D132" s="13"/>
      <c r="E132" s="201"/>
      <c r="F132" s="201"/>
      <c r="G132" s="201"/>
      <c r="H132" s="14"/>
      <c r="I132" s="14"/>
      <c r="J132" s="14"/>
      <c r="K132" s="201"/>
      <c r="L132" s="201"/>
      <c r="M132" s="201"/>
      <c r="N132" s="14"/>
      <c r="O132" s="14"/>
      <c r="P132" s="14"/>
      <c r="Q132" s="201"/>
      <c r="R132" s="201"/>
      <c r="S132" s="201"/>
      <c r="T132" s="14"/>
      <c r="U132" s="14"/>
      <c r="V132" s="14"/>
      <c r="W132" s="201"/>
      <c r="X132" s="201"/>
      <c r="Y132" s="201"/>
      <c r="Z132" s="14"/>
      <c r="AA132" s="14"/>
      <c r="AB132" s="14"/>
      <c r="AC132" s="201"/>
      <c r="AD132" s="201"/>
      <c r="AE132" s="201"/>
      <c r="AF132" s="14"/>
      <c r="AG132" s="14"/>
      <c r="AH132" s="14"/>
      <c r="AI132" s="201"/>
      <c r="AJ132" s="201"/>
      <c r="AK132" s="201"/>
      <c r="AL132" s="14"/>
      <c r="AM132" s="14"/>
      <c r="AN132" s="14"/>
      <c r="AO132" s="201"/>
      <c r="AP132" s="201"/>
      <c r="AQ132" s="201"/>
      <c r="AR132" s="14"/>
      <c r="AS132" s="14"/>
      <c r="AT132" s="14"/>
      <c r="AU132" s="201"/>
      <c r="AV132" s="201"/>
      <c r="AW132" s="201"/>
      <c r="AX132" s="14"/>
      <c r="AY132" s="14"/>
      <c r="AZ132" s="14"/>
      <c r="BA132" s="201"/>
      <c r="BB132" s="201"/>
      <c r="BC132" s="201"/>
      <c r="BD132" s="14"/>
      <c r="BE132" s="14"/>
      <c r="BF132" s="14"/>
      <c r="BG132" s="201"/>
      <c r="BH132" s="201"/>
      <c r="BI132" s="201"/>
      <c r="BJ132" s="14"/>
      <c r="BK132" s="14"/>
      <c r="BL132" s="14"/>
      <c r="BM132" s="201"/>
      <c r="BN132" s="201"/>
      <c r="BO132" s="201"/>
      <c r="BP132" s="14"/>
      <c r="BQ132" s="14"/>
      <c r="BR132" s="14"/>
      <c r="BS132" s="201"/>
      <c r="BT132" s="201"/>
      <c r="BU132" s="201"/>
      <c r="BV132" s="14"/>
      <c r="BW132" s="14"/>
      <c r="BX132" s="14"/>
      <c r="BY132" s="201"/>
      <c r="BZ132" s="201"/>
      <c r="CA132" s="201"/>
      <c r="CB132" s="14"/>
      <c r="CC132" s="14"/>
      <c r="CD132" s="14"/>
      <c r="CE132" s="201"/>
      <c r="CF132" s="201"/>
      <c r="CG132" s="201"/>
      <c r="CH132" s="14"/>
      <c r="CI132" s="14"/>
      <c r="CJ132" s="14"/>
      <c r="CK132" s="201"/>
      <c r="CL132" s="201"/>
      <c r="CM132" s="201"/>
      <c r="CN132" s="14"/>
      <c r="CO132" s="14"/>
      <c r="CP132" s="14"/>
      <c r="CQ132" s="201"/>
      <c r="CR132" s="201"/>
      <c r="CS132" s="201"/>
      <c r="CT132" s="14"/>
      <c r="CU132" s="14"/>
      <c r="CV132" s="14"/>
      <c r="CW132" s="201"/>
      <c r="CX132" s="201"/>
      <c r="CY132" s="205"/>
      <c r="CZ132" s="14"/>
      <c r="DA132" s="14"/>
      <c r="DB132" s="14"/>
      <c r="DC132" s="201"/>
      <c r="DD132" s="201"/>
      <c r="DE132" s="201"/>
      <c r="DF132" s="14"/>
      <c r="DG132" s="14"/>
      <c r="DH132" s="14"/>
      <c r="DI132" s="201"/>
      <c r="DJ132" s="201"/>
      <c r="DK132" s="201"/>
      <c r="DL132" s="14"/>
      <c r="DM132" s="14"/>
      <c r="DN132" s="14"/>
      <c r="DO132" s="201"/>
      <c r="DP132" s="201"/>
      <c r="DQ132" s="201"/>
      <c r="DR132" s="421"/>
      <c r="DS132" s="421"/>
      <c r="DT132" s="421"/>
    </row>
    <row r="133" spans="2:124" x14ac:dyDescent="0.35">
      <c r="B133" s="201"/>
      <c r="C133" s="13"/>
      <c r="D133" s="201" t="s">
        <v>485</v>
      </c>
      <c r="E133" s="213">
        <v>25.4</v>
      </c>
      <c r="F133" s="201"/>
      <c r="G133" s="205">
        <f>E133/E127</f>
        <v>1</v>
      </c>
      <c r="H133" s="14"/>
      <c r="I133" s="14"/>
      <c r="J133" s="14"/>
      <c r="K133" s="213">
        <v>25.4</v>
      </c>
      <c r="L133" s="201"/>
      <c r="M133" s="205">
        <f>K133/K127</f>
        <v>1</v>
      </c>
      <c r="N133" s="14"/>
      <c r="O133" s="14"/>
      <c r="P133" s="14"/>
      <c r="Q133" s="213">
        <v>25.4</v>
      </c>
      <c r="R133" s="201"/>
      <c r="S133" s="205">
        <f>Q133/Q127</f>
        <v>1</v>
      </c>
      <c r="T133" s="14"/>
      <c r="U133" s="14"/>
      <c r="V133" s="14"/>
      <c r="W133" s="213">
        <v>25.4</v>
      </c>
      <c r="X133" s="201"/>
      <c r="Y133" s="205">
        <f>W133/W127</f>
        <v>1</v>
      </c>
      <c r="Z133" s="14"/>
      <c r="AA133" s="14"/>
      <c r="AB133" s="14"/>
      <c r="AC133" s="213">
        <v>25.4</v>
      </c>
      <c r="AD133" s="201"/>
      <c r="AE133" s="205">
        <f>AC133/AC127</f>
        <v>1</v>
      </c>
      <c r="AF133" s="14"/>
      <c r="AG133" s="14"/>
      <c r="AH133" s="14"/>
      <c r="AI133" s="213">
        <v>25.4</v>
      </c>
      <c r="AJ133" s="201"/>
      <c r="AK133" s="205">
        <f>AI133/AI127</f>
        <v>1</v>
      </c>
      <c r="AL133" s="14"/>
      <c r="AM133" s="14"/>
      <c r="AN133" s="14"/>
      <c r="AO133" s="213">
        <v>25.4</v>
      </c>
      <c r="AP133" s="201"/>
      <c r="AQ133" s="205">
        <f>AO133/AO127</f>
        <v>1</v>
      </c>
      <c r="AR133" s="14"/>
      <c r="AS133" s="14"/>
      <c r="AT133" s="14"/>
      <c r="AU133" s="213">
        <v>25.4</v>
      </c>
      <c r="AV133" s="201"/>
      <c r="AW133" s="205">
        <f>AU133/AU127</f>
        <v>1</v>
      </c>
      <c r="AX133" s="14"/>
      <c r="AY133" s="14"/>
      <c r="AZ133" s="14"/>
      <c r="BA133" s="213">
        <v>25.4</v>
      </c>
      <c r="BB133" s="201"/>
      <c r="BC133" s="205">
        <f>BA133/BA127</f>
        <v>1</v>
      </c>
      <c r="BD133" s="14"/>
      <c r="BE133" s="14"/>
      <c r="BF133" s="14"/>
      <c r="BG133" s="213">
        <v>25.4</v>
      </c>
      <c r="BH133" s="201"/>
      <c r="BI133" s="205">
        <f>BG133/BG127</f>
        <v>1</v>
      </c>
      <c r="BJ133" s="14"/>
      <c r="BK133" s="14"/>
      <c r="BL133" s="14"/>
      <c r="BM133" s="213">
        <v>25.4</v>
      </c>
      <c r="BN133" s="201"/>
      <c r="BO133" s="205">
        <f>BM133/BM127</f>
        <v>1</v>
      </c>
      <c r="BP133" s="14"/>
      <c r="BQ133" s="14"/>
      <c r="BR133" s="14"/>
      <c r="BS133" s="213">
        <v>25.4</v>
      </c>
      <c r="BT133" s="201"/>
      <c r="BU133" s="205">
        <f>BS133/BS127</f>
        <v>1</v>
      </c>
      <c r="BV133" s="14"/>
      <c r="BW133" s="14"/>
      <c r="BX133" s="14"/>
      <c r="BY133" s="213">
        <v>25.4</v>
      </c>
      <c r="BZ133" s="201"/>
      <c r="CA133" s="205">
        <f>BY133/BY127</f>
        <v>1</v>
      </c>
      <c r="CB133" s="14"/>
      <c r="CC133" s="14"/>
      <c r="CD133" s="14"/>
      <c r="CE133" s="213">
        <v>25.4</v>
      </c>
      <c r="CF133" s="201"/>
      <c r="CG133" s="205">
        <f>CE133/CE127</f>
        <v>1</v>
      </c>
      <c r="CH133" s="14"/>
      <c r="CI133" s="14"/>
      <c r="CJ133" s="14"/>
      <c r="CK133" s="213">
        <v>25.4</v>
      </c>
      <c r="CL133" s="201"/>
      <c r="CM133" s="205">
        <f>CK133/CK127</f>
        <v>1</v>
      </c>
      <c r="CN133" s="14"/>
      <c r="CO133" s="14"/>
      <c r="CP133" s="14"/>
      <c r="CQ133" s="213">
        <v>25.4</v>
      </c>
      <c r="CR133" s="201"/>
      <c r="CS133" s="205">
        <f>CQ133/CQ127</f>
        <v>1</v>
      </c>
      <c r="CT133" s="14"/>
      <c r="CU133" s="14"/>
      <c r="CV133" s="14"/>
      <c r="CW133" s="201"/>
      <c r="CX133" s="201"/>
      <c r="CY133" s="201"/>
      <c r="CZ133" s="14"/>
      <c r="DA133" s="14"/>
      <c r="DB133" s="14"/>
      <c r="DC133" s="213">
        <v>25.4</v>
      </c>
      <c r="DD133" s="201"/>
      <c r="DE133" s="205">
        <f>DC133/DC127</f>
        <v>1</v>
      </c>
      <c r="DF133" s="14"/>
      <c r="DG133" s="14"/>
      <c r="DH133" s="14"/>
      <c r="DI133" s="213">
        <v>25.4</v>
      </c>
      <c r="DJ133" s="201"/>
      <c r="DK133" s="205">
        <f>DI133/DI127</f>
        <v>1</v>
      </c>
      <c r="DL133" s="14"/>
      <c r="DM133" s="14"/>
      <c r="DN133" s="14"/>
      <c r="DO133" s="213">
        <v>25.4</v>
      </c>
      <c r="DP133" s="201"/>
      <c r="DQ133" s="205">
        <f>DO133/DO127</f>
        <v>1</v>
      </c>
      <c r="DR133" s="421"/>
      <c r="DS133" s="421"/>
      <c r="DT133" s="421"/>
    </row>
    <row r="134" spans="2:124" x14ac:dyDescent="0.35">
      <c r="B134" s="201"/>
      <c r="C134" s="13"/>
      <c r="D134" s="201" t="s">
        <v>478</v>
      </c>
      <c r="E134" s="202">
        <v>0</v>
      </c>
      <c r="F134" s="205">
        <f>IF(AND(ISNUMBER(E127),ISNUMBER(E133)),E134*G134,0)</f>
        <v>0</v>
      </c>
      <c r="G134" s="205">
        <f>IF(G133&gt;5,IF(D44&lt;=2500,(1.2+160/D44)*((D29/E127)^4-1),(0.6+0.48*D46)*(D29/E127)^2*((D29/E127)^2-1))+IF(D44&lt;4000,2*(1-(E127/D29)^4),(1+0.8*D46)*(1-(D29/E127)^2)^2),G129*(0.584+(0.0936/(G133^1.5+0.225))))</f>
        <v>2362.8191716750466</v>
      </c>
      <c r="H134" s="14"/>
      <c r="I134" s="14"/>
      <c r="J134" s="14"/>
      <c r="K134" s="202">
        <v>0</v>
      </c>
      <c r="L134" s="205">
        <f>IF(AND(ISNUMBER(K127),ISNUMBER(K133)),K134*M134,0)</f>
        <v>0</v>
      </c>
      <c r="M134" s="205">
        <f>IF(M133&gt;5,IF(J44&lt;=2500,(1.2+160/J44)*((J29/K127)^4-1),(0.6+0.48*J46)*(J29/K127)^2*((J29/K127)^2-1))+IF(J44&lt;4000,2*(1-(K127/J29)^4),(1+0.8*J46)*(1-(J29/K127)^2)^2),M129*(0.584+(0.0936/(M133^1.5+0.225))))</f>
        <v>2362.8191770571802</v>
      </c>
      <c r="N134" s="14"/>
      <c r="O134" s="14"/>
      <c r="P134" s="14"/>
      <c r="Q134" s="202">
        <v>0</v>
      </c>
      <c r="R134" s="205">
        <f>IF(AND(ISNUMBER(Q127),ISNUMBER(Q133)),Q134*S134,0)</f>
        <v>0</v>
      </c>
      <c r="S134" s="205">
        <f>IF(S133&gt;5,IF(P44&lt;=2500,(1.2+160/P44)*((P29/Q127)^4-1),(0.6+0.48*P46)*(P29/Q127)^2*((P29/Q127)^2-1))+IF(P44&lt;4000,2*(1-(Q127/P29)^4),(1+0.8*P46)*(1-(P29/Q127)^2)^2),S129*(0.584+(0.0936/(S133^1.5+0.225))))</f>
        <v>2362.8191770571802</v>
      </c>
      <c r="T134" s="14"/>
      <c r="U134" s="14"/>
      <c r="V134" s="14"/>
      <c r="W134" s="202">
        <v>0</v>
      </c>
      <c r="X134" s="205">
        <f>IF(AND(ISNUMBER(W127),ISNUMBER(W133)),W134*Y134,0)</f>
        <v>0</v>
      </c>
      <c r="Y134" s="205">
        <f>IF(Y133&gt;5,IF(V44&lt;=2500,(1.2+160/V44)*((V29/W127)^4-1),(0.6+0.48*V46)*(V29/W127)^2*((V29/W127)^2-1))+IF(V44&lt;4000,2*(1-(W127/V29)^4),(1+0.8*V46)*(1-(V29/W127)^2)^2),Y129*(0.584+(0.0936/(Y133^1.5+0.225))))</f>
        <v>2362.7770885628302</v>
      </c>
      <c r="Z134" s="14"/>
      <c r="AA134" s="14"/>
      <c r="AB134" s="14"/>
      <c r="AC134" s="202">
        <v>0</v>
      </c>
      <c r="AD134" s="205">
        <f>IF(AND(ISNUMBER(AC127),ISNUMBER(AC133)),AC134*AE134,0)</f>
        <v>0</v>
      </c>
      <c r="AE134" s="205">
        <f>IF(AE133&gt;5,IF(AB44&lt;=2500,(1.2+160/AB44)*((AB29/AC127)^4-1),(0.6+0.48*AB46)*(AB29/AC127)^2*((AB29/AC127)^2-1))+IF(AB44&lt;4000,2*(1-(AC127/AB29)^4),(1+0.8*AB46)*(1-(AB29/AC127)^2)^2),AE129*(0.584+(0.0936/(AE133^1.5+0.225))))</f>
        <v>441.141626654508</v>
      </c>
      <c r="AF134" s="14"/>
      <c r="AG134" s="14"/>
      <c r="AH134" s="14"/>
      <c r="AI134" s="202">
        <v>0</v>
      </c>
      <c r="AJ134" s="205">
        <f>IF(AND(ISNUMBER(AI127),ISNUMBER(AI133)),AI134*AK134,0)</f>
        <v>0</v>
      </c>
      <c r="AK134" s="205">
        <f>IF(AK133&gt;5,IF(#REF!&lt;=2500,(1.2+160/#REF!)*((#REF!/AI127)^4-1),(0.6+0.48*#REF!)*(#REF!/AI127)^2*((#REF!/AI127)^2-1))+IF(#REF!&lt;4000,2*(1-(AI127/#REF!)^4),(1+0.8*#REF!)*(1-(#REF!/AI127)^2)^2),AK129*(0.584+(0.0936/(AK133^1.5+0.225))))</f>
        <v>441.141626654508</v>
      </c>
      <c r="AL134" s="14"/>
      <c r="AM134" s="14"/>
      <c r="AN134" s="14"/>
      <c r="AO134" s="202">
        <v>0</v>
      </c>
      <c r="AP134" s="205">
        <f>IF(AND(ISNUMBER(AO127),ISNUMBER(AO133)),AO134*AQ134,0)</f>
        <v>0</v>
      </c>
      <c r="AQ134" s="205">
        <f>IF(AQ133&gt;5,IF(AN44&lt;=2500,(1.2+160/AN44)*((AN29/AO127)^4-1),(0.6+0.48*AN46)*(AN29/AO127)^2*((AN29/AO127)^2-1))+IF(AN44&lt;4000,2*(1-(AO127/AN29)^4),(1+0.8*AN46)*(1-(AN29/AO127)^2)^2),AQ129*(0.584+(0.0936/(AQ133^1.5+0.225))))</f>
        <v>441.141626654508</v>
      </c>
      <c r="AR134" s="14"/>
      <c r="AS134" s="14"/>
      <c r="AT134" s="14"/>
      <c r="AU134" s="202">
        <v>0</v>
      </c>
      <c r="AV134" s="205">
        <f>IF(AND(ISNUMBER(AU127),ISNUMBER(AU133)),AU134*AW134,0)</f>
        <v>0</v>
      </c>
      <c r="AW134" s="205">
        <f>IF(AW133&gt;5,IF(AT44&lt;=2500,(1.2+160/AT44)*((AT29/AU127)^4-1),(0.6+0.48*AT46)*(AT29/AU127)^2*((AT29/AU127)^2-1))+IF(AT44&lt;4000,2*(1-(AU127/AT29)^4),(1+0.8*AT46)*(1-(AT29/AU127)^2)^2),AW129*(0.584+(0.0936/(AW133^1.5+0.225))))</f>
        <v>441.14163075237235</v>
      </c>
      <c r="AX134" s="14"/>
      <c r="AY134" s="14"/>
      <c r="AZ134" s="14"/>
      <c r="BA134" s="202">
        <v>0</v>
      </c>
      <c r="BB134" s="205">
        <f>IF(AND(ISNUMBER(BA127),ISNUMBER(BA133)),BA134*BC134,0)</f>
        <v>0</v>
      </c>
      <c r="BC134" s="205">
        <f>IF(BC133&gt;5,IF(AZ44&lt;=2500,(1.2+160/AZ44)*((AZ29/BA127)^4-1),(0.6+0.48*AZ46)*(AZ29/BA127)^2*((AZ29/BA127)^2-1))+IF(AZ44&lt;4000,2*(1-(BA127/AZ29)^4),(1+0.8*AZ46)*(1-(AZ29/BA127)^2)^2),BC129*(0.584+(0.0936/(BC133^1.5+0.225))))</f>
        <v>441.14163075237235</v>
      </c>
      <c r="BD134" s="14"/>
      <c r="BE134" s="14"/>
      <c r="BF134" s="14"/>
      <c r="BG134" s="202">
        <v>0</v>
      </c>
      <c r="BH134" s="205">
        <f>IF(AND(ISNUMBER(BG127),ISNUMBER(BG133)),BG134*BI134,0)</f>
        <v>0</v>
      </c>
      <c r="BI134" s="205">
        <f>IF(BI133&gt;5,IF(BF44&lt;=2500,(1.2+160/BF44)*((BF29/BG127)^4-1),(0.6+0.48*BF46)*(BF29/BG127)^2*((BF29/BG127)^2-1))+IF(BF44&lt;4000,2*(1-(BG127/BF29)^4),(1+0.8*BF46)*(1-(BF29/BG127)^2)^2),BI129*(0.584+(0.0936/(BI133^1.5+0.225))))</f>
        <v>441.14163075237235</v>
      </c>
      <c r="BJ134" s="14"/>
      <c r="BK134" s="14"/>
      <c r="BL134" s="14"/>
      <c r="BM134" s="202">
        <v>0</v>
      </c>
      <c r="BN134" s="205">
        <f>IF(AND(ISNUMBER(BM127),ISNUMBER(BM133)),BM134*BO134,0)</f>
        <v>0</v>
      </c>
      <c r="BO134" s="205">
        <f>IF(BO133&gt;5,IF(BL44&lt;=2500,(1.2+160/BL44)*((BL29/BM127)^4-1),(0.6+0.48*BL46)*(BL29/BM127)^2*((BL29/BM127)^2-1))+IF(BL44&lt;4000,2*(1-(BM127/BL29)^4),(1+0.8*BL46)*(1-(BL29/BM127)^2)^2),BO129*(0.584+(0.0936/(BO133^1.5+0.225))))</f>
        <v>7172.187625092809</v>
      </c>
      <c r="BP134" s="14"/>
      <c r="BQ134" s="14"/>
      <c r="BR134" s="14"/>
      <c r="BS134" s="202">
        <v>0</v>
      </c>
      <c r="BT134" s="205">
        <f>IF(AND(ISNUMBER(BS127),ISNUMBER(BS133)),BS134*BU134,0)</f>
        <v>0</v>
      </c>
      <c r="BU134" s="205">
        <f>IF(BU133&gt;5,IF(BR44&lt;=2500,(1.2+160/BR44)*((BR29/BS127)^4-1),(0.6+0.48*BR46)*(BR29/BS127)^2*((BR29/BS127)^2-1))+IF(BR44&lt;4000,2*(1-(BS127/BR29)^4),(1+0.8*BR46)*(1-(BR29/BS127)^2)^2),BU129*(0.584+(0.0936/(BU133^1.5+0.225))))</f>
        <v>7172.1065552040136</v>
      </c>
      <c r="BV134" s="14"/>
      <c r="BW134" s="14"/>
      <c r="BX134" s="14"/>
      <c r="BY134" s="202">
        <v>0</v>
      </c>
      <c r="BZ134" s="205">
        <f>IF(AND(ISNUMBER(BY127),ISNUMBER(BY133)),BY134*CA134,0)</f>
        <v>0</v>
      </c>
      <c r="CA134" s="205">
        <f>IF(CA133&gt;5,IF(BX44&lt;=2500,(1.2+160/BX44)*((BX29/BY127)^4-1),(0.6+0.48*BX46)*(BX29/BY127)^2*((BX29/BY127)^2-1))+IF(BX44&lt;4000,2*(1-(BY127/BX29)^4),(1+0.8*BX46)*(1-(BX29/BY127)^2)^2),CA129*(0.584+(0.0936/(CA133^1.5+0.225))))</f>
        <v>441.15863786288367</v>
      </c>
      <c r="CB134" s="14"/>
      <c r="CC134" s="14"/>
      <c r="CD134" s="14"/>
      <c r="CE134" s="202">
        <v>0</v>
      </c>
      <c r="CF134" s="205">
        <f>IF(AND(ISNUMBER(CE127),ISNUMBER(CE133)),CE134*CG134,0)</f>
        <v>0</v>
      </c>
      <c r="CG134" s="205">
        <f>IF(CG133&gt;5,IF(CD44&lt;=2500,(1.2+160/CD44)*((CD29/CE127)^4-1),(0.6+0.48*CD46)*(CD29/CE127)^2*((CD29/CE127)^2-1))+IF(CD44&lt;4000,2*(1-(CE127/CD29)^4),(1+0.8*CD46)*(1-(CD29/CE127)^2)^2),CG129*(0.584+(0.0936/(CG133^1.5+0.225))))</f>
        <v>441.15863786288367</v>
      </c>
      <c r="CH134" s="14"/>
      <c r="CI134" s="14"/>
      <c r="CJ134" s="14"/>
      <c r="CK134" s="202">
        <v>0</v>
      </c>
      <c r="CL134" s="205">
        <f>IF(AND(ISNUMBER(CK127),ISNUMBER(CK133)),CK134*CM134,0)</f>
        <v>0</v>
      </c>
      <c r="CM134" s="205">
        <f>IF(CM133&gt;5,IF(CJ44&lt;=2500,(1.2+160/CJ44)*((CJ29/CK127)^4-1),(0.6+0.48*CJ46)*(CJ29/CK127)^2*((CJ29/CK127)^2-1))+IF(CJ44&lt;4000,2*(1-(CK127/CJ29)^4),(1+0.8*CJ46)*(1-(CJ29/CK127)^2)^2),CM129*(0.584+(0.0936/(CM133^1.5+0.225))))</f>
        <v>110.38462245121731</v>
      </c>
      <c r="CN134" s="14"/>
      <c r="CO134" s="14"/>
      <c r="CP134" s="14"/>
      <c r="CQ134" s="202">
        <v>0</v>
      </c>
      <c r="CR134" s="205">
        <f>IF(AND(ISNUMBER(CQ127),ISNUMBER(CQ133)),CQ134*CS134,0)</f>
        <v>0</v>
      </c>
      <c r="CS134" s="205">
        <f>IF(CS133&gt;5,IF(CP44&lt;=2500,(1.2+160/CP44)*((CP29/CQ127)^4-1),(0.6+0.48*CP46)*(CP29/CQ127)^2*((CP29/CQ127)^2-1))+IF(CP44&lt;4000,2*(1-(CQ127/CP29)^4),(1+0.8*CP46)*(1-(CP29/CQ127)^2)^2),CS129*(0.584+(0.0936/(CS133^1.5+0.225))))</f>
        <v>110.38462245121731</v>
      </c>
      <c r="CT134" s="14"/>
      <c r="CU134" s="14"/>
      <c r="CV134" s="14"/>
      <c r="CW134" s="213">
        <v>25.4</v>
      </c>
      <c r="CX134" s="201"/>
      <c r="CY134" s="205">
        <f>CW134/CW128</f>
        <v>1</v>
      </c>
      <c r="CZ134" s="14"/>
      <c r="DA134" s="14"/>
      <c r="DB134" s="14"/>
      <c r="DC134" s="202">
        <v>0</v>
      </c>
      <c r="DD134" s="205">
        <f>IF(AND(ISNUMBER(DC127),ISNUMBER(DC133)),DC134*DE134,0)</f>
        <v>0</v>
      </c>
      <c r="DE134" s="205">
        <f>IF(DE133&gt;5,IF(DB44&lt;=2500,(1.2+160/DB44)*((DB29/DC127)^4-1),(0.6+0.48*DB46)*(DB29/DC127)^2*((DB29/DC127)^2-1))+IF(DB44&lt;4000,2*(1-(DC127/DB29)^4),(1+0.8*DB46)*(1-(DB29/DC127)^2)^2),DE129*(0.584+(0.0936/(DE133^1.5+0.225))))</f>
        <v>110.38462245121731</v>
      </c>
      <c r="DF134" s="14"/>
      <c r="DG134" s="14"/>
      <c r="DH134" s="14"/>
      <c r="DI134" s="202">
        <v>0</v>
      </c>
      <c r="DJ134" s="205">
        <f>IF(AND(ISNUMBER(DI127),ISNUMBER(DI133)),DI134*DK134,0)</f>
        <v>0</v>
      </c>
      <c r="DK134" s="205">
        <f>IF(DK133&gt;5,IF(DH44&lt;=2500,(1.2+160/DH44)*((DH29/DI127)^4-1),(0.6+0.48*DH46)*(DH29/DI127)^2*((DH29/DI127)^2-1))+IF(DH44&lt;4000,2*(1-(DI127/DH29)^4),(1+0.8*DH46)*(1-(DH29/DI127)^2)^2),DK129*(0.584+(0.0936/(DK133^1.5+0.225))))</f>
        <v>110.38462245121731</v>
      </c>
      <c r="DL134" s="14"/>
      <c r="DM134" s="14"/>
      <c r="DN134" s="14"/>
      <c r="DO134" s="202">
        <v>0</v>
      </c>
      <c r="DP134" s="205">
        <f>IF(AND(ISNUMBER(DO127),ISNUMBER(DO133)),DO134*DQ134,0)</f>
        <v>0</v>
      </c>
      <c r="DQ134" s="205">
        <f>IF(DQ133&gt;5,IF(DN44&lt;=2500,(1.2+160/DN44)*((DN29/DO127)^4-1),(0.6+0.48*DN46)*(DN29/DO127)^2*((DN29/DO127)^2-1))+IF(DN44&lt;4000,2*(1-(DO127/DN29)^4),(1+0.8*DN46)*(1-(DN29/DO127)^2)^2),DQ129*(0.584+(0.0936/(DQ133^1.5+0.225))))</f>
        <v>0.63606917622009218</v>
      </c>
      <c r="DR134" s="421"/>
      <c r="DS134" s="421"/>
      <c r="DT134" s="421"/>
    </row>
    <row r="135" spans="2:124" x14ac:dyDescent="0.35">
      <c r="B135" s="201"/>
      <c r="C135" s="201"/>
      <c r="D135" s="201"/>
      <c r="E135" s="201"/>
      <c r="F135" s="201"/>
      <c r="G135" s="205"/>
      <c r="H135" s="14"/>
      <c r="I135" s="14"/>
      <c r="J135" s="14"/>
      <c r="K135" s="201"/>
      <c r="L135" s="201"/>
      <c r="M135" s="205"/>
      <c r="N135" s="14"/>
      <c r="O135" s="14"/>
      <c r="P135" s="14"/>
      <c r="Q135" s="201"/>
      <c r="R135" s="201"/>
      <c r="S135" s="205"/>
      <c r="T135" s="14"/>
      <c r="U135" s="14"/>
      <c r="V135" s="14"/>
      <c r="W135" s="201"/>
      <c r="X135" s="201"/>
      <c r="Y135" s="205"/>
      <c r="Z135" s="14"/>
      <c r="AA135" s="14"/>
      <c r="AB135" s="14"/>
      <c r="AC135" s="201"/>
      <c r="AD135" s="201"/>
      <c r="AE135" s="205"/>
      <c r="AF135" s="14"/>
      <c r="AG135" s="14"/>
      <c r="AH135" s="14"/>
      <c r="AI135" s="201"/>
      <c r="AJ135" s="201"/>
      <c r="AK135" s="205"/>
      <c r="AL135" s="14"/>
      <c r="AM135" s="14"/>
      <c r="AN135" s="14"/>
      <c r="AO135" s="201"/>
      <c r="AP135" s="201"/>
      <c r="AQ135" s="205"/>
      <c r="AR135" s="14"/>
      <c r="AS135" s="14"/>
      <c r="AT135" s="14"/>
      <c r="AU135" s="201"/>
      <c r="AV135" s="201"/>
      <c r="AW135" s="205"/>
      <c r="AX135" s="14"/>
      <c r="AY135" s="14"/>
      <c r="AZ135" s="14"/>
      <c r="BA135" s="201"/>
      <c r="BB135" s="201"/>
      <c r="BC135" s="205"/>
      <c r="BD135" s="14"/>
      <c r="BE135" s="14"/>
      <c r="BF135" s="14"/>
      <c r="BG135" s="201"/>
      <c r="BH135" s="201"/>
      <c r="BI135" s="205"/>
      <c r="BJ135" s="14"/>
      <c r="BK135" s="14"/>
      <c r="BL135" s="14"/>
      <c r="BM135" s="201"/>
      <c r="BN135" s="201"/>
      <c r="BO135" s="205"/>
      <c r="BP135" s="14"/>
      <c r="BQ135" s="14"/>
      <c r="BR135" s="14"/>
      <c r="BS135" s="201"/>
      <c r="BT135" s="201"/>
      <c r="BU135" s="205"/>
      <c r="BV135" s="14"/>
      <c r="BW135" s="14"/>
      <c r="BX135" s="14"/>
      <c r="BY135" s="201"/>
      <c r="BZ135" s="201"/>
      <c r="CA135" s="205"/>
      <c r="CB135" s="14"/>
      <c r="CC135" s="14"/>
      <c r="CD135" s="14"/>
      <c r="CE135" s="201"/>
      <c r="CF135" s="201"/>
      <c r="CG135" s="205"/>
      <c r="CH135" s="14"/>
      <c r="CI135" s="14"/>
      <c r="CJ135" s="14"/>
      <c r="CK135" s="201"/>
      <c r="CL135" s="201"/>
      <c r="CM135" s="205"/>
      <c r="CN135" s="14"/>
      <c r="CO135" s="14"/>
      <c r="CP135" s="14"/>
      <c r="CQ135" s="201"/>
      <c r="CR135" s="201"/>
      <c r="CS135" s="205"/>
      <c r="CT135" s="14"/>
      <c r="CU135" s="14"/>
      <c r="CV135" s="14"/>
      <c r="CW135" s="202">
        <v>0</v>
      </c>
      <c r="CX135" s="205" t="e">
        <f>IF(AND(ISNUMBER(CW128),ISNUMBER(CW134)),CW135*CY135,0)</f>
        <v>#VALUE!</v>
      </c>
      <c r="CY135" s="205" t="e">
        <f>IF(CY134&gt;5,IF(CV45&lt;=2500,(1.2+160/CV45)*((CV30/CW128)^4-1),(0.6+0.48*CV47)*(CV30/CW128)^2*((CV30/CW128)^2-1))+IF(CV45&lt;4000,2*(1-(CW128/CV30)^4),(1+0.8*CV47)*(1-(CV30/CW128)^2)^2),CY130*(0.584+(0.0936/(CY134^1.5+0.225))))</f>
        <v>#VALUE!</v>
      </c>
      <c r="CZ135" s="14"/>
      <c r="DA135" s="14"/>
      <c r="DB135" s="14"/>
      <c r="DC135" s="201"/>
      <c r="DD135" s="201"/>
      <c r="DE135" s="205"/>
      <c r="DF135" s="14"/>
      <c r="DG135" s="14"/>
      <c r="DH135" s="14"/>
      <c r="DI135" s="201"/>
      <c r="DJ135" s="201"/>
      <c r="DK135" s="205"/>
      <c r="DL135" s="14"/>
      <c r="DM135" s="14"/>
      <c r="DN135" s="14"/>
      <c r="DO135" s="201"/>
      <c r="DP135" s="201"/>
      <c r="DQ135" s="205"/>
      <c r="DR135" s="421"/>
      <c r="DS135" s="421"/>
      <c r="DT135" s="421"/>
    </row>
    <row r="136" spans="2:124" x14ac:dyDescent="0.35">
      <c r="B136" s="203" t="s">
        <v>486</v>
      </c>
      <c r="C136" s="203"/>
      <c r="D136" s="201" t="s">
        <v>514</v>
      </c>
      <c r="E136" s="213">
        <v>3</v>
      </c>
      <c r="F136" s="201"/>
      <c r="G136" s="201"/>
      <c r="H136" s="14"/>
      <c r="I136" s="14"/>
      <c r="J136" s="14"/>
      <c r="K136" s="213">
        <v>3</v>
      </c>
      <c r="L136" s="201"/>
      <c r="M136" s="201"/>
      <c r="N136" s="14"/>
      <c r="O136" s="14"/>
      <c r="P136" s="14"/>
      <c r="Q136" s="213">
        <v>3</v>
      </c>
      <c r="R136" s="201"/>
      <c r="S136" s="201"/>
      <c r="T136" s="14"/>
      <c r="U136" s="14"/>
      <c r="V136" s="14"/>
      <c r="W136" s="213">
        <v>3</v>
      </c>
      <c r="X136" s="201"/>
      <c r="Y136" s="201"/>
      <c r="Z136" s="14"/>
      <c r="AA136" s="14"/>
      <c r="AB136" s="14"/>
      <c r="AC136" s="213">
        <v>3</v>
      </c>
      <c r="AD136" s="201"/>
      <c r="AE136" s="201"/>
      <c r="AF136" s="14"/>
      <c r="AG136" s="14"/>
      <c r="AH136" s="14"/>
      <c r="AI136" s="213">
        <v>3</v>
      </c>
      <c r="AJ136" s="201"/>
      <c r="AK136" s="201"/>
      <c r="AL136" s="14"/>
      <c r="AM136" s="14"/>
      <c r="AN136" s="14"/>
      <c r="AO136" s="213">
        <v>3</v>
      </c>
      <c r="AP136" s="201"/>
      <c r="AQ136" s="201"/>
      <c r="AR136" s="14"/>
      <c r="AS136" s="14"/>
      <c r="AT136" s="14"/>
      <c r="AU136" s="213">
        <v>3</v>
      </c>
      <c r="AV136" s="201"/>
      <c r="AW136" s="201"/>
      <c r="AX136" s="14"/>
      <c r="AY136" s="14"/>
      <c r="AZ136" s="14"/>
      <c r="BA136" s="213">
        <v>3</v>
      </c>
      <c r="BB136" s="201"/>
      <c r="BC136" s="201"/>
      <c r="BD136" s="14"/>
      <c r="BE136" s="14"/>
      <c r="BF136" s="14"/>
      <c r="BG136" s="213">
        <v>3</v>
      </c>
      <c r="BH136" s="201"/>
      <c r="BI136" s="201"/>
      <c r="BJ136" s="14"/>
      <c r="BK136" s="14"/>
      <c r="BL136" s="14"/>
      <c r="BM136" s="213">
        <v>3</v>
      </c>
      <c r="BN136" s="201"/>
      <c r="BO136" s="201"/>
      <c r="BP136" s="14"/>
      <c r="BQ136" s="14"/>
      <c r="BR136" s="14"/>
      <c r="BS136" s="213">
        <v>3</v>
      </c>
      <c r="BT136" s="201"/>
      <c r="BU136" s="201"/>
      <c r="BV136" s="14"/>
      <c r="BW136" s="14"/>
      <c r="BX136" s="14"/>
      <c r="BY136" s="213">
        <v>3</v>
      </c>
      <c r="BZ136" s="201"/>
      <c r="CA136" s="201"/>
      <c r="CB136" s="14"/>
      <c r="CC136" s="14"/>
      <c r="CD136" s="14"/>
      <c r="CE136" s="213">
        <v>3</v>
      </c>
      <c r="CF136" s="201"/>
      <c r="CG136" s="201"/>
      <c r="CH136" s="14"/>
      <c r="CI136" s="14"/>
      <c r="CJ136" s="14"/>
      <c r="CK136" s="213">
        <v>3</v>
      </c>
      <c r="CL136" s="201"/>
      <c r="CM136" s="201"/>
      <c r="CN136" s="14"/>
      <c r="CO136" s="14"/>
      <c r="CP136" s="14"/>
      <c r="CQ136" s="213">
        <v>3</v>
      </c>
      <c r="CR136" s="201"/>
      <c r="CS136" s="201"/>
      <c r="CT136" s="14"/>
      <c r="CU136" s="14"/>
      <c r="CV136" s="14"/>
      <c r="CW136" s="201"/>
      <c r="CX136" s="201"/>
      <c r="CY136" s="205"/>
      <c r="CZ136" s="14"/>
      <c r="DA136" s="14"/>
      <c r="DB136" s="14"/>
      <c r="DC136" s="213">
        <v>3</v>
      </c>
      <c r="DD136" s="201"/>
      <c r="DE136" s="201"/>
      <c r="DF136" s="14"/>
      <c r="DG136" s="14"/>
      <c r="DH136" s="14"/>
      <c r="DI136" s="213">
        <v>3</v>
      </c>
      <c r="DJ136" s="201"/>
      <c r="DK136" s="201"/>
      <c r="DL136" s="14"/>
      <c r="DM136" s="14"/>
      <c r="DN136" s="14"/>
      <c r="DO136" s="213">
        <v>3</v>
      </c>
      <c r="DP136" s="201"/>
      <c r="DQ136" s="201"/>
      <c r="DR136" s="421"/>
      <c r="DS136" s="421"/>
      <c r="DT136" s="421"/>
    </row>
    <row r="137" spans="2:124" ht="14.5" hidden="1" customHeight="1" x14ac:dyDescent="0.35">
      <c r="B137" s="203"/>
      <c r="C137" s="203"/>
      <c r="D137" s="201"/>
      <c r="E137" s="213">
        <f>E136*25.4</f>
        <v>76.199999999999989</v>
      </c>
      <c r="F137" s="201"/>
      <c r="G137" s="201"/>
      <c r="H137" s="14"/>
      <c r="I137" s="14"/>
      <c r="J137" s="14"/>
      <c r="K137" s="213">
        <f>K136*25.4</f>
        <v>76.199999999999989</v>
      </c>
      <c r="L137" s="201"/>
      <c r="M137" s="201"/>
      <c r="N137" s="14"/>
      <c r="O137" s="14"/>
      <c r="P137" s="14"/>
      <c r="Q137" s="213">
        <f>Q136*25.4</f>
        <v>76.199999999999989</v>
      </c>
      <c r="R137" s="201"/>
      <c r="S137" s="201"/>
      <c r="T137" s="14"/>
      <c r="U137" s="14"/>
      <c r="V137" s="14"/>
      <c r="W137" s="213">
        <f>W136*25.4</f>
        <v>76.199999999999989</v>
      </c>
      <c r="X137" s="201"/>
      <c r="Y137" s="201"/>
      <c r="Z137" s="14"/>
      <c r="AA137" s="14"/>
      <c r="AB137" s="14"/>
      <c r="AC137" s="213">
        <f>AC136*25.4</f>
        <v>76.199999999999989</v>
      </c>
      <c r="AD137" s="201"/>
      <c r="AE137" s="201"/>
      <c r="AF137" s="14"/>
      <c r="AG137" s="14"/>
      <c r="AH137" s="14"/>
      <c r="AI137" s="213">
        <f>AI136*25.4</f>
        <v>76.199999999999989</v>
      </c>
      <c r="AJ137" s="201"/>
      <c r="AK137" s="201"/>
      <c r="AL137" s="14"/>
      <c r="AM137" s="14"/>
      <c r="AN137" s="14"/>
      <c r="AO137" s="213">
        <f>AO136*25.4</f>
        <v>76.199999999999989</v>
      </c>
      <c r="AP137" s="201"/>
      <c r="AQ137" s="201"/>
      <c r="AR137" s="14"/>
      <c r="AS137" s="14"/>
      <c r="AT137" s="14"/>
      <c r="AU137" s="213">
        <f>AU136*25.4</f>
        <v>76.199999999999989</v>
      </c>
      <c r="AV137" s="201"/>
      <c r="AW137" s="201"/>
      <c r="AX137" s="14"/>
      <c r="AY137" s="14"/>
      <c r="AZ137" s="14"/>
      <c r="BA137" s="213">
        <f>BA136*25.4</f>
        <v>76.199999999999989</v>
      </c>
      <c r="BB137" s="201"/>
      <c r="BC137" s="201"/>
      <c r="BD137" s="14"/>
      <c r="BE137" s="14"/>
      <c r="BF137" s="14"/>
      <c r="BG137" s="213">
        <f>BG136*25.4</f>
        <v>76.199999999999989</v>
      </c>
      <c r="BH137" s="201"/>
      <c r="BI137" s="201"/>
      <c r="BJ137" s="14"/>
      <c r="BK137" s="14"/>
      <c r="BL137" s="14"/>
      <c r="BM137" s="213">
        <f>BM136*25.4</f>
        <v>76.199999999999989</v>
      </c>
      <c r="BN137" s="201"/>
      <c r="BO137" s="201"/>
      <c r="BP137" s="14"/>
      <c r="BQ137" s="14"/>
      <c r="BR137" s="14"/>
      <c r="BS137" s="213">
        <f>BS136*25.4</f>
        <v>76.199999999999989</v>
      </c>
      <c r="BT137" s="201"/>
      <c r="BU137" s="201"/>
      <c r="BV137" s="14"/>
      <c r="BW137" s="14"/>
      <c r="BX137" s="14"/>
      <c r="BY137" s="213">
        <f>BY136*25.4</f>
        <v>76.199999999999989</v>
      </c>
      <c r="BZ137" s="201"/>
      <c r="CA137" s="201"/>
      <c r="CB137" s="14"/>
      <c r="CC137" s="14"/>
      <c r="CD137" s="14"/>
      <c r="CE137" s="213">
        <f>CE136*25.4</f>
        <v>76.199999999999989</v>
      </c>
      <c r="CF137" s="201"/>
      <c r="CG137" s="201"/>
      <c r="CH137" s="14"/>
      <c r="CI137" s="14"/>
      <c r="CJ137" s="14"/>
      <c r="CK137" s="213">
        <f>CK136*25.4</f>
        <v>76.199999999999989</v>
      </c>
      <c r="CL137" s="201"/>
      <c r="CM137" s="201"/>
      <c r="CN137" s="14"/>
      <c r="CO137" s="14"/>
      <c r="CP137" s="14"/>
      <c r="CQ137" s="213">
        <f>CQ136*25.4</f>
        <v>76.199999999999989</v>
      </c>
      <c r="CR137" s="201"/>
      <c r="CS137" s="201"/>
      <c r="CT137" s="14"/>
      <c r="CU137" s="14"/>
      <c r="CV137" s="14"/>
      <c r="CW137" s="213">
        <v>3</v>
      </c>
      <c r="CX137" s="201"/>
      <c r="CY137" s="201"/>
      <c r="CZ137" s="14"/>
      <c r="DA137" s="14"/>
      <c r="DB137" s="14"/>
      <c r="DC137" s="213">
        <f>DC136*25.4</f>
        <v>76.199999999999989</v>
      </c>
      <c r="DD137" s="201"/>
      <c r="DE137" s="201"/>
      <c r="DF137" s="14"/>
      <c r="DG137" s="14"/>
      <c r="DH137" s="14"/>
      <c r="DI137" s="213">
        <f>DI136*25.4</f>
        <v>76.199999999999989</v>
      </c>
      <c r="DJ137" s="201"/>
      <c r="DK137" s="201"/>
      <c r="DL137" s="14"/>
      <c r="DM137" s="14"/>
      <c r="DN137" s="14"/>
      <c r="DO137" s="213">
        <f>DO136*25.4</f>
        <v>76.199999999999989</v>
      </c>
      <c r="DP137" s="201"/>
      <c r="DQ137" s="201"/>
      <c r="DR137" s="421"/>
      <c r="DS137" s="421"/>
      <c r="DT137" s="421"/>
    </row>
    <row r="138" spans="2:124" x14ac:dyDescent="0.35">
      <c r="B138" s="208" t="s">
        <v>487</v>
      </c>
      <c r="C138" s="13"/>
      <c r="D138" s="13"/>
      <c r="E138" s="201"/>
      <c r="F138" s="201"/>
      <c r="G138" s="205"/>
      <c r="H138" s="14"/>
      <c r="I138" s="14"/>
      <c r="J138" s="14"/>
      <c r="K138" s="201"/>
      <c r="L138" s="201"/>
      <c r="M138" s="205"/>
      <c r="N138" s="14"/>
      <c r="O138" s="14"/>
      <c r="P138" s="14"/>
      <c r="Q138" s="201"/>
      <c r="R138" s="201"/>
      <c r="S138" s="205"/>
      <c r="T138" s="14"/>
      <c r="U138" s="14"/>
      <c r="V138" s="14"/>
      <c r="W138" s="201"/>
      <c r="X138" s="201"/>
      <c r="Y138" s="205"/>
      <c r="Z138" s="14"/>
      <c r="AA138" s="14"/>
      <c r="AB138" s="14"/>
      <c r="AC138" s="201"/>
      <c r="AD138" s="201"/>
      <c r="AE138" s="205"/>
      <c r="AF138" s="14"/>
      <c r="AG138" s="14"/>
      <c r="AH138" s="14"/>
      <c r="AI138" s="201"/>
      <c r="AJ138" s="201"/>
      <c r="AK138" s="205"/>
      <c r="AL138" s="14"/>
      <c r="AM138" s="14"/>
      <c r="AN138" s="14"/>
      <c r="AO138" s="201"/>
      <c r="AP138" s="201"/>
      <c r="AQ138" s="205"/>
      <c r="AR138" s="14"/>
      <c r="AS138" s="14"/>
      <c r="AT138" s="14"/>
      <c r="AU138" s="201"/>
      <c r="AV138" s="201"/>
      <c r="AW138" s="205"/>
      <c r="AX138" s="14"/>
      <c r="AY138" s="14"/>
      <c r="AZ138" s="14"/>
      <c r="BA138" s="201"/>
      <c r="BB138" s="201"/>
      <c r="BC138" s="205"/>
      <c r="BD138" s="14"/>
      <c r="BE138" s="14"/>
      <c r="BF138" s="14"/>
      <c r="BG138" s="201"/>
      <c r="BH138" s="201"/>
      <c r="BI138" s="205"/>
      <c r="BJ138" s="14"/>
      <c r="BK138" s="14"/>
      <c r="BL138" s="14"/>
      <c r="BM138" s="201"/>
      <c r="BN138" s="201"/>
      <c r="BO138" s="205"/>
      <c r="BP138" s="14"/>
      <c r="BQ138" s="14"/>
      <c r="BR138" s="14"/>
      <c r="BS138" s="201"/>
      <c r="BT138" s="201"/>
      <c r="BU138" s="205"/>
      <c r="BV138" s="14"/>
      <c r="BW138" s="14"/>
      <c r="BX138" s="14"/>
      <c r="BY138" s="201"/>
      <c r="BZ138" s="201"/>
      <c r="CA138" s="205"/>
      <c r="CB138" s="14"/>
      <c r="CC138" s="14"/>
      <c r="CD138" s="14"/>
      <c r="CE138" s="201"/>
      <c r="CF138" s="201"/>
      <c r="CG138" s="205"/>
      <c r="CH138" s="14"/>
      <c r="CI138" s="14"/>
      <c r="CJ138" s="14"/>
      <c r="CK138" s="201"/>
      <c r="CL138" s="201"/>
      <c r="CM138" s="205"/>
      <c r="CN138" s="14"/>
      <c r="CO138" s="14"/>
      <c r="CP138" s="14"/>
      <c r="CQ138" s="201"/>
      <c r="CR138" s="201"/>
      <c r="CS138" s="205"/>
      <c r="CT138" s="14"/>
      <c r="CU138" s="14"/>
      <c r="CV138" s="14"/>
      <c r="CW138" s="213">
        <f>CW137*25.4</f>
        <v>76.199999999999989</v>
      </c>
      <c r="CX138" s="201"/>
      <c r="CY138" s="201"/>
      <c r="CZ138" s="14"/>
      <c r="DA138" s="14"/>
      <c r="DB138" s="14"/>
      <c r="DC138" s="201"/>
      <c r="DD138" s="201"/>
      <c r="DE138" s="205"/>
      <c r="DF138" s="14"/>
      <c r="DG138" s="14"/>
      <c r="DH138" s="14"/>
      <c r="DI138" s="201"/>
      <c r="DJ138" s="201"/>
      <c r="DK138" s="205"/>
      <c r="DL138" s="14"/>
      <c r="DM138" s="14"/>
      <c r="DN138" s="14"/>
      <c r="DO138" s="201"/>
      <c r="DP138" s="201"/>
      <c r="DQ138" s="205"/>
      <c r="DR138" s="421"/>
      <c r="DS138" s="421"/>
      <c r="DT138" s="421"/>
    </row>
    <row r="139" spans="2:124" x14ac:dyDescent="0.35">
      <c r="B139" s="201"/>
      <c r="C139" s="13"/>
      <c r="D139" s="201" t="s">
        <v>478</v>
      </c>
      <c r="E139" s="202">
        <v>0</v>
      </c>
      <c r="F139" s="205">
        <f>IF(ISNUMBER(E137),E139*G139,0)</f>
        <v>0</v>
      </c>
      <c r="G139" s="205">
        <f>IF(E41&lt;4000,2*(1-((E30*25.4)/E137)^4),(1+0.8*E50)*(1-((E30*25.4)/E137)^2)^2)</f>
        <v>9.6494954221608715</v>
      </c>
      <c r="H139" s="14"/>
      <c r="I139" s="14"/>
      <c r="J139" s="14"/>
      <c r="K139" s="202">
        <v>0</v>
      </c>
      <c r="L139" s="205">
        <f>IF(ISNUMBER(K137),K139*M139,0)</f>
        <v>0</v>
      </c>
      <c r="M139" s="205">
        <f>IF(K41&lt;4000,2*(1-((K30*25.4)/K137)^4),(1+0.8*K50)*(1-((K30*25.4)/K137)^2)^2)</f>
        <v>9.6494957113088198</v>
      </c>
      <c r="N139" s="14"/>
      <c r="O139" s="14"/>
      <c r="P139" s="14"/>
      <c r="Q139" s="202">
        <v>0</v>
      </c>
      <c r="R139" s="205">
        <f>IF(ISNUMBER(Q137),Q139*S139,0)</f>
        <v>0</v>
      </c>
      <c r="S139" s="205">
        <f>IF(Q41&lt;4000,2*(1-((Q30*25.4)/Q137)^4),(1+0.8*Q50)*(1-((Q30*25.4)/Q137)^2)^2)</f>
        <v>9.6494957113088198</v>
      </c>
      <c r="T139" s="14"/>
      <c r="U139" s="14"/>
      <c r="V139" s="14"/>
      <c r="W139" s="202">
        <v>0</v>
      </c>
      <c r="X139" s="205">
        <f>IF(ISNUMBER(W137),W139*Y139,0)</f>
        <v>0</v>
      </c>
      <c r="Y139" s="205">
        <f>IF(W41&lt;4000,2*(1-((W30*25.4)/W137)^4),(1+0.8*W50)*(1-((W30*25.4)/W137)^2)^2)</f>
        <v>9.6471425431912277</v>
      </c>
      <c r="Z139" s="14"/>
      <c r="AA139" s="14"/>
      <c r="AB139" s="14"/>
      <c r="AC139" s="202">
        <v>0</v>
      </c>
      <c r="AD139" s="205">
        <f>IF(ISNUMBER(AC137),AC139*AE139,0)</f>
        <v>0</v>
      </c>
      <c r="AE139" s="205">
        <f>IF(AC41&lt;4000,2*(1-((AC30*25.4)/AC137)^4),(1+0.8*AC50)*(1-((AC30*25.4)/AC137)^2)^2)</f>
        <v>0.6500068028803756</v>
      </c>
      <c r="AF139" s="14"/>
      <c r="AG139" s="14"/>
      <c r="AH139" s="14"/>
      <c r="AI139" s="202">
        <v>0</v>
      </c>
      <c r="AJ139" s="205">
        <f>IF(ISNUMBER(AI137),AI139*AK139,0)</f>
        <v>0</v>
      </c>
      <c r="AK139" s="205">
        <f>IF(AI41&lt;4000,2*(1-((AI30*25.4)/AI137)^4),(1+0.8*AI50)*(1-((AI30*25.4)/AI137)^2)^2)</f>
        <v>0.6500068028803756</v>
      </c>
      <c r="AL139" s="14"/>
      <c r="AM139" s="14"/>
      <c r="AN139" s="14"/>
      <c r="AO139" s="202">
        <v>0</v>
      </c>
      <c r="AP139" s="205">
        <f>IF(ISNUMBER(AO137),AO139*AQ139,0)</f>
        <v>0</v>
      </c>
      <c r="AQ139" s="205">
        <f>IF(AO41&lt;4000,2*(1-((AO30*25.4)/AO137)^4),(1+0.8*AO50)*(1-((AO30*25.4)/AO137)^2)^2)</f>
        <v>0.6500068028803756</v>
      </c>
      <c r="AR139" s="14"/>
      <c r="AS139" s="14"/>
      <c r="AT139" s="14"/>
      <c r="AU139" s="202">
        <v>0</v>
      </c>
      <c r="AV139" s="205">
        <f>IF(ISNUMBER(AU137),AU139*AW139,0)</f>
        <v>0</v>
      </c>
      <c r="AW139" s="205">
        <f>IF(AU41&lt;4000,2*(1-((AU30*25.4)/AU137)^4),(1+0.8*AU50)*(1-((AU30*25.4)/AU137)^2)^2)</f>
        <v>0.65000683220187661</v>
      </c>
      <c r="AX139" s="14"/>
      <c r="AY139" s="14"/>
      <c r="AZ139" s="14"/>
      <c r="BA139" s="202">
        <v>0</v>
      </c>
      <c r="BB139" s="205">
        <f>IF(ISNUMBER(BA137),BA139*BC139,0)</f>
        <v>0</v>
      </c>
      <c r="BC139" s="205">
        <f>IF(BA41&lt;4000,2*(1-((BA30*25.4)/BA137)^4),(1+0.8*BA50)*(1-((BA30*25.4)/BA137)^2)^2)</f>
        <v>0.65000683220187661</v>
      </c>
      <c r="BD139" s="14"/>
      <c r="BE139" s="14"/>
      <c r="BF139" s="14"/>
      <c r="BG139" s="202">
        <v>0</v>
      </c>
      <c r="BH139" s="205">
        <f>IF(ISNUMBER(BG137),BG139*BI139,0)</f>
        <v>0</v>
      </c>
      <c r="BI139" s="205">
        <f>IF(BG41&lt;4000,2*(1-((BG30*25.4)/BG137)^4),(1+0.8*BG50)*(1-((BG30*25.4)/BG137)^2)^2)</f>
        <v>0.65000683220187661</v>
      </c>
      <c r="BJ139" s="14"/>
      <c r="BK139" s="14"/>
      <c r="BL139" s="14"/>
      <c r="BM139" s="202">
        <v>0</v>
      </c>
      <c r="BN139" s="205">
        <f>IF(ISNUMBER(BM137),BM139*BO139,0)</f>
        <v>0</v>
      </c>
      <c r="BO139" s="205">
        <f>IF(BM41&lt;4000,2*(1-((BM30*25.4)/BM137)^4),(1+0.8*BM50)*(1-((BM30*25.4)/BM137)^2)^2)</f>
        <v>37.397778015729955</v>
      </c>
      <c r="BP139" s="14"/>
      <c r="BQ139" s="14"/>
      <c r="BR139" s="14"/>
      <c r="BS139" s="202">
        <v>0</v>
      </c>
      <c r="BT139" s="205">
        <f>IF(ISNUMBER(BS137),BS139*BU139,0)</f>
        <v>0</v>
      </c>
      <c r="BU139" s="205">
        <f>IF(BS41&lt;4000,2*(1-((BS30*25.4)/BS137)^4),(1+0.8*BS50)*(1-((BS30*25.4)/BS137)^2)^2)</f>
        <v>37.388082229068658</v>
      </c>
      <c r="BV139" s="14"/>
      <c r="BW139" s="14"/>
      <c r="BX139" s="14"/>
      <c r="BY139" s="202">
        <v>0</v>
      </c>
      <c r="BZ139" s="205">
        <f>IF(ISNUMBER(BY137),BY139*CA139,0)</f>
        <v>0</v>
      </c>
      <c r="CA139" s="205">
        <f>IF(BY41&lt;4000,2*(1-((BY30*25.4)/BY137)^4),(1+0.8*BY50)*(1-((BY30*25.4)/BY137)^2)^2)</f>
        <v>0.65012515765627765</v>
      </c>
      <c r="CB139" s="14"/>
      <c r="CC139" s="14"/>
      <c r="CD139" s="14"/>
      <c r="CE139" s="202">
        <v>0</v>
      </c>
      <c r="CF139" s="205">
        <f>IF(ISNUMBER(CE137),CE139*CG139,0)</f>
        <v>0</v>
      </c>
      <c r="CG139" s="205">
        <f>IF(CE41&lt;4000,2*(1-((CE30*25.4)/CE137)^4),(1+0.8*CE50)*(1-((CE30*25.4)/CE137)^2)^2)</f>
        <v>0.65012515765627765</v>
      </c>
      <c r="CH139" s="14"/>
      <c r="CI139" s="14"/>
      <c r="CJ139" s="14"/>
      <c r="CK139" s="202">
        <v>0</v>
      </c>
      <c r="CL139" s="205">
        <f>IF(ISNUMBER(CK137),CK139*CM139,0)</f>
        <v>0</v>
      </c>
      <c r="CM139" s="205">
        <f>IF(CK41&lt;4000,2*(1-((CK30*25.4)/CK137)^4),(1+0.8*CK50)*(1-((CK30*25.4)/CK137)^2)^2)</f>
        <v>4.3597194971478877E-3</v>
      </c>
      <c r="CN139" s="14"/>
      <c r="CO139" s="14"/>
      <c r="CP139" s="14"/>
      <c r="CQ139" s="202">
        <v>0</v>
      </c>
      <c r="CR139" s="205">
        <f>IF(ISNUMBER(CQ137),CQ139*CS139,0)</f>
        <v>0</v>
      </c>
      <c r="CS139" s="205">
        <f>IF(CQ41&lt;4000,2*(1-((CQ30*25.4)/CQ137)^4),(1+0.8*CQ50)*(1-((CQ30*25.4)/CQ137)^2)^2)</f>
        <v>4.3597194971478877E-3</v>
      </c>
      <c r="CT139" s="14"/>
      <c r="CU139" s="14"/>
      <c r="CV139" s="14"/>
      <c r="CW139" s="201"/>
      <c r="CX139" s="201"/>
      <c r="CY139" s="205"/>
      <c r="CZ139" s="14"/>
      <c r="DA139" s="14"/>
      <c r="DB139" s="14"/>
      <c r="DC139" s="202">
        <v>0</v>
      </c>
      <c r="DD139" s="205">
        <f>IF(ISNUMBER(DC137),DC139*DE139,0)</f>
        <v>0</v>
      </c>
      <c r="DE139" s="205">
        <f>IF(DC41&lt;4000,2*(1-((DC30*25.4)/DC137)^4),(1+0.8*DC50)*(1-((DC30*25.4)/DC137)^2)^2)</f>
        <v>4.3597194971478877E-3</v>
      </c>
      <c r="DF139" s="14"/>
      <c r="DG139" s="14"/>
      <c r="DH139" s="14"/>
      <c r="DI139" s="202">
        <v>0</v>
      </c>
      <c r="DJ139" s="205">
        <f>IF(ISNUMBER(DI137),DI139*DK139,0)</f>
        <v>0</v>
      </c>
      <c r="DK139" s="205">
        <f>IF(DI41&lt;4000,2*(1-((DI30*25.4)/DI137)^4),(1+0.8*DI50)*(1-((DI30*25.4)/DI137)^2)^2)</f>
        <v>4.3597194971478877E-3</v>
      </c>
      <c r="DL139" s="14"/>
      <c r="DM139" s="14"/>
      <c r="DN139" s="14"/>
      <c r="DO139" s="202">
        <v>0</v>
      </c>
      <c r="DP139" s="205">
        <f>IF(ISNUMBER(DO137),DO139*DQ139,0)</f>
        <v>0</v>
      </c>
      <c r="DQ139" s="205">
        <f>IF(DO41&lt;4000,2*(1-((DO30*25.4)/DO137)^4),(1+0.8*DO50)*(1-((DO30*25.4)/DO137)^2)^2)</f>
        <v>1.9925155378247901</v>
      </c>
      <c r="DR139" s="421"/>
      <c r="DS139" s="421"/>
      <c r="DT139" s="421"/>
    </row>
    <row r="140" spans="2:124" x14ac:dyDescent="0.35">
      <c r="B140" s="201"/>
      <c r="C140" s="13"/>
      <c r="D140" s="13"/>
      <c r="E140" s="201"/>
      <c r="F140" s="201"/>
      <c r="G140" s="205"/>
      <c r="H140" s="14"/>
      <c r="I140" s="14"/>
      <c r="J140" s="14"/>
      <c r="K140" s="201"/>
      <c r="L140" s="201"/>
      <c r="M140" s="205"/>
      <c r="N140" s="14"/>
      <c r="O140" s="14"/>
      <c r="P140" s="14"/>
      <c r="Q140" s="201"/>
      <c r="R140" s="201"/>
      <c r="S140" s="205"/>
      <c r="T140" s="14"/>
      <c r="U140" s="14"/>
      <c r="V140" s="14"/>
      <c r="W140" s="201"/>
      <c r="X140" s="201"/>
      <c r="Y140" s="205"/>
      <c r="Z140" s="14"/>
      <c r="AA140" s="14"/>
      <c r="AB140" s="14"/>
      <c r="AC140" s="201"/>
      <c r="AD140" s="201"/>
      <c r="AE140" s="205"/>
      <c r="AF140" s="14"/>
      <c r="AG140" s="14"/>
      <c r="AH140" s="14"/>
      <c r="AI140" s="201"/>
      <c r="AJ140" s="201"/>
      <c r="AK140" s="205"/>
      <c r="AL140" s="14"/>
      <c r="AM140" s="14"/>
      <c r="AN140" s="14"/>
      <c r="AO140" s="201"/>
      <c r="AP140" s="201"/>
      <c r="AQ140" s="205"/>
      <c r="AR140" s="14"/>
      <c r="AS140" s="14"/>
      <c r="AT140" s="14"/>
      <c r="AU140" s="201"/>
      <c r="AV140" s="201"/>
      <c r="AW140" s="205"/>
      <c r="AX140" s="14"/>
      <c r="AY140" s="14"/>
      <c r="AZ140" s="14"/>
      <c r="BA140" s="201"/>
      <c r="BB140" s="201"/>
      <c r="BC140" s="205"/>
      <c r="BD140" s="14"/>
      <c r="BE140" s="14"/>
      <c r="BF140" s="14"/>
      <c r="BG140" s="201"/>
      <c r="BH140" s="201"/>
      <c r="BI140" s="205"/>
      <c r="BJ140" s="14"/>
      <c r="BK140" s="14"/>
      <c r="BL140" s="14"/>
      <c r="BM140" s="201"/>
      <c r="BN140" s="201"/>
      <c r="BO140" s="205"/>
      <c r="BP140" s="14"/>
      <c r="BQ140" s="14"/>
      <c r="BR140" s="14"/>
      <c r="BS140" s="201"/>
      <c r="BT140" s="201"/>
      <c r="BU140" s="205"/>
      <c r="BV140" s="14"/>
      <c r="BW140" s="14"/>
      <c r="BX140" s="14"/>
      <c r="BY140" s="201"/>
      <c r="BZ140" s="201"/>
      <c r="CA140" s="205"/>
      <c r="CB140" s="14"/>
      <c r="CC140" s="14"/>
      <c r="CD140" s="14"/>
      <c r="CE140" s="201"/>
      <c r="CF140" s="201"/>
      <c r="CG140" s="205"/>
      <c r="CH140" s="14"/>
      <c r="CI140" s="14"/>
      <c r="CJ140" s="14"/>
      <c r="CK140" s="201"/>
      <c r="CL140" s="201"/>
      <c r="CM140" s="205"/>
      <c r="CN140" s="14"/>
      <c r="CO140" s="14"/>
      <c r="CP140" s="14"/>
      <c r="CQ140" s="201"/>
      <c r="CR140" s="201"/>
      <c r="CS140" s="205"/>
      <c r="CT140" s="14"/>
      <c r="CU140" s="14"/>
      <c r="CV140" s="14"/>
      <c r="CW140" s="202">
        <v>0</v>
      </c>
      <c r="CX140" s="205" t="e">
        <f>IF(ISNUMBER(CW138),CW140*CY140,0)</f>
        <v>#VALUE!</v>
      </c>
      <c r="CY140" s="205" t="e">
        <f>IF(CW42&lt;4000,2*(1-((CW31*25.4)/CW138)^4),(1+0.8*CW51)*(1-((CW31*25.4)/CW138)^2)^2)</f>
        <v>#VALUE!</v>
      </c>
      <c r="CZ140" s="14"/>
      <c r="DA140" s="14"/>
      <c r="DB140" s="14"/>
      <c r="DC140" s="201"/>
      <c r="DD140" s="201"/>
      <c r="DE140" s="205"/>
      <c r="DF140" s="14"/>
      <c r="DG140" s="14"/>
      <c r="DH140" s="14"/>
      <c r="DI140" s="201"/>
      <c r="DJ140" s="201"/>
      <c r="DK140" s="205"/>
      <c r="DL140" s="14"/>
      <c r="DM140" s="14"/>
      <c r="DN140" s="14"/>
      <c r="DO140" s="201"/>
      <c r="DP140" s="201"/>
      <c r="DQ140" s="205"/>
      <c r="DR140" s="421"/>
      <c r="DS140" s="421"/>
      <c r="DT140" s="421"/>
    </row>
    <row r="141" spans="2:124" x14ac:dyDescent="0.35">
      <c r="B141" s="201"/>
      <c r="C141" s="13"/>
      <c r="D141" s="13"/>
      <c r="E141" s="201"/>
      <c r="F141" s="201"/>
      <c r="G141" s="205"/>
      <c r="H141" s="14"/>
      <c r="I141" s="14"/>
      <c r="J141" s="14"/>
      <c r="K141" s="201"/>
      <c r="L141" s="201"/>
      <c r="M141" s="205"/>
      <c r="N141" s="14"/>
      <c r="O141" s="14"/>
      <c r="P141" s="14"/>
      <c r="Q141" s="201"/>
      <c r="R141" s="201"/>
      <c r="S141" s="205"/>
      <c r="T141" s="14"/>
      <c r="U141" s="14"/>
      <c r="V141" s="14"/>
      <c r="W141" s="201"/>
      <c r="X141" s="201"/>
      <c r="Y141" s="205"/>
      <c r="Z141" s="14"/>
      <c r="AA141" s="14"/>
      <c r="AB141" s="14"/>
      <c r="AC141" s="201"/>
      <c r="AD141" s="201"/>
      <c r="AE141" s="205"/>
      <c r="AF141" s="14"/>
      <c r="AG141" s="14"/>
      <c r="AH141" s="14"/>
      <c r="AI141" s="201"/>
      <c r="AJ141" s="201"/>
      <c r="AK141" s="205"/>
      <c r="AL141" s="14"/>
      <c r="AM141" s="14"/>
      <c r="AN141" s="14"/>
      <c r="AO141" s="201"/>
      <c r="AP141" s="201"/>
      <c r="AQ141" s="205"/>
      <c r="AR141" s="14"/>
      <c r="AS141" s="14"/>
      <c r="AT141" s="14"/>
      <c r="AU141" s="201"/>
      <c r="AV141" s="201"/>
      <c r="AW141" s="205"/>
      <c r="AX141" s="14"/>
      <c r="AY141" s="14"/>
      <c r="AZ141" s="14"/>
      <c r="BA141" s="201"/>
      <c r="BB141" s="201"/>
      <c r="BC141" s="205"/>
      <c r="BD141" s="14"/>
      <c r="BE141" s="14"/>
      <c r="BF141" s="14"/>
      <c r="BG141" s="201"/>
      <c r="BH141" s="201"/>
      <c r="BI141" s="205"/>
      <c r="BJ141" s="14"/>
      <c r="BK141" s="14"/>
      <c r="BL141" s="14"/>
      <c r="BM141" s="201"/>
      <c r="BN141" s="201"/>
      <c r="BO141" s="205"/>
      <c r="BP141" s="14"/>
      <c r="BQ141" s="14"/>
      <c r="BR141" s="14"/>
      <c r="BS141" s="201"/>
      <c r="BT141" s="201"/>
      <c r="BU141" s="205"/>
      <c r="BV141" s="14"/>
      <c r="BW141" s="14"/>
      <c r="BX141" s="14"/>
      <c r="BY141" s="201"/>
      <c r="BZ141" s="201"/>
      <c r="CA141" s="205"/>
      <c r="CB141" s="14"/>
      <c r="CC141" s="14"/>
      <c r="CD141" s="14"/>
      <c r="CE141" s="201"/>
      <c r="CF141" s="201"/>
      <c r="CG141" s="205"/>
      <c r="CH141" s="14"/>
      <c r="CI141" s="14"/>
      <c r="CJ141" s="14"/>
      <c r="CK141" s="201"/>
      <c r="CL141" s="201"/>
      <c r="CM141" s="205"/>
      <c r="CN141" s="14"/>
      <c r="CO141" s="14"/>
      <c r="CP141" s="14"/>
      <c r="CQ141" s="201"/>
      <c r="CR141" s="201"/>
      <c r="CS141" s="205"/>
      <c r="CT141" s="14"/>
      <c r="CU141" s="14"/>
      <c r="CV141" s="14"/>
      <c r="CW141" s="201"/>
      <c r="CX141" s="201"/>
      <c r="CY141" s="205"/>
      <c r="CZ141" s="14"/>
      <c r="DA141" s="14"/>
      <c r="DB141" s="14"/>
      <c r="DC141" s="201"/>
      <c r="DD141" s="201"/>
      <c r="DE141" s="205"/>
      <c r="DF141" s="14"/>
      <c r="DG141" s="14"/>
      <c r="DH141" s="14"/>
      <c r="DI141" s="201"/>
      <c r="DJ141" s="201"/>
      <c r="DK141" s="205"/>
      <c r="DL141" s="14"/>
      <c r="DM141" s="14"/>
      <c r="DN141" s="14"/>
      <c r="DO141" s="201"/>
      <c r="DP141" s="201"/>
      <c r="DQ141" s="205"/>
      <c r="DR141" s="421"/>
      <c r="DS141" s="421"/>
      <c r="DT141" s="421"/>
    </row>
    <row r="142" spans="2:124" x14ac:dyDescent="0.35">
      <c r="B142" s="208" t="s">
        <v>488</v>
      </c>
      <c r="C142" s="13"/>
      <c r="D142" s="13"/>
      <c r="E142" s="201"/>
      <c r="F142" s="201"/>
      <c r="G142" s="205"/>
      <c r="H142" s="14"/>
      <c r="I142" s="14"/>
      <c r="J142" s="14"/>
      <c r="K142" s="201"/>
      <c r="L142" s="201"/>
      <c r="M142" s="205"/>
      <c r="N142" s="14"/>
      <c r="O142" s="14"/>
      <c r="P142" s="14"/>
      <c r="Q142" s="201"/>
      <c r="R142" s="201"/>
      <c r="S142" s="205"/>
      <c r="T142" s="14"/>
      <c r="U142" s="14"/>
      <c r="V142" s="14"/>
      <c r="W142" s="201"/>
      <c r="X142" s="201"/>
      <c r="Y142" s="205"/>
      <c r="Z142" s="14"/>
      <c r="AA142" s="14"/>
      <c r="AB142" s="14"/>
      <c r="AC142" s="201"/>
      <c r="AD142" s="201"/>
      <c r="AE142" s="205"/>
      <c r="AF142" s="14"/>
      <c r="AG142" s="14"/>
      <c r="AH142" s="14"/>
      <c r="AI142" s="201"/>
      <c r="AJ142" s="201"/>
      <c r="AK142" s="205"/>
      <c r="AL142" s="14"/>
      <c r="AM142" s="14"/>
      <c r="AN142" s="14"/>
      <c r="AO142" s="201"/>
      <c r="AP142" s="201"/>
      <c r="AQ142" s="205"/>
      <c r="AR142" s="14"/>
      <c r="AS142" s="14"/>
      <c r="AT142" s="14"/>
      <c r="AU142" s="201"/>
      <c r="AV142" s="201"/>
      <c r="AW142" s="205"/>
      <c r="AX142" s="14"/>
      <c r="AY142" s="14"/>
      <c r="AZ142" s="14"/>
      <c r="BA142" s="201"/>
      <c r="BB142" s="201"/>
      <c r="BC142" s="205"/>
      <c r="BD142" s="14"/>
      <c r="BE142" s="14"/>
      <c r="BF142" s="14"/>
      <c r="BG142" s="201"/>
      <c r="BH142" s="201"/>
      <c r="BI142" s="205"/>
      <c r="BJ142" s="14"/>
      <c r="BK142" s="14"/>
      <c r="BL142" s="14"/>
      <c r="BM142" s="201"/>
      <c r="BN142" s="201"/>
      <c r="BO142" s="205"/>
      <c r="BP142" s="14"/>
      <c r="BQ142" s="14"/>
      <c r="BR142" s="14"/>
      <c r="BS142" s="201"/>
      <c r="BT142" s="201"/>
      <c r="BU142" s="205"/>
      <c r="BV142" s="14"/>
      <c r="BW142" s="14"/>
      <c r="BX142" s="14"/>
      <c r="BY142" s="201"/>
      <c r="BZ142" s="201"/>
      <c r="CA142" s="205"/>
      <c r="CB142" s="14"/>
      <c r="CC142" s="14"/>
      <c r="CD142" s="14"/>
      <c r="CE142" s="201"/>
      <c r="CF142" s="201"/>
      <c r="CG142" s="205"/>
      <c r="CH142" s="14"/>
      <c r="CI142" s="14"/>
      <c r="CJ142" s="14"/>
      <c r="CK142" s="201"/>
      <c r="CL142" s="201"/>
      <c r="CM142" s="205"/>
      <c r="CN142" s="14"/>
      <c r="CO142" s="14"/>
      <c r="CP142" s="14"/>
      <c r="CQ142" s="201"/>
      <c r="CR142" s="201"/>
      <c r="CS142" s="205"/>
      <c r="CT142" s="14"/>
      <c r="CU142" s="14"/>
      <c r="CV142" s="14"/>
      <c r="CW142" s="201"/>
      <c r="CX142" s="201"/>
      <c r="CY142" s="205"/>
      <c r="CZ142" s="14"/>
      <c r="DA142" s="14"/>
      <c r="DB142" s="14"/>
      <c r="DC142" s="201"/>
      <c r="DD142" s="201"/>
      <c r="DE142" s="205"/>
      <c r="DF142" s="14"/>
      <c r="DG142" s="14"/>
      <c r="DH142" s="14"/>
      <c r="DI142" s="201"/>
      <c r="DJ142" s="201"/>
      <c r="DK142" s="205"/>
      <c r="DL142" s="14"/>
      <c r="DM142" s="14"/>
      <c r="DN142" s="14"/>
      <c r="DO142" s="201"/>
      <c r="DP142" s="201"/>
      <c r="DQ142" s="205"/>
      <c r="DR142" s="421"/>
      <c r="DS142" s="421"/>
      <c r="DT142" s="421"/>
    </row>
    <row r="143" spans="2:124" x14ac:dyDescent="0.35">
      <c r="B143" s="201"/>
      <c r="C143" s="13"/>
      <c r="D143" s="210" t="s">
        <v>480</v>
      </c>
      <c r="E143" s="211">
        <v>45</v>
      </c>
      <c r="F143" s="201"/>
      <c r="G143" s="212">
        <f>IF(ISNUMBER(E143), PI()*E143/180,0)</f>
        <v>0.78539816339744828</v>
      </c>
      <c r="H143" s="14"/>
      <c r="I143" s="14"/>
      <c r="J143" s="14"/>
      <c r="K143" s="211">
        <v>45</v>
      </c>
      <c r="L143" s="201"/>
      <c r="M143" s="212">
        <f>IF(ISNUMBER(K143), PI()*K143/180,0)</f>
        <v>0.78539816339744828</v>
      </c>
      <c r="N143" s="14"/>
      <c r="O143" s="14"/>
      <c r="P143" s="14"/>
      <c r="Q143" s="211">
        <v>45</v>
      </c>
      <c r="R143" s="201"/>
      <c r="S143" s="212">
        <f>IF(ISNUMBER(Q143), PI()*Q143/180,0)</f>
        <v>0.78539816339744828</v>
      </c>
      <c r="T143" s="14"/>
      <c r="U143" s="14"/>
      <c r="V143" s="14"/>
      <c r="W143" s="211">
        <v>45</v>
      </c>
      <c r="X143" s="201"/>
      <c r="Y143" s="212">
        <f>IF(ISNUMBER(W143), PI()*W143/180,0)</f>
        <v>0.78539816339744828</v>
      </c>
      <c r="Z143" s="14"/>
      <c r="AA143" s="14"/>
      <c r="AB143" s="14"/>
      <c r="AC143" s="211">
        <v>45</v>
      </c>
      <c r="AD143" s="201"/>
      <c r="AE143" s="212">
        <f>IF(ISNUMBER(AC143), PI()*AC143/180,0)</f>
        <v>0.78539816339744828</v>
      </c>
      <c r="AF143" s="14"/>
      <c r="AG143" s="14"/>
      <c r="AH143" s="14"/>
      <c r="AI143" s="211">
        <v>45</v>
      </c>
      <c r="AJ143" s="201"/>
      <c r="AK143" s="212">
        <f>IF(ISNUMBER(AI143), PI()*AI143/180,0)</f>
        <v>0.78539816339744828</v>
      </c>
      <c r="AL143" s="14"/>
      <c r="AM143" s="14"/>
      <c r="AN143" s="14"/>
      <c r="AO143" s="211">
        <v>45</v>
      </c>
      <c r="AP143" s="201"/>
      <c r="AQ143" s="212">
        <f>IF(ISNUMBER(AO143), PI()*AO143/180,0)</f>
        <v>0.78539816339744828</v>
      </c>
      <c r="AR143" s="14"/>
      <c r="AS143" s="14"/>
      <c r="AT143" s="14"/>
      <c r="AU143" s="211">
        <v>45</v>
      </c>
      <c r="AV143" s="201"/>
      <c r="AW143" s="212">
        <f>IF(ISNUMBER(AU143), PI()*AU143/180,0)</f>
        <v>0.78539816339744828</v>
      </c>
      <c r="AX143" s="14"/>
      <c r="AY143" s="14"/>
      <c r="AZ143" s="14"/>
      <c r="BA143" s="211">
        <v>45</v>
      </c>
      <c r="BB143" s="201"/>
      <c r="BC143" s="212">
        <f>IF(ISNUMBER(BA143), PI()*BA143/180,0)</f>
        <v>0.78539816339744828</v>
      </c>
      <c r="BD143" s="14"/>
      <c r="BE143" s="14"/>
      <c r="BF143" s="14"/>
      <c r="BG143" s="211">
        <v>45</v>
      </c>
      <c r="BH143" s="201"/>
      <c r="BI143" s="212">
        <f>IF(ISNUMBER(BG143), PI()*BG143/180,0)</f>
        <v>0.78539816339744828</v>
      </c>
      <c r="BJ143" s="14"/>
      <c r="BK143" s="14"/>
      <c r="BL143" s="14"/>
      <c r="BM143" s="211">
        <v>45</v>
      </c>
      <c r="BN143" s="201"/>
      <c r="BO143" s="212">
        <f>IF(ISNUMBER(BM143), PI()*BM143/180,0)</f>
        <v>0.78539816339744828</v>
      </c>
      <c r="BP143" s="14"/>
      <c r="BQ143" s="14"/>
      <c r="BR143" s="14"/>
      <c r="BS143" s="211">
        <v>45</v>
      </c>
      <c r="BT143" s="201"/>
      <c r="BU143" s="212">
        <f>IF(ISNUMBER(BS143), PI()*BS143/180,0)</f>
        <v>0.78539816339744828</v>
      </c>
      <c r="BV143" s="14"/>
      <c r="BW143" s="14"/>
      <c r="BX143" s="14"/>
      <c r="BY143" s="211">
        <v>45</v>
      </c>
      <c r="BZ143" s="201"/>
      <c r="CA143" s="212">
        <f>IF(ISNUMBER(BY143), PI()*BY143/180,0)</f>
        <v>0.78539816339744828</v>
      </c>
      <c r="CB143" s="14"/>
      <c r="CC143" s="14"/>
      <c r="CD143" s="14"/>
      <c r="CE143" s="211">
        <v>45</v>
      </c>
      <c r="CF143" s="201"/>
      <c r="CG143" s="212">
        <f>IF(ISNUMBER(CE143), PI()*CE143/180,0)</f>
        <v>0.78539816339744828</v>
      </c>
      <c r="CH143" s="14"/>
      <c r="CI143" s="14"/>
      <c r="CJ143" s="14"/>
      <c r="CK143" s="211">
        <v>45</v>
      </c>
      <c r="CL143" s="201"/>
      <c r="CM143" s="212">
        <f>IF(ISNUMBER(CK143), PI()*CK143/180,0)</f>
        <v>0.78539816339744828</v>
      </c>
      <c r="CN143" s="14"/>
      <c r="CO143" s="14"/>
      <c r="CP143" s="14"/>
      <c r="CQ143" s="211">
        <v>45</v>
      </c>
      <c r="CR143" s="201"/>
      <c r="CS143" s="212">
        <f>IF(ISNUMBER(CQ143), PI()*CQ143/180,0)</f>
        <v>0.78539816339744828</v>
      </c>
      <c r="CT143" s="14"/>
      <c r="CU143" s="14"/>
      <c r="CV143" s="14"/>
      <c r="CW143" s="201"/>
      <c r="CX143" s="201"/>
      <c r="CY143" s="205"/>
      <c r="CZ143" s="14"/>
      <c r="DA143" s="14"/>
      <c r="DB143" s="14"/>
      <c r="DC143" s="211">
        <v>45</v>
      </c>
      <c r="DD143" s="201"/>
      <c r="DE143" s="212">
        <f>IF(ISNUMBER(DC143), PI()*DC143/180,0)</f>
        <v>0.78539816339744828</v>
      </c>
      <c r="DF143" s="14"/>
      <c r="DG143" s="14"/>
      <c r="DH143" s="14"/>
      <c r="DI143" s="211">
        <v>45</v>
      </c>
      <c r="DJ143" s="201"/>
      <c r="DK143" s="212">
        <f>IF(ISNUMBER(DI143), PI()*DI143/180,0)</f>
        <v>0.78539816339744828</v>
      </c>
      <c r="DL143" s="14"/>
      <c r="DM143" s="14"/>
      <c r="DN143" s="14"/>
      <c r="DO143" s="211">
        <v>45</v>
      </c>
      <c r="DP143" s="201"/>
      <c r="DQ143" s="212">
        <f>IF(ISNUMBER(DO143), PI()*DO143/180,0)</f>
        <v>0.78539816339744828</v>
      </c>
      <c r="DR143" s="421"/>
      <c r="DS143" s="421"/>
      <c r="DT143" s="421"/>
    </row>
    <row r="144" spans="2:124" x14ac:dyDescent="0.35">
      <c r="B144" s="201"/>
      <c r="C144" s="13"/>
      <c r="D144" s="201" t="s">
        <v>478</v>
      </c>
      <c r="E144" s="202">
        <v>0</v>
      </c>
      <c r="F144" s="205">
        <f>IF(AND(ISNUMBER(E137),ISNUMBER(E143)),E144*G144,0)</f>
        <v>0</v>
      </c>
      <c r="G144" s="205">
        <f>IF(E143&gt;45,G139,G139*2.6*SIN(G143/2))</f>
        <v>9.6010252747337326</v>
      </c>
      <c r="H144" s="14"/>
      <c r="I144" s="14"/>
      <c r="J144" s="14"/>
      <c r="K144" s="202">
        <v>0</v>
      </c>
      <c r="L144" s="205">
        <f>IF(AND(ISNUMBER(K137),ISNUMBER(K143)),K144*M144,0)</f>
        <v>0</v>
      </c>
      <c r="M144" s="205">
        <f>IF(K143&gt;45,M139,M139*2.6*SIN(M143/2))</f>
        <v>9.6010255624292693</v>
      </c>
      <c r="N144" s="14"/>
      <c r="O144" s="14"/>
      <c r="P144" s="14"/>
      <c r="Q144" s="202">
        <v>0</v>
      </c>
      <c r="R144" s="205">
        <f>IF(AND(ISNUMBER(Q137),ISNUMBER(Q143)),Q144*S144,0)</f>
        <v>0</v>
      </c>
      <c r="S144" s="205">
        <f>IF(Q143&gt;45,S139,S139*2.6*SIN(S143/2))</f>
        <v>9.6010255624292693</v>
      </c>
      <c r="T144" s="14"/>
      <c r="U144" s="14"/>
      <c r="V144" s="14"/>
      <c r="W144" s="202">
        <v>0</v>
      </c>
      <c r="X144" s="205">
        <f>IF(AND(ISNUMBER(W137),ISNUMBER(W143)),W144*Y144,0)</f>
        <v>0</v>
      </c>
      <c r="Y144" s="205">
        <f>IF(W143&gt;45,Y139,Y139*2.6*SIN(Y143/2))</f>
        <v>9.5986842144536215</v>
      </c>
      <c r="Z144" s="14"/>
      <c r="AA144" s="14"/>
      <c r="AB144" s="14"/>
      <c r="AC144" s="202">
        <v>0</v>
      </c>
      <c r="AD144" s="205">
        <f>IF(AND(ISNUMBER(AC137),ISNUMBER(AC143)),AC144*AE144,0)</f>
        <v>0</v>
      </c>
      <c r="AE144" s="205">
        <f>IF(AC143&gt;45,AE139,AE139*2.6*SIN(AE143/2))</f>
        <v>0.64674176940599315</v>
      </c>
      <c r="AF144" s="14"/>
      <c r="AG144" s="14"/>
      <c r="AH144" s="14"/>
      <c r="AI144" s="202">
        <v>0</v>
      </c>
      <c r="AJ144" s="205">
        <f>IF(AND(ISNUMBER(AI137),ISNUMBER(AI143)),AI144*AK144,0)</f>
        <v>0</v>
      </c>
      <c r="AK144" s="205">
        <f>IF(AI143&gt;45,AK139,AK139*2.6*SIN(AK143/2))</f>
        <v>0.64674176940599315</v>
      </c>
      <c r="AL144" s="14"/>
      <c r="AM144" s="14"/>
      <c r="AN144" s="14"/>
      <c r="AO144" s="202">
        <v>0</v>
      </c>
      <c r="AP144" s="205">
        <f>IF(AND(ISNUMBER(AO137),ISNUMBER(AO143)),AO144*AQ144,0)</f>
        <v>0</v>
      </c>
      <c r="AQ144" s="205">
        <f>IF(AO143&gt;45,AQ139,AQ139*2.6*SIN(AQ143/2))</f>
        <v>0.64674176940599315</v>
      </c>
      <c r="AR144" s="14"/>
      <c r="AS144" s="14"/>
      <c r="AT144" s="14"/>
      <c r="AU144" s="202">
        <v>0</v>
      </c>
      <c r="AV144" s="205">
        <f>IF(AND(ISNUMBER(AU137),ISNUMBER(AU143)),AU144*AW144,0)</f>
        <v>0</v>
      </c>
      <c r="AW144" s="205">
        <f>IF(AU143&gt;45,AW139,AW139*2.6*SIN(AW143/2))</f>
        <v>0.64674179858021008</v>
      </c>
      <c r="AX144" s="14"/>
      <c r="AY144" s="14"/>
      <c r="AZ144" s="14"/>
      <c r="BA144" s="202">
        <v>0</v>
      </c>
      <c r="BB144" s="205">
        <f>IF(AND(ISNUMBER(BA137),ISNUMBER(BA143)),BA144*BC144,0)</f>
        <v>0</v>
      </c>
      <c r="BC144" s="205">
        <f>IF(BA143&gt;45,BC139,BC139*2.6*SIN(BC143/2))</f>
        <v>0.64674179858021008</v>
      </c>
      <c r="BD144" s="14"/>
      <c r="BE144" s="14"/>
      <c r="BF144" s="14"/>
      <c r="BG144" s="202">
        <v>0</v>
      </c>
      <c r="BH144" s="205">
        <f>IF(AND(ISNUMBER(BG137),ISNUMBER(BG143)),BG144*BI144,0)</f>
        <v>0</v>
      </c>
      <c r="BI144" s="205">
        <f>IF(BG143&gt;45,BI139,BI139*2.6*SIN(BI143/2))</f>
        <v>0.64674179858021008</v>
      </c>
      <c r="BJ144" s="14"/>
      <c r="BK144" s="14"/>
      <c r="BL144" s="14"/>
      <c r="BM144" s="202">
        <v>0</v>
      </c>
      <c r="BN144" s="205">
        <f>IF(AND(ISNUMBER(BM137),ISNUMBER(BM143)),BM144*BO144,0)</f>
        <v>0</v>
      </c>
      <c r="BO144" s="205">
        <f>IF(BM143&gt;45,BO139,BO139*2.6*SIN(BO143/2))</f>
        <v>37.209926140106816</v>
      </c>
      <c r="BP144" s="14"/>
      <c r="BQ144" s="14"/>
      <c r="BR144" s="14"/>
      <c r="BS144" s="202">
        <v>0</v>
      </c>
      <c r="BT144" s="205">
        <f>IF(AND(ISNUMBER(BS137),ISNUMBER(BS143)),BS144*BU144,0)</f>
        <v>0</v>
      </c>
      <c r="BU144" s="205">
        <f>IF(BS143&gt;45,BU139,BU139*2.6*SIN(BU143/2))</f>
        <v>37.200279056117353</v>
      </c>
      <c r="BV144" s="14"/>
      <c r="BW144" s="14"/>
      <c r="BX144" s="14"/>
      <c r="BY144" s="202">
        <v>0</v>
      </c>
      <c r="BZ144" s="205">
        <f>IF(AND(ISNUMBER(BY137),ISNUMBER(BY143)),BY144*CA144,0)</f>
        <v>0</v>
      </c>
      <c r="CA144" s="205">
        <f>IF(BY143&gt;45,CA139,CA139*2.6*SIN(CA143/2))</f>
        <v>0.64685952967687854</v>
      </c>
      <c r="CB144" s="14"/>
      <c r="CC144" s="14"/>
      <c r="CD144" s="14"/>
      <c r="CE144" s="202">
        <v>0</v>
      </c>
      <c r="CF144" s="205">
        <f>IF(AND(ISNUMBER(CE137),ISNUMBER(CE143)),CE144*CG144,0)</f>
        <v>0</v>
      </c>
      <c r="CG144" s="205">
        <f>IF(CE143&gt;45,CG139,CG139*2.6*SIN(CG143/2))</f>
        <v>0.64685952967687854</v>
      </c>
      <c r="CH144" s="14"/>
      <c r="CI144" s="14"/>
      <c r="CJ144" s="14"/>
      <c r="CK144" s="202">
        <v>0</v>
      </c>
      <c r="CL144" s="205">
        <f>IF(AND(ISNUMBER(CK137),ISNUMBER(CK143)),CK144*CM144,0)</f>
        <v>0</v>
      </c>
      <c r="CM144" s="205">
        <f>IF(CK143&gt;45,CM139,CM139*2.6*SIN(CM143/2))</f>
        <v>4.3378202954256484E-3</v>
      </c>
      <c r="CN144" s="14"/>
      <c r="CO144" s="14"/>
      <c r="CP144" s="14"/>
      <c r="CQ144" s="202">
        <v>0</v>
      </c>
      <c r="CR144" s="205">
        <f>IF(AND(ISNUMBER(CQ137),ISNUMBER(CQ143)),CQ144*CS144,0)</f>
        <v>0</v>
      </c>
      <c r="CS144" s="205">
        <f>IF(CQ143&gt;45,CS139,CS139*2.6*SIN(CS143/2))</f>
        <v>4.3378202954256484E-3</v>
      </c>
      <c r="CT144" s="14"/>
      <c r="CU144" s="14"/>
      <c r="CV144" s="14"/>
      <c r="CW144" s="211">
        <v>45</v>
      </c>
      <c r="CX144" s="201"/>
      <c r="CY144" s="212">
        <f>IF(ISNUMBER(CW144), PI()*CW144/180,0)</f>
        <v>0.78539816339744828</v>
      </c>
      <c r="CZ144" s="14"/>
      <c r="DA144" s="14"/>
      <c r="DB144" s="14"/>
      <c r="DC144" s="202">
        <v>0</v>
      </c>
      <c r="DD144" s="205">
        <f>IF(AND(ISNUMBER(DC137),ISNUMBER(DC143)),DC144*DE144,0)</f>
        <v>0</v>
      </c>
      <c r="DE144" s="205">
        <f>IF(DC143&gt;45,DE139,DE139*2.6*SIN(DE143/2))</f>
        <v>4.3378202954256484E-3</v>
      </c>
      <c r="DF144" s="14"/>
      <c r="DG144" s="14"/>
      <c r="DH144" s="14"/>
      <c r="DI144" s="202">
        <v>0</v>
      </c>
      <c r="DJ144" s="205">
        <f>IF(AND(ISNUMBER(DI137),ISNUMBER(DI143)),DI144*DK144,0)</f>
        <v>0</v>
      </c>
      <c r="DK144" s="205">
        <f>IF(DI143&gt;45,DK139,DK139*2.6*SIN(DK143/2))</f>
        <v>4.3378202954256484E-3</v>
      </c>
      <c r="DL144" s="14"/>
      <c r="DM144" s="14"/>
      <c r="DN144" s="14"/>
      <c r="DO144" s="202">
        <v>0</v>
      </c>
      <c r="DP144" s="205">
        <f>IF(AND(ISNUMBER(DO137),ISNUMBER(DO143)),DO144*DQ144,0)</f>
        <v>0</v>
      </c>
      <c r="DQ144" s="205">
        <f>IF(DO143&gt;45,DQ139,DQ139*2.6*SIN(DQ143/2))</f>
        <v>1.9825069811444651</v>
      </c>
      <c r="DR144" s="421"/>
      <c r="DS144" s="421"/>
      <c r="DT144" s="421"/>
    </row>
    <row r="145" spans="2:124" x14ac:dyDescent="0.35">
      <c r="B145" s="201"/>
      <c r="C145" s="13"/>
      <c r="D145" s="13"/>
      <c r="E145" s="201"/>
      <c r="F145" s="201"/>
      <c r="G145" s="201"/>
      <c r="H145" s="14"/>
      <c r="I145" s="14"/>
      <c r="J145" s="14"/>
      <c r="K145" s="201"/>
      <c r="L145" s="201"/>
      <c r="M145" s="201"/>
      <c r="N145" s="14"/>
      <c r="O145" s="14"/>
      <c r="P145" s="14"/>
      <c r="Q145" s="201"/>
      <c r="R145" s="201"/>
      <c r="S145" s="201"/>
      <c r="T145" s="14"/>
      <c r="U145" s="14"/>
      <c r="V145" s="14"/>
      <c r="W145" s="201"/>
      <c r="X145" s="201"/>
      <c r="Y145" s="201"/>
      <c r="Z145" s="14"/>
      <c r="AA145" s="14"/>
      <c r="AB145" s="14"/>
      <c r="AC145" s="201"/>
      <c r="AD145" s="201"/>
      <c r="AE145" s="201"/>
      <c r="AF145" s="14"/>
      <c r="AG145" s="14"/>
      <c r="AH145" s="14"/>
      <c r="AI145" s="201"/>
      <c r="AJ145" s="201"/>
      <c r="AK145" s="201"/>
      <c r="AL145" s="14"/>
      <c r="AM145" s="14"/>
      <c r="AN145" s="14"/>
      <c r="AO145" s="201"/>
      <c r="AP145" s="201"/>
      <c r="AQ145" s="201"/>
      <c r="AR145" s="14"/>
      <c r="AS145" s="14"/>
      <c r="AT145" s="14"/>
      <c r="AU145" s="201"/>
      <c r="AV145" s="201"/>
      <c r="AW145" s="201"/>
      <c r="AX145" s="14"/>
      <c r="AY145" s="14"/>
      <c r="AZ145" s="14"/>
      <c r="BA145" s="201"/>
      <c r="BB145" s="201"/>
      <c r="BC145" s="201"/>
      <c r="BD145" s="14"/>
      <c r="BE145" s="14"/>
      <c r="BF145" s="14"/>
      <c r="BG145" s="201"/>
      <c r="BH145" s="201"/>
      <c r="BI145" s="201"/>
      <c r="BJ145" s="14"/>
      <c r="BK145" s="14"/>
      <c r="BL145" s="14"/>
      <c r="BM145" s="201"/>
      <c r="BN145" s="201"/>
      <c r="BO145" s="201"/>
      <c r="BP145" s="14"/>
      <c r="BQ145" s="14"/>
      <c r="BR145" s="14"/>
      <c r="BS145" s="201"/>
      <c r="BT145" s="201"/>
      <c r="BU145" s="201"/>
      <c r="BV145" s="14"/>
      <c r="BW145" s="14"/>
      <c r="BX145" s="14"/>
      <c r="BY145" s="201"/>
      <c r="BZ145" s="201"/>
      <c r="CA145" s="201"/>
      <c r="CB145" s="14"/>
      <c r="CC145" s="14"/>
      <c r="CD145" s="14"/>
      <c r="CE145" s="201"/>
      <c r="CF145" s="201"/>
      <c r="CG145" s="201"/>
      <c r="CH145" s="14"/>
      <c r="CI145" s="14"/>
      <c r="CJ145" s="14"/>
      <c r="CK145" s="201"/>
      <c r="CL145" s="201"/>
      <c r="CM145" s="201"/>
      <c r="CN145" s="14"/>
      <c r="CO145" s="14"/>
      <c r="CP145" s="14"/>
      <c r="CQ145" s="201"/>
      <c r="CR145" s="201"/>
      <c r="CS145" s="201"/>
      <c r="CT145" s="14"/>
      <c r="CU145" s="14"/>
      <c r="CV145" s="14"/>
      <c r="CW145" s="202">
        <v>0</v>
      </c>
      <c r="CX145" s="205" t="e">
        <f>IF(AND(ISNUMBER(CW138),ISNUMBER(CW144)),CW145*CY145,0)</f>
        <v>#VALUE!</v>
      </c>
      <c r="CY145" s="205" t="e">
        <f>IF(CW144&gt;45,CY140,CY140*2.6*SIN(CY144/2))</f>
        <v>#VALUE!</v>
      </c>
      <c r="CZ145" s="14"/>
      <c r="DA145" s="14"/>
      <c r="DB145" s="14"/>
      <c r="DC145" s="201"/>
      <c r="DD145" s="201"/>
      <c r="DE145" s="201"/>
      <c r="DF145" s="14"/>
      <c r="DG145" s="14"/>
      <c r="DH145" s="14"/>
      <c r="DI145" s="201"/>
      <c r="DJ145" s="201"/>
      <c r="DK145" s="201"/>
      <c r="DL145" s="14"/>
      <c r="DM145" s="14"/>
      <c r="DN145" s="14"/>
      <c r="DO145" s="201"/>
      <c r="DP145" s="201"/>
      <c r="DQ145" s="201"/>
      <c r="DR145" s="421"/>
      <c r="DS145" s="421"/>
      <c r="DT145" s="421"/>
    </row>
    <row r="146" spans="2:124" x14ac:dyDescent="0.35">
      <c r="B146" s="208" t="s">
        <v>489</v>
      </c>
      <c r="C146" s="13"/>
      <c r="D146" s="13"/>
      <c r="E146" s="201"/>
      <c r="F146" s="201"/>
      <c r="G146" s="205"/>
      <c r="H146" s="14"/>
      <c r="I146" s="14"/>
      <c r="J146" s="14"/>
      <c r="K146" s="201"/>
      <c r="L146" s="201"/>
      <c r="M146" s="205"/>
      <c r="N146" s="14"/>
      <c r="O146" s="14"/>
      <c r="P146" s="14"/>
      <c r="Q146" s="201"/>
      <c r="R146" s="201"/>
      <c r="S146" s="205"/>
      <c r="T146" s="14"/>
      <c r="U146" s="14"/>
      <c r="V146" s="14"/>
      <c r="W146" s="201"/>
      <c r="X146" s="201"/>
      <c r="Y146" s="205"/>
      <c r="Z146" s="14"/>
      <c r="AA146" s="14"/>
      <c r="AB146" s="14"/>
      <c r="AC146" s="201"/>
      <c r="AD146" s="201"/>
      <c r="AE146" s="205"/>
      <c r="AF146" s="14"/>
      <c r="AG146" s="14"/>
      <c r="AH146" s="14"/>
      <c r="AI146" s="201"/>
      <c r="AJ146" s="201"/>
      <c r="AK146" s="205"/>
      <c r="AL146" s="14"/>
      <c r="AM146" s="14"/>
      <c r="AN146" s="14"/>
      <c r="AO146" s="201"/>
      <c r="AP146" s="201"/>
      <c r="AQ146" s="205"/>
      <c r="AR146" s="14"/>
      <c r="AS146" s="14"/>
      <c r="AT146" s="14"/>
      <c r="AU146" s="201"/>
      <c r="AV146" s="201"/>
      <c r="AW146" s="205"/>
      <c r="AX146" s="14"/>
      <c r="AY146" s="14"/>
      <c r="AZ146" s="14"/>
      <c r="BA146" s="201"/>
      <c r="BB146" s="201"/>
      <c r="BC146" s="205"/>
      <c r="BD146" s="14"/>
      <c r="BE146" s="14"/>
      <c r="BF146" s="14"/>
      <c r="BG146" s="201"/>
      <c r="BH146" s="201"/>
      <c r="BI146" s="205"/>
      <c r="BJ146" s="14"/>
      <c r="BK146" s="14"/>
      <c r="BL146" s="14"/>
      <c r="BM146" s="201"/>
      <c r="BN146" s="201"/>
      <c r="BO146" s="205"/>
      <c r="BP146" s="14"/>
      <c r="BQ146" s="14"/>
      <c r="BR146" s="14"/>
      <c r="BS146" s="201"/>
      <c r="BT146" s="201"/>
      <c r="BU146" s="205"/>
      <c r="BV146" s="14"/>
      <c r="BW146" s="14"/>
      <c r="BX146" s="14"/>
      <c r="BY146" s="201"/>
      <c r="BZ146" s="201"/>
      <c r="CA146" s="205"/>
      <c r="CB146" s="14"/>
      <c r="CC146" s="14"/>
      <c r="CD146" s="14"/>
      <c r="CE146" s="201"/>
      <c r="CF146" s="201"/>
      <c r="CG146" s="205"/>
      <c r="CH146" s="14"/>
      <c r="CI146" s="14"/>
      <c r="CJ146" s="14"/>
      <c r="CK146" s="201"/>
      <c r="CL146" s="201"/>
      <c r="CM146" s="205"/>
      <c r="CN146" s="14"/>
      <c r="CO146" s="14"/>
      <c r="CP146" s="14"/>
      <c r="CQ146" s="201"/>
      <c r="CR146" s="201"/>
      <c r="CS146" s="205"/>
      <c r="CT146" s="14"/>
      <c r="CU146" s="14"/>
      <c r="CV146" s="14"/>
      <c r="CW146" s="201"/>
      <c r="CX146" s="201"/>
      <c r="CY146" s="201"/>
      <c r="CZ146" s="14"/>
      <c r="DA146" s="14"/>
      <c r="DB146" s="14"/>
      <c r="DC146" s="201"/>
      <c r="DD146" s="201"/>
      <c r="DE146" s="205"/>
      <c r="DF146" s="14"/>
      <c r="DG146" s="14"/>
      <c r="DH146" s="14"/>
      <c r="DI146" s="201"/>
      <c r="DJ146" s="201"/>
      <c r="DK146" s="205"/>
      <c r="DL146" s="14"/>
      <c r="DM146" s="14"/>
      <c r="DN146" s="14"/>
      <c r="DO146" s="201"/>
      <c r="DP146" s="201"/>
      <c r="DQ146" s="205"/>
      <c r="DR146" s="421"/>
      <c r="DS146" s="421"/>
      <c r="DT146" s="421"/>
    </row>
    <row r="147" spans="2:124" x14ac:dyDescent="0.35">
      <c r="B147" s="201"/>
      <c r="C147" s="13"/>
      <c r="D147" s="201" t="s">
        <v>478</v>
      </c>
      <c r="E147" s="202">
        <v>0</v>
      </c>
      <c r="F147" s="205">
        <f>IF(ISNUMBER(E137),E147*G147,0)</f>
        <v>0</v>
      </c>
      <c r="G147" s="205">
        <f t="shared" ref="G147" si="230">G139</f>
        <v>9.6494954221608715</v>
      </c>
      <c r="H147" s="14"/>
      <c r="I147" s="14"/>
      <c r="J147" s="14"/>
      <c r="K147" s="202">
        <v>0</v>
      </c>
      <c r="L147" s="205">
        <f>IF(ISNUMBER(K137),K147*M147,0)</f>
        <v>0</v>
      </c>
      <c r="M147" s="205">
        <f t="shared" ref="M147" si="231">M139</f>
        <v>9.6494957113088198</v>
      </c>
      <c r="N147" s="14"/>
      <c r="O147" s="14"/>
      <c r="P147" s="14"/>
      <c r="Q147" s="202">
        <v>0</v>
      </c>
      <c r="R147" s="205">
        <f>IF(ISNUMBER(Q137),Q147*S147,0)</f>
        <v>0</v>
      </c>
      <c r="S147" s="205">
        <f t="shared" ref="S147" si="232">S139</f>
        <v>9.6494957113088198</v>
      </c>
      <c r="T147" s="14"/>
      <c r="U147" s="14"/>
      <c r="V147" s="14"/>
      <c r="W147" s="202">
        <v>0</v>
      </c>
      <c r="X147" s="205">
        <f>IF(ISNUMBER(W137),W147*Y147,0)</f>
        <v>0</v>
      </c>
      <c r="Y147" s="205">
        <f t="shared" ref="Y147" si="233">Y139</f>
        <v>9.6471425431912277</v>
      </c>
      <c r="Z147" s="14"/>
      <c r="AA147" s="14"/>
      <c r="AB147" s="14"/>
      <c r="AC147" s="202">
        <v>0</v>
      </c>
      <c r="AD147" s="205">
        <f>IF(ISNUMBER(AC137),AC147*AE147,0)</f>
        <v>0</v>
      </c>
      <c r="AE147" s="205">
        <f t="shared" ref="AE147" si="234">AE139</f>
        <v>0.6500068028803756</v>
      </c>
      <c r="AF147" s="14"/>
      <c r="AG147" s="14"/>
      <c r="AH147" s="14"/>
      <c r="AI147" s="202">
        <v>0</v>
      </c>
      <c r="AJ147" s="205">
        <f>IF(ISNUMBER(AI137),AI147*AK147,0)</f>
        <v>0</v>
      </c>
      <c r="AK147" s="205">
        <f t="shared" ref="AK147" si="235">AK139</f>
        <v>0.6500068028803756</v>
      </c>
      <c r="AL147" s="14"/>
      <c r="AM147" s="14"/>
      <c r="AN147" s="14"/>
      <c r="AO147" s="202">
        <v>0</v>
      </c>
      <c r="AP147" s="205">
        <f>IF(ISNUMBER(AO137),AO147*AQ147,0)</f>
        <v>0</v>
      </c>
      <c r="AQ147" s="205">
        <f t="shared" ref="AQ147" si="236">AQ139</f>
        <v>0.6500068028803756</v>
      </c>
      <c r="AR147" s="14"/>
      <c r="AS147" s="14"/>
      <c r="AT147" s="14"/>
      <c r="AU147" s="202">
        <v>0</v>
      </c>
      <c r="AV147" s="205">
        <f>IF(ISNUMBER(AU137),AU147*AW147,0)</f>
        <v>0</v>
      </c>
      <c r="AW147" s="205">
        <f t="shared" ref="AW147" si="237">AW139</f>
        <v>0.65000683220187661</v>
      </c>
      <c r="AX147" s="14"/>
      <c r="AY147" s="14"/>
      <c r="AZ147" s="14"/>
      <c r="BA147" s="202">
        <v>0</v>
      </c>
      <c r="BB147" s="205">
        <f>IF(ISNUMBER(BA137),BA147*BC147,0)</f>
        <v>0</v>
      </c>
      <c r="BC147" s="205">
        <f t="shared" ref="BC147" si="238">BC139</f>
        <v>0.65000683220187661</v>
      </c>
      <c r="BD147" s="14"/>
      <c r="BE147" s="14"/>
      <c r="BF147" s="14"/>
      <c r="BG147" s="202">
        <v>0</v>
      </c>
      <c r="BH147" s="205">
        <f>IF(ISNUMBER(BG137),BG147*BI147,0)</f>
        <v>0</v>
      </c>
      <c r="BI147" s="205">
        <f t="shared" ref="BI147" si="239">BI139</f>
        <v>0.65000683220187661</v>
      </c>
      <c r="BJ147" s="14"/>
      <c r="BK147" s="14"/>
      <c r="BL147" s="14"/>
      <c r="BM147" s="202">
        <v>0</v>
      </c>
      <c r="BN147" s="205">
        <f>IF(ISNUMBER(BM137),BM147*BO147,0)</f>
        <v>0</v>
      </c>
      <c r="BO147" s="205">
        <f t="shared" ref="BO147" si="240">BO139</f>
        <v>37.397778015729955</v>
      </c>
      <c r="BP147" s="14"/>
      <c r="BQ147" s="14"/>
      <c r="BR147" s="14"/>
      <c r="BS147" s="202">
        <v>0</v>
      </c>
      <c r="BT147" s="205">
        <f>IF(ISNUMBER(BS137),BS147*BU147,0)</f>
        <v>0</v>
      </c>
      <c r="BU147" s="205">
        <f t="shared" ref="BU147" si="241">BU139</f>
        <v>37.388082229068658</v>
      </c>
      <c r="BV147" s="14"/>
      <c r="BW147" s="14"/>
      <c r="BX147" s="14"/>
      <c r="BY147" s="202">
        <v>0</v>
      </c>
      <c r="BZ147" s="205">
        <f>IF(ISNUMBER(BY137),BY147*CA147,0)</f>
        <v>0</v>
      </c>
      <c r="CA147" s="205">
        <f t="shared" ref="CA147" si="242">CA139</f>
        <v>0.65012515765627765</v>
      </c>
      <c r="CB147" s="14"/>
      <c r="CC147" s="14"/>
      <c r="CD147" s="14"/>
      <c r="CE147" s="202">
        <v>0</v>
      </c>
      <c r="CF147" s="205">
        <f>IF(ISNUMBER(CE137),CE147*CG147,0)</f>
        <v>0</v>
      </c>
      <c r="CG147" s="205">
        <f t="shared" ref="CG147" si="243">CG139</f>
        <v>0.65012515765627765</v>
      </c>
      <c r="CH147" s="14"/>
      <c r="CI147" s="14"/>
      <c r="CJ147" s="14"/>
      <c r="CK147" s="202">
        <v>0</v>
      </c>
      <c r="CL147" s="205">
        <f>IF(ISNUMBER(CK137),CK147*CM147,0)</f>
        <v>0</v>
      </c>
      <c r="CM147" s="205">
        <f t="shared" ref="CM147" si="244">CM139</f>
        <v>4.3597194971478877E-3</v>
      </c>
      <c r="CN147" s="14"/>
      <c r="CO147" s="14"/>
      <c r="CP147" s="14"/>
      <c r="CQ147" s="202">
        <v>0</v>
      </c>
      <c r="CR147" s="205">
        <f>IF(ISNUMBER(CQ137),CQ147*CS147,0)</f>
        <v>0</v>
      </c>
      <c r="CS147" s="205">
        <f t="shared" ref="CS147" si="245">CS139</f>
        <v>4.3597194971478877E-3</v>
      </c>
      <c r="CT147" s="14"/>
      <c r="CU147" s="14"/>
      <c r="CV147" s="14"/>
      <c r="CW147" s="201"/>
      <c r="CX147" s="201"/>
      <c r="CY147" s="205"/>
      <c r="CZ147" s="14"/>
      <c r="DA147" s="14"/>
      <c r="DB147" s="14"/>
      <c r="DC147" s="202">
        <v>0</v>
      </c>
      <c r="DD147" s="205">
        <f>IF(ISNUMBER(DC137),DC147*DE147,0)</f>
        <v>0</v>
      </c>
      <c r="DE147" s="205">
        <f t="shared" ref="DE147" si="246">DE139</f>
        <v>4.3597194971478877E-3</v>
      </c>
      <c r="DF147" s="14"/>
      <c r="DG147" s="14"/>
      <c r="DH147" s="14"/>
      <c r="DI147" s="202">
        <v>0</v>
      </c>
      <c r="DJ147" s="205">
        <f>IF(ISNUMBER(DI137),DI147*DK147,0)</f>
        <v>0</v>
      </c>
      <c r="DK147" s="205">
        <f t="shared" ref="DK147" si="247">DK139</f>
        <v>4.3597194971478877E-3</v>
      </c>
      <c r="DL147" s="14"/>
      <c r="DM147" s="14"/>
      <c r="DN147" s="14"/>
      <c r="DO147" s="202">
        <v>0</v>
      </c>
      <c r="DP147" s="205">
        <f>IF(ISNUMBER(DO137),DO147*DQ147,0)</f>
        <v>0</v>
      </c>
      <c r="DQ147" s="205">
        <f t="shared" ref="DQ147" si="248">DQ139</f>
        <v>1.9925155378247901</v>
      </c>
      <c r="DR147" s="421"/>
      <c r="DS147" s="421"/>
      <c r="DT147" s="421"/>
    </row>
    <row r="148" spans="2:124" x14ac:dyDescent="0.35">
      <c r="B148" s="201"/>
      <c r="C148" s="13"/>
      <c r="D148" s="13"/>
      <c r="E148" s="201"/>
      <c r="F148" s="201"/>
      <c r="G148" s="205"/>
      <c r="H148" s="14"/>
      <c r="I148" s="14"/>
      <c r="J148" s="14"/>
      <c r="K148" s="201"/>
      <c r="L148" s="201"/>
      <c r="M148" s="205"/>
      <c r="N148" s="14"/>
      <c r="O148" s="14"/>
      <c r="P148" s="14"/>
      <c r="Q148" s="201"/>
      <c r="R148" s="201"/>
      <c r="S148" s="205"/>
      <c r="T148" s="14"/>
      <c r="U148" s="14"/>
      <c r="V148" s="14"/>
      <c r="W148" s="201"/>
      <c r="X148" s="201"/>
      <c r="Y148" s="205"/>
      <c r="Z148" s="14"/>
      <c r="AA148" s="14"/>
      <c r="AB148" s="14"/>
      <c r="AC148" s="201"/>
      <c r="AD148" s="201"/>
      <c r="AE148" s="205"/>
      <c r="AF148" s="14"/>
      <c r="AG148" s="14"/>
      <c r="AH148" s="14"/>
      <c r="AI148" s="201"/>
      <c r="AJ148" s="201"/>
      <c r="AK148" s="205"/>
      <c r="AL148" s="14"/>
      <c r="AM148" s="14"/>
      <c r="AN148" s="14"/>
      <c r="AO148" s="201"/>
      <c r="AP148" s="201"/>
      <c r="AQ148" s="205"/>
      <c r="AR148" s="14"/>
      <c r="AS148" s="14"/>
      <c r="AT148" s="14"/>
      <c r="AU148" s="201"/>
      <c r="AV148" s="201"/>
      <c r="AW148" s="205"/>
      <c r="AX148" s="14"/>
      <c r="AY148" s="14"/>
      <c r="AZ148" s="14"/>
      <c r="BA148" s="201"/>
      <c r="BB148" s="201"/>
      <c r="BC148" s="205"/>
      <c r="BD148" s="14"/>
      <c r="BE148" s="14"/>
      <c r="BF148" s="14"/>
      <c r="BG148" s="201"/>
      <c r="BH148" s="201"/>
      <c r="BI148" s="205"/>
      <c r="BJ148" s="14"/>
      <c r="BK148" s="14"/>
      <c r="BL148" s="14"/>
      <c r="BM148" s="201"/>
      <c r="BN148" s="201"/>
      <c r="BO148" s="205"/>
      <c r="BP148" s="14"/>
      <c r="BQ148" s="14"/>
      <c r="BR148" s="14"/>
      <c r="BS148" s="201"/>
      <c r="BT148" s="201"/>
      <c r="BU148" s="205"/>
      <c r="BV148" s="14"/>
      <c r="BW148" s="14"/>
      <c r="BX148" s="14"/>
      <c r="BY148" s="201"/>
      <c r="BZ148" s="201"/>
      <c r="CA148" s="205"/>
      <c r="CB148" s="14"/>
      <c r="CC148" s="14"/>
      <c r="CD148" s="14"/>
      <c r="CE148" s="201"/>
      <c r="CF148" s="201"/>
      <c r="CG148" s="205"/>
      <c r="CH148" s="14"/>
      <c r="CI148" s="14"/>
      <c r="CJ148" s="14"/>
      <c r="CK148" s="201"/>
      <c r="CL148" s="201"/>
      <c r="CM148" s="205"/>
      <c r="CN148" s="14"/>
      <c r="CO148" s="14"/>
      <c r="CP148" s="14"/>
      <c r="CQ148" s="201"/>
      <c r="CR148" s="201"/>
      <c r="CS148" s="205"/>
      <c r="CT148" s="14"/>
      <c r="CU148" s="14"/>
      <c r="CV148" s="14"/>
      <c r="CW148" s="202">
        <v>0</v>
      </c>
      <c r="CX148" s="205" t="e">
        <f>IF(ISNUMBER(CW138),CW148*CY148,0)</f>
        <v>#VALUE!</v>
      </c>
      <c r="CY148" s="205" t="e">
        <f t="shared" ref="CY148" si="249">CY140</f>
        <v>#VALUE!</v>
      </c>
      <c r="CZ148" s="14"/>
      <c r="DA148" s="14"/>
      <c r="DB148" s="14"/>
      <c r="DC148" s="201"/>
      <c r="DD148" s="201"/>
      <c r="DE148" s="205"/>
      <c r="DF148" s="14"/>
      <c r="DG148" s="14"/>
      <c r="DH148" s="14"/>
      <c r="DI148" s="201"/>
      <c r="DJ148" s="201"/>
      <c r="DK148" s="205"/>
      <c r="DL148" s="14"/>
      <c r="DM148" s="14"/>
      <c r="DN148" s="14"/>
      <c r="DO148" s="201"/>
      <c r="DP148" s="201"/>
      <c r="DQ148" s="205"/>
      <c r="DR148" s="421"/>
      <c r="DS148" s="421"/>
      <c r="DT148" s="421"/>
    </row>
    <row r="149" spans="2:124" x14ac:dyDescent="0.35">
      <c r="B149" s="201"/>
      <c r="C149" s="201"/>
      <c r="D149" s="201"/>
      <c r="E149" s="201"/>
      <c r="F149" s="201"/>
      <c r="G149" s="205"/>
      <c r="H149" s="14"/>
      <c r="I149" s="14"/>
      <c r="J149" s="14"/>
      <c r="K149" s="201"/>
      <c r="L149" s="201"/>
      <c r="M149" s="205"/>
      <c r="N149" s="14"/>
      <c r="O149" s="14"/>
      <c r="P149" s="14"/>
      <c r="Q149" s="201"/>
      <c r="R149" s="201"/>
      <c r="S149" s="205"/>
      <c r="T149" s="14"/>
      <c r="U149" s="14"/>
      <c r="V149" s="14"/>
      <c r="W149" s="201"/>
      <c r="X149" s="201"/>
      <c r="Y149" s="205"/>
      <c r="Z149" s="14"/>
      <c r="AA149" s="14"/>
      <c r="AB149" s="14"/>
      <c r="AC149" s="201"/>
      <c r="AD149" s="201"/>
      <c r="AE149" s="205"/>
      <c r="AF149" s="14"/>
      <c r="AG149" s="14"/>
      <c r="AH149" s="14"/>
      <c r="AI149" s="201"/>
      <c r="AJ149" s="201"/>
      <c r="AK149" s="205"/>
      <c r="AL149" s="14"/>
      <c r="AM149" s="14"/>
      <c r="AN149" s="14"/>
      <c r="AO149" s="201"/>
      <c r="AP149" s="201"/>
      <c r="AQ149" s="205"/>
      <c r="AR149" s="14"/>
      <c r="AS149" s="14"/>
      <c r="AT149" s="14"/>
      <c r="AU149" s="201"/>
      <c r="AV149" s="201"/>
      <c r="AW149" s="205"/>
      <c r="AX149" s="14"/>
      <c r="AY149" s="14"/>
      <c r="AZ149" s="14"/>
      <c r="BA149" s="201"/>
      <c r="BB149" s="201"/>
      <c r="BC149" s="205"/>
      <c r="BD149" s="14"/>
      <c r="BE149" s="14"/>
      <c r="BF149" s="14"/>
      <c r="BG149" s="201"/>
      <c r="BH149" s="201"/>
      <c r="BI149" s="205"/>
      <c r="BJ149" s="14"/>
      <c r="BK149" s="14"/>
      <c r="BL149" s="14"/>
      <c r="BM149" s="201"/>
      <c r="BN149" s="201"/>
      <c r="BO149" s="205"/>
      <c r="BP149" s="14"/>
      <c r="BQ149" s="14"/>
      <c r="BR149" s="14"/>
      <c r="BS149" s="201"/>
      <c r="BT149" s="201"/>
      <c r="BU149" s="205"/>
      <c r="BV149" s="14"/>
      <c r="BW149" s="14"/>
      <c r="BX149" s="14"/>
      <c r="BY149" s="201"/>
      <c r="BZ149" s="201"/>
      <c r="CA149" s="205"/>
      <c r="CB149" s="14"/>
      <c r="CC149" s="14"/>
      <c r="CD149" s="14"/>
      <c r="CE149" s="201"/>
      <c r="CF149" s="201"/>
      <c r="CG149" s="205"/>
      <c r="CH149" s="14"/>
      <c r="CI149" s="14"/>
      <c r="CJ149" s="14"/>
      <c r="CK149" s="201"/>
      <c r="CL149" s="201"/>
      <c r="CM149" s="205"/>
      <c r="CN149" s="14"/>
      <c r="CO149" s="14"/>
      <c r="CP149" s="14"/>
      <c r="CQ149" s="201"/>
      <c r="CR149" s="201"/>
      <c r="CS149" s="205"/>
      <c r="CT149" s="14"/>
      <c r="CU149" s="14"/>
      <c r="CV149" s="14"/>
      <c r="CW149" s="201"/>
      <c r="CX149" s="201"/>
      <c r="CY149" s="205"/>
      <c r="CZ149" s="14"/>
      <c r="DA149" s="14"/>
      <c r="DB149" s="14"/>
      <c r="DC149" s="201"/>
      <c r="DD149" s="201"/>
      <c r="DE149" s="205"/>
      <c r="DF149" s="14"/>
      <c r="DG149" s="14"/>
      <c r="DH149" s="14"/>
      <c r="DI149" s="201"/>
      <c r="DJ149" s="201"/>
      <c r="DK149" s="205"/>
      <c r="DL149" s="14"/>
      <c r="DM149" s="14"/>
      <c r="DN149" s="14"/>
      <c r="DO149" s="201"/>
      <c r="DP149" s="201"/>
      <c r="DQ149" s="205"/>
      <c r="DR149" s="421"/>
      <c r="DS149" s="421"/>
      <c r="DT149" s="421"/>
    </row>
    <row r="150" spans="2:124" x14ac:dyDescent="0.35">
      <c r="B150" s="203" t="s">
        <v>490</v>
      </c>
      <c r="C150" s="203"/>
      <c r="D150" s="203"/>
      <c r="E150" s="203"/>
      <c r="F150" s="201"/>
      <c r="G150" s="205"/>
      <c r="H150" s="14"/>
      <c r="I150" s="14"/>
      <c r="J150" s="14"/>
      <c r="K150" s="203"/>
      <c r="L150" s="201"/>
      <c r="M150" s="205"/>
      <c r="N150" s="14"/>
      <c r="O150" s="14"/>
      <c r="P150" s="14"/>
      <c r="Q150" s="203"/>
      <c r="R150" s="201"/>
      <c r="S150" s="205"/>
      <c r="T150" s="14"/>
      <c r="U150" s="14"/>
      <c r="V150" s="14"/>
      <c r="W150" s="203"/>
      <c r="X150" s="201"/>
      <c r="Y150" s="205"/>
      <c r="Z150" s="14"/>
      <c r="AA150" s="14"/>
      <c r="AB150" s="14"/>
      <c r="AC150" s="203"/>
      <c r="AD150" s="201"/>
      <c r="AE150" s="205"/>
      <c r="AF150" s="14"/>
      <c r="AG150" s="14"/>
      <c r="AH150" s="14"/>
      <c r="AI150" s="203"/>
      <c r="AJ150" s="201"/>
      <c r="AK150" s="205"/>
      <c r="AL150" s="14"/>
      <c r="AM150" s="14"/>
      <c r="AN150" s="14"/>
      <c r="AO150" s="203"/>
      <c r="AP150" s="201"/>
      <c r="AQ150" s="205"/>
      <c r="AR150" s="14"/>
      <c r="AS150" s="14"/>
      <c r="AT150" s="14"/>
      <c r="AU150" s="203"/>
      <c r="AV150" s="201"/>
      <c r="AW150" s="205"/>
      <c r="AX150" s="14"/>
      <c r="AY150" s="14"/>
      <c r="AZ150" s="14"/>
      <c r="BA150" s="203"/>
      <c r="BB150" s="201"/>
      <c r="BC150" s="205"/>
      <c r="BD150" s="14"/>
      <c r="BE150" s="14"/>
      <c r="BF150" s="14"/>
      <c r="BG150" s="203"/>
      <c r="BH150" s="201"/>
      <c r="BI150" s="205"/>
      <c r="BJ150" s="14"/>
      <c r="BK150" s="14"/>
      <c r="BL150" s="14"/>
      <c r="BM150" s="203"/>
      <c r="BN150" s="201"/>
      <c r="BO150" s="205"/>
      <c r="BP150" s="14"/>
      <c r="BQ150" s="14"/>
      <c r="BR150" s="14"/>
      <c r="BS150" s="203"/>
      <c r="BT150" s="201"/>
      <c r="BU150" s="205"/>
      <c r="BV150" s="14"/>
      <c r="BW150" s="14"/>
      <c r="BX150" s="14"/>
      <c r="BY150" s="203"/>
      <c r="BZ150" s="201"/>
      <c r="CA150" s="205"/>
      <c r="CB150" s="14"/>
      <c r="CC150" s="14"/>
      <c r="CD150" s="14"/>
      <c r="CE150" s="203"/>
      <c r="CF150" s="201"/>
      <c r="CG150" s="205"/>
      <c r="CH150" s="14"/>
      <c r="CI150" s="14"/>
      <c r="CJ150" s="14"/>
      <c r="CK150" s="203"/>
      <c r="CL150" s="201"/>
      <c r="CM150" s="205"/>
      <c r="CN150" s="14"/>
      <c r="CO150" s="14"/>
      <c r="CP150" s="14"/>
      <c r="CQ150" s="203"/>
      <c r="CR150" s="201"/>
      <c r="CS150" s="205"/>
      <c r="CT150" s="14"/>
      <c r="CU150" s="14"/>
      <c r="CV150" s="14"/>
      <c r="CW150" s="201"/>
      <c r="CX150" s="201"/>
      <c r="CY150" s="205"/>
      <c r="CZ150" s="14"/>
      <c r="DA150" s="14"/>
      <c r="DB150" s="14"/>
      <c r="DC150" s="203"/>
      <c r="DD150" s="201"/>
      <c r="DE150" s="205"/>
      <c r="DF150" s="14"/>
      <c r="DG150" s="14"/>
      <c r="DH150" s="14"/>
      <c r="DI150" s="203"/>
      <c r="DJ150" s="201"/>
      <c r="DK150" s="205"/>
      <c r="DL150" s="14"/>
      <c r="DM150" s="14"/>
      <c r="DN150" s="14"/>
      <c r="DO150" s="203"/>
      <c r="DP150" s="201"/>
      <c r="DQ150" s="205"/>
      <c r="DR150" s="421"/>
      <c r="DS150" s="421"/>
      <c r="DT150" s="421"/>
    </row>
    <row r="151" spans="2:124" x14ac:dyDescent="0.35">
      <c r="B151" s="208" t="s">
        <v>491</v>
      </c>
      <c r="C151" s="13"/>
      <c r="D151" s="13"/>
      <c r="E151" s="201"/>
      <c r="F151" s="201"/>
      <c r="G151" s="205"/>
      <c r="H151" s="14"/>
      <c r="I151" s="14"/>
      <c r="J151" s="14"/>
      <c r="K151" s="201"/>
      <c r="L151" s="201"/>
      <c r="M151" s="205"/>
      <c r="N151" s="14"/>
      <c r="O151" s="14"/>
      <c r="P151" s="14"/>
      <c r="Q151" s="201"/>
      <c r="R151" s="201"/>
      <c r="S151" s="205"/>
      <c r="T151" s="14"/>
      <c r="U151" s="14"/>
      <c r="V151" s="14"/>
      <c r="W151" s="201"/>
      <c r="X151" s="201"/>
      <c r="Y151" s="205"/>
      <c r="Z151" s="14"/>
      <c r="AA151" s="14"/>
      <c r="AB151" s="14"/>
      <c r="AC151" s="201"/>
      <c r="AD151" s="201"/>
      <c r="AE151" s="205"/>
      <c r="AF151" s="14"/>
      <c r="AG151" s="14"/>
      <c r="AH151" s="14"/>
      <c r="AI151" s="201"/>
      <c r="AJ151" s="201"/>
      <c r="AK151" s="205"/>
      <c r="AL151" s="14"/>
      <c r="AM151" s="14"/>
      <c r="AN151" s="14"/>
      <c r="AO151" s="201"/>
      <c r="AP151" s="201"/>
      <c r="AQ151" s="205"/>
      <c r="AR151" s="14"/>
      <c r="AS151" s="14"/>
      <c r="AT151" s="14"/>
      <c r="AU151" s="201"/>
      <c r="AV151" s="201"/>
      <c r="AW151" s="205"/>
      <c r="AX151" s="14"/>
      <c r="AY151" s="14"/>
      <c r="AZ151" s="14"/>
      <c r="BA151" s="201"/>
      <c r="BB151" s="201"/>
      <c r="BC151" s="205"/>
      <c r="BD151" s="14"/>
      <c r="BE151" s="14"/>
      <c r="BF151" s="14"/>
      <c r="BG151" s="201"/>
      <c r="BH151" s="201"/>
      <c r="BI151" s="205"/>
      <c r="BJ151" s="14"/>
      <c r="BK151" s="14"/>
      <c r="BL151" s="14"/>
      <c r="BM151" s="201"/>
      <c r="BN151" s="201"/>
      <c r="BO151" s="205"/>
      <c r="BP151" s="14"/>
      <c r="BQ151" s="14"/>
      <c r="BR151" s="14"/>
      <c r="BS151" s="201"/>
      <c r="BT151" s="201"/>
      <c r="BU151" s="205"/>
      <c r="BV151" s="14"/>
      <c r="BW151" s="14"/>
      <c r="BX151" s="14"/>
      <c r="BY151" s="201"/>
      <c r="BZ151" s="201"/>
      <c r="CA151" s="205"/>
      <c r="CB151" s="14"/>
      <c r="CC151" s="14"/>
      <c r="CD151" s="14"/>
      <c r="CE151" s="201"/>
      <c r="CF151" s="201"/>
      <c r="CG151" s="205"/>
      <c r="CH151" s="14"/>
      <c r="CI151" s="14"/>
      <c r="CJ151" s="14"/>
      <c r="CK151" s="201"/>
      <c r="CL151" s="201"/>
      <c r="CM151" s="205"/>
      <c r="CN151" s="14"/>
      <c r="CO151" s="14"/>
      <c r="CP151" s="14"/>
      <c r="CQ151" s="201"/>
      <c r="CR151" s="201"/>
      <c r="CS151" s="205"/>
      <c r="CT151" s="14"/>
      <c r="CU151" s="14"/>
      <c r="CV151" s="14"/>
      <c r="CW151" s="203"/>
      <c r="CX151" s="201"/>
      <c r="CY151" s="205"/>
      <c r="CZ151" s="14"/>
      <c r="DA151" s="14"/>
      <c r="DB151" s="14"/>
      <c r="DC151" s="201"/>
      <c r="DD151" s="201"/>
      <c r="DE151" s="205"/>
      <c r="DF151" s="14"/>
      <c r="DG151" s="14"/>
      <c r="DH151" s="14"/>
      <c r="DI151" s="201"/>
      <c r="DJ151" s="201"/>
      <c r="DK151" s="205"/>
      <c r="DL151" s="14"/>
      <c r="DM151" s="14"/>
      <c r="DN151" s="14"/>
      <c r="DO151" s="201"/>
      <c r="DP151" s="201"/>
      <c r="DQ151" s="205"/>
      <c r="DR151" s="421"/>
      <c r="DS151" s="421"/>
      <c r="DT151" s="421"/>
    </row>
    <row r="152" spans="2:124" x14ac:dyDescent="0.35">
      <c r="B152" s="201"/>
      <c r="C152" s="13"/>
      <c r="D152" s="13"/>
      <c r="E152" s="201"/>
      <c r="F152" s="201"/>
      <c r="G152" s="205"/>
      <c r="H152" s="14"/>
      <c r="I152" s="14"/>
      <c r="J152" s="14"/>
      <c r="K152" s="201"/>
      <c r="L152" s="201"/>
      <c r="M152" s="205"/>
      <c r="N152" s="14"/>
      <c r="O152" s="14"/>
      <c r="P152" s="14"/>
      <c r="Q152" s="201"/>
      <c r="R152" s="201"/>
      <c r="S152" s="205"/>
      <c r="T152" s="14"/>
      <c r="U152" s="14"/>
      <c r="V152" s="14"/>
      <c r="W152" s="201"/>
      <c r="X152" s="201"/>
      <c r="Y152" s="205"/>
      <c r="Z152" s="14"/>
      <c r="AA152" s="14"/>
      <c r="AB152" s="14"/>
      <c r="AC152" s="201"/>
      <c r="AD152" s="201"/>
      <c r="AE152" s="205"/>
      <c r="AF152" s="14"/>
      <c r="AG152" s="14"/>
      <c r="AH152" s="14"/>
      <c r="AI152" s="201"/>
      <c r="AJ152" s="201"/>
      <c r="AK152" s="205"/>
      <c r="AL152" s="14"/>
      <c r="AM152" s="14"/>
      <c r="AN152" s="14"/>
      <c r="AO152" s="201"/>
      <c r="AP152" s="201"/>
      <c r="AQ152" s="205"/>
      <c r="AR152" s="14"/>
      <c r="AS152" s="14"/>
      <c r="AT152" s="14"/>
      <c r="AU152" s="201"/>
      <c r="AV152" s="201"/>
      <c r="AW152" s="205"/>
      <c r="AX152" s="14"/>
      <c r="AY152" s="14"/>
      <c r="AZ152" s="14"/>
      <c r="BA152" s="201"/>
      <c r="BB152" s="201"/>
      <c r="BC152" s="205"/>
      <c r="BD152" s="14"/>
      <c r="BE152" s="14"/>
      <c r="BF152" s="14"/>
      <c r="BG152" s="201"/>
      <c r="BH152" s="201"/>
      <c r="BI152" s="205"/>
      <c r="BJ152" s="14"/>
      <c r="BK152" s="14"/>
      <c r="BL152" s="14"/>
      <c r="BM152" s="201"/>
      <c r="BN152" s="201"/>
      <c r="BO152" s="205"/>
      <c r="BP152" s="14"/>
      <c r="BQ152" s="14"/>
      <c r="BR152" s="14"/>
      <c r="BS152" s="201"/>
      <c r="BT152" s="201"/>
      <c r="BU152" s="205"/>
      <c r="BV152" s="14"/>
      <c r="BW152" s="14"/>
      <c r="BX152" s="14"/>
      <c r="BY152" s="201"/>
      <c r="BZ152" s="201"/>
      <c r="CA152" s="205"/>
      <c r="CB152" s="14"/>
      <c r="CC152" s="14"/>
      <c r="CD152" s="14"/>
      <c r="CE152" s="201"/>
      <c r="CF152" s="201"/>
      <c r="CG152" s="205"/>
      <c r="CH152" s="14"/>
      <c r="CI152" s="14"/>
      <c r="CJ152" s="14"/>
      <c r="CK152" s="201"/>
      <c r="CL152" s="201"/>
      <c r="CM152" s="205"/>
      <c r="CN152" s="14"/>
      <c r="CO152" s="14"/>
      <c r="CP152" s="14"/>
      <c r="CQ152" s="201"/>
      <c r="CR152" s="201"/>
      <c r="CS152" s="205"/>
      <c r="CT152" s="14"/>
      <c r="CU152" s="14"/>
      <c r="CV152" s="14"/>
      <c r="CW152" s="201"/>
      <c r="CX152" s="201"/>
      <c r="CY152" s="205"/>
      <c r="CZ152" s="14"/>
      <c r="DA152" s="14"/>
      <c r="DB152" s="14"/>
      <c r="DC152" s="201"/>
      <c r="DD152" s="201"/>
      <c r="DE152" s="205"/>
      <c r="DF152" s="14"/>
      <c r="DG152" s="14"/>
      <c r="DH152" s="14"/>
      <c r="DI152" s="201"/>
      <c r="DJ152" s="201"/>
      <c r="DK152" s="205"/>
      <c r="DL152" s="14"/>
      <c r="DM152" s="14"/>
      <c r="DN152" s="14"/>
      <c r="DO152" s="201"/>
      <c r="DP152" s="201"/>
      <c r="DQ152" s="205"/>
      <c r="DR152" s="421"/>
      <c r="DS152" s="421"/>
      <c r="DT152" s="421"/>
    </row>
    <row r="153" spans="2:124" x14ac:dyDescent="0.35">
      <c r="B153" s="201"/>
      <c r="C153" s="13"/>
      <c r="D153" s="201" t="s">
        <v>478</v>
      </c>
      <c r="E153" s="202">
        <v>0</v>
      </c>
      <c r="F153" s="205">
        <f>IF(ISNUMBER(E153),E153*G153,0)</f>
        <v>0</v>
      </c>
      <c r="G153" s="205">
        <v>0.5</v>
      </c>
      <c r="H153" s="202" t="s">
        <v>499</v>
      </c>
      <c r="I153" s="202" t="s">
        <v>500</v>
      </c>
      <c r="J153" s="14"/>
      <c r="K153" s="202">
        <v>0</v>
      </c>
      <c r="L153" s="205">
        <f>IF(ISNUMBER(K153),K153*M153,0)</f>
        <v>0</v>
      </c>
      <c r="M153" s="205">
        <v>0.5</v>
      </c>
      <c r="N153" s="202" t="s">
        <v>499</v>
      </c>
      <c r="O153" s="202" t="s">
        <v>500</v>
      </c>
      <c r="P153" s="14"/>
      <c r="Q153" s="202">
        <v>0</v>
      </c>
      <c r="R153" s="205">
        <f>IF(ISNUMBER(Q153),Q153*S153,0)</f>
        <v>0</v>
      </c>
      <c r="S153" s="205">
        <v>0.5</v>
      </c>
      <c r="T153" s="202" t="s">
        <v>499</v>
      </c>
      <c r="U153" s="202" t="s">
        <v>500</v>
      </c>
      <c r="V153" s="14"/>
      <c r="W153" s="202">
        <v>0</v>
      </c>
      <c r="X153" s="205">
        <f>IF(ISNUMBER(W153),W153*Y153,0)</f>
        <v>0</v>
      </c>
      <c r="Y153" s="205">
        <v>0.5</v>
      </c>
      <c r="Z153" s="202" t="s">
        <v>499</v>
      </c>
      <c r="AA153" s="202" t="s">
        <v>500</v>
      </c>
      <c r="AB153" s="14"/>
      <c r="AC153" s="202">
        <v>0</v>
      </c>
      <c r="AD153" s="205">
        <f>IF(ISNUMBER(AC153),AC153*AE153,0)</f>
        <v>0</v>
      </c>
      <c r="AE153" s="205">
        <v>0.5</v>
      </c>
      <c r="AF153" s="202" t="s">
        <v>499</v>
      </c>
      <c r="AG153" s="202" t="s">
        <v>500</v>
      </c>
      <c r="AH153" s="14"/>
      <c r="AI153" s="202">
        <v>0</v>
      </c>
      <c r="AJ153" s="205">
        <f>IF(ISNUMBER(AI153),AI153*AK153,0)</f>
        <v>0</v>
      </c>
      <c r="AK153" s="205">
        <v>0.5</v>
      </c>
      <c r="AL153" s="202" t="s">
        <v>499</v>
      </c>
      <c r="AM153" s="202" t="s">
        <v>500</v>
      </c>
      <c r="AN153" s="14"/>
      <c r="AO153" s="202">
        <v>0</v>
      </c>
      <c r="AP153" s="205">
        <f>IF(ISNUMBER(AO153),AO153*AQ153,0)</f>
        <v>0</v>
      </c>
      <c r="AQ153" s="205">
        <v>0.5</v>
      </c>
      <c r="AR153" s="202" t="s">
        <v>499</v>
      </c>
      <c r="AS153" s="202" t="s">
        <v>500</v>
      </c>
      <c r="AT153" s="14"/>
      <c r="AU153" s="202">
        <v>0</v>
      </c>
      <c r="AV153" s="205">
        <f>IF(ISNUMBER(AU153),AU153*AW153,0)</f>
        <v>0</v>
      </c>
      <c r="AW153" s="205">
        <v>0.5</v>
      </c>
      <c r="AX153" s="202" t="s">
        <v>499</v>
      </c>
      <c r="AY153" s="202" t="s">
        <v>500</v>
      </c>
      <c r="AZ153" s="14"/>
      <c r="BA153" s="202">
        <v>0</v>
      </c>
      <c r="BB153" s="205">
        <f>IF(ISNUMBER(BA153),BA153*BC153,0)</f>
        <v>0</v>
      </c>
      <c r="BC153" s="205">
        <v>0.5</v>
      </c>
      <c r="BD153" s="202" t="s">
        <v>499</v>
      </c>
      <c r="BE153" s="202" t="s">
        <v>500</v>
      </c>
      <c r="BF153" s="14"/>
      <c r="BG153" s="202">
        <v>0</v>
      </c>
      <c r="BH153" s="205">
        <f>IF(ISNUMBER(BG153),BG153*BI153,0)</f>
        <v>0</v>
      </c>
      <c r="BI153" s="205">
        <v>0.5</v>
      </c>
      <c r="BJ153" s="202" t="s">
        <v>499</v>
      </c>
      <c r="BK153" s="202" t="s">
        <v>500</v>
      </c>
      <c r="BL153" s="14"/>
      <c r="BM153" s="202">
        <v>0</v>
      </c>
      <c r="BN153" s="205">
        <f>IF(ISNUMBER(BM153),BM153*BO153,0)</f>
        <v>0</v>
      </c>
      <c r="BO153" s="205">
        <v>0.5</v>
      </c>
      <c r="BP153" s="202" t="s">
        <v>499</v>
      </c>
      <c r="BQ153" s="202" t="s">
        <v>500</v>
      </c>
      <c r="BR153" s="14"/>
      <c r="BS153" s="202">
        <v>0</v>
      </c>
      <c r="BT153" s="205">
        <f>IF(ISNUMBER(BS153),BS153*BU153,0)</f>
        <v>0</v>
      </c>
      <c r="BU153" s="205">
        <v>0.5</v>
      </c>
      <c r="BV153" s="202" t="s">
        <v>499</v>
      </c>
      <c r="BW153" s="202" t="s">
        <v>500</v>
      </c>
      <c r="BX153" s="14"/>
      <c r="BY153" s="202">
        <v>0</v>
      </c>
      <c r="BZ153" s="205">
        <f>IF(ISNUMBER(BY153),BY153*CA153,0)</f>
        <v>0</v>
      </c>
      <c r="CA153" s="205">
        <v>0.5</v>
      </c>
      <c r="CB153" s="202" t="s">
        <v>499</v>
      </c>
      <c r="CC153" s="202" t="s">
        <v>500</v>
      </c>
      <c r="CD153" s="14"/>
      <c r="CE153" s="202">
        <v>0</v>
      </c>
      <c r="CF153" s="205">
        <f>IF(ISNUMBER(CE153),CE153*CG153,0)</f>
        <v>0</v>
      </c>
      <c r="CG153" s="205">
        <v>0.5</v>
      </c>
      <c r="CH153" s="202" t="s">
        <v>499</v>
      </c>
      <c r="CI153" s="202" t="s">
        <v>500</v>
      </c>
      <c r="CJ153" s="14"/>
      <c r="CK153" s="202">
        <v>0</v>
      </c>
      <c r="CL153" s="205">
        <f>IF(ISNUMBER(CK153),CK153*CM153,0)</f>
        <v>0</v>
      </c>
      <c r="CM153" s="205">
        <v>0.5</v>
      </c>
      <c r="CN153" s="202" t="s">
        <v>499</v>
      </c>
      <c r="CO153" s="202" t="s">
        <v>500</v>
      </c>
      <c r="CP153" s="14"/>
      <c r="CQ153" s="202">
        <v>0</v>
      </c>
      <c r="CR153" s="205">
        <f>IF(ISNUMBER(CQ153),CQ153*CS153,0)</f>
        <v>0</v>
      </c>
      <c r="CS153" s="205">
        <v>0.5</v>
      </c>
      <c r="CT153" s="202" t="s">
        <v>499</v>
      </c>
      <c r="CU153" s="202" t="s">
        <v>500</v>
      </c>
      <c r="CV153" s="14"/>
      <c r="CW153" s="201"/>
      <c r="CX153" s="201"/>
      <c r="CY153" s="205"/>
      <c r="CZ153" s="14"/>
      <c r="DA153" s="14"/>
      <c r="DB153" s="14"/>
      <c r="DC153" s="202">
        <v>0</v>
      </c>
      <c r="DD153" s="205">
        <f>IF(ISNUMBER(DC153),DC153*DE153,0)</f>
        <v>0</v>
      </c>
      <c r="DE153" s="205">
        <v>0.5</v>
      </c>
      <c r="DF153" s="202" t="s">
        <v>499</v>
      </c>
      <c r="DG153" s="202" t="s">
        <v>500</v>
      </c>
      <c r="DH153" s="14"/>
      <c r="DI153" s="202">
        <v>0</v>
      </c>
      <c r="DJ153" s="205">
        <f>IF(ISNUMBER(DI153),DI153*DK153,0)</f>
        <v>0</v>
      </c>
      <c r="DK153" s="205">
        <v>0.5</v>
      </c>
      <c r="DL153" s="202" t="s">
        <v>499</v>
      </c>
      <c r="DM153" s="202" t="s">
        <v>500</v>
      </c>
      <c r="DN153" s="14"/>
      <c r="DO153" s="202">
        <v>0</v>
      </c>
      <c r="DP153" s="205">
        <f>IF(ISNUMBER(DO153),DO153*DQ153,0)</f>
        <v>0</v>
      </c>
      <c r="DQ153" s="205">
        <v>0.5</v>
      </c>
      <c r="DR153" s="202" t="s">
        <v>499</v>
      </c>
      <c r="DS153" s="202" t="s">
        <v>500</v>
      </c>
      <c r="DT153" s="421"/>
    </row>
    <row r="154" spans="2:124" x14ac:dyDescent="0.35">
      <c r="B154" s="201"/>
      <c r="C154" s="13"/>
      <c r="D154" s="13"/>
      <c r="E154" s="201"/>
      <c r="F154" s="201"/>
      <c r="G154" s="205"/>
      <c r="H154" s="202">
        <v>0.02</v>
      </c>
      <c r="I154" s="202">
        <v>0.28000000000000003</v>
      </c>
      <c r="J154" s="14"/>
      <c r="K154" s="201"/>
      <c r="L154" s="201"/>
      <c r="M154" s="205"/>
      <c r="N154" s="202">
        <v>0.02</v>
      </c>
      <c r="O154" s="202">
        <v>0.28000000000000003</v>
      </c>
      <c r="P154" s="14"/>
      <c r="Q154" s="201"/>
      <c r="R154" s="201"/>
      <c r="S154" s="205"/>
      <c r="T154" s="202">
        <v>0.02</v>
      </c>
      <c r="U154" s="202">
        <v>0.28000000000000003</v>
      </c>
      <c r="V154" s="14"/>
      <c r="W154" s="201"/>
      <c r="X154" s="201"/>
      <c r="Y154" s="205"/>
      <c r="Z154" s="202">
        <v>0.02</v>
      </c>
      <c r="AA154" s="202">
        <v>0.28000000000000003</v>
      </c>
      <c r="AB154" s="14"/>
      <c r="AC154" s="201"/>
      <c r="AD154" s="201"/>
      <c r="AE154" s="205"/>
      <c r="AF154" s="202">
        <v>0.02</v>
      </c>
      <c r="AG154" s="202">
        <v>0.28000000000000003</v>
      </c>
      <c r="AH154" s="14"/>
      <c r="AI154" s="201"/>
      <c r="AJ154" s="201"/>
      <c r="AK154" s="205"/>
      <c r="AL154" s="202">
        <v>0.02</v>
      </c>
      <c r="AM154" s="202">
        <v>0.28000000000000003</v>
      </c>
      <c r="AN154" s="14"/>
      <c r="AO154" s="201"/>
      <c r="AP154" s="201"/>
      <c r="AQ154" s="205"/>
      <c r="AR154" s="202">
        <v>0.02</v>
      </c>
      <c r="AS154" s="202">
        <v>0.28000000000000003</v>
      </c>
      <c r="AT154" s="14"/>
      <c r="AU154" s="201"/>
      <c r="AV154" s="201"/>
      <c r="AW154" s="205"/>
      <c r="AX154" s="202">
        <v>0.02</v>
      </c>
      <c r="AY154" s="202">
        <v>0.28000000000000003</v>
      </c>
      <c r="AZ154" s="14"/>
      <c r="BA154" s="201"/>
      <c r="BB154" s="201"/>
      <c r="BC154" s="205"/>
      <c r="BD154" s="202">
        <v>0.02</v>
      </c>
      <c r="BE154" s="202">
        <v>0.28000000000000003</v>
      </c>
      <c r="BF154" s="14"/>
      <c r="BG154" s="201"/>
      <c r="BH154" s="201"/>
      <c r="BI154" s="205"/>
      <c r="BJ154" s="202">
        <v>0.02</v>
      </c>
      <c r="BK154" s="202">
        <v>0.28000000000000003</v>
      </c>
      <c r="BL154" s="14"/>
      <c r="BM154" s="201"/>
      <c r="BN154" s="201"/>
      <c r="BO154" s="205"/>
      <c r="BP154" s="202">
        <v>0.02</v>
      </c>
      <c r="BQ154" s="202">
        <v>0.28000000000000003</v>
      </c>
      <c r="BR154" s="14"/>
      <c r="BS154" s="201"/>
      <c r="BT154" s="201"/>
      <c r="BU154" s="205"/>
      <c r="BV154" s="202">
        <v>0.02</v>
      </c>
      <c r="BW154" s="202">
        <v>0.28000000000000003</v>
      </c>
      <c r="BX154" s="14"/>
      <c r="BY154" s="201"/>
      <c r="BZ154" s="201"/>
      <c r="CA154" s="205"/>
      <c r="CB154" s="202">
        <v>0.02</v>
      </c>
      <c r="CC154" s="202">
        <v>0.28000000000000003</v>
      </c>
      <c r="CD154" s="14"/>
      <c r="CE154" s="201"/>
      <c r="CF154" s="201"/>
      <c r="CG154" s="205"/>
      <c r="CH154" s="202">
        <v>0.02</v>
      </c>
      <c r="CI154" s="202">
        <v>0.28000000000000003</v>
      </c>
      <c r="CJ154" s="14"/>
      <c r="CK154" s="201"/>
      <c r="CL154" s="201"/>
      <c r="CM154" s="205"/>
      <c r="CN154" s="202">
        <v>0.02</v>
      </c>
      <c r="CO154" s="202">
        <v>0.28000000000000003</v>
      </c>
      <c r="CP154" s="14"/>
      <c r="CQ154" s="201"/>
      <c r="CR154" s="201"/>
      <c r="CS154" s="205"/>
      <c r="CT154" s="202">
        <v>0.02</v>
      </c>
      <c r="CU154" s="202">
        <v>0.28000000000000003</v>
      </c>
      <c r="CV154" s="14"/>
      <c r="CW154" s="202">
        <v>0</v>
      </c>
      <c r="CX154" s="205">
        <f>IF(ISNUMBER(CW154),CW154*CY154,0)</f>
        <v>0</v>
      </c>
      <c r="CY154" s="205">
        <v>0.5</v>
      </c>
      <c r="CZ154" s="202" t="s">
        <v>499</v>
      </c>
      <c r="DA154" s="202" t="s">
        <v>500</v>
      </c>
      <c r="DB154" s="14"/>
      <c r="DC154" s="201"/>
      <c r="DD154" s="201"/>
      <c r="DE154" s="205"/>
      <c r="DF154" s="202">
        <v>0.02</v>
      </c>
      <c r="DG154" s="202">
        <v>0.28000000000000003</v>
      </c>
      <c r="DH154" s="14"/>
      <c r="DI154" s="201"/>
      <c r="DJ154" s="201"/>
      <c r="DK154" s="205"/>
      <c r="DL154" s="202">
        <v>0.02</v>
      </c>
      <c r="DM154" s="202">
        <v>0.28000000000000003</v>
      </c>
      <c r="DN154" s="14"/>
      <c r="DO154" s="201"/>
      <c r="DP154" s="201"/>
      <c r="DQ154" s="205"/>
      <c r="DR154" s="202">
        <v>0.02</v>
      </c>
      <c r="DS154" s="202">
        <v>0.28000000000000003</v>
      </c>
      <c r="DT154" s="421"/>
    </row>
    <row r="155" spans="2:124" x14ac:dyDescent="0.35">
      <c r="B155" s="208" t="s">
        <v>492</v>
      </c>
      <c r="C155" s="13"/>
      <c r="D155" s="13"/>
      <c r="E155" s="201"/>
      <c r="F155" s="201"/>
      <c r="G155" s="205"/>
      <c r="H155" s="202">
        <v>0.04</v>
      </c>
      <c r="I155" s="202">
        <v>0.24</v>
      </c>
      <c r="J155" s="14"/>
      <c r="K155" s="201"/>
      <c r="L155" s="201"/>
      <c r="M155" s="205"/>
      <c r="N155" s="202">
        <v>0.04</v>
      </c>
      <c r="O155" s="202">
        <v>0.24</v>
      </c>
      <c r="P155" s="14"/>
      <c r="Q155" s="201"/>
      <c r="R155" s="201"/>
      <c r="S155" s="205"/>
      <c r="T155" s="202">
        <v>0.04</v>
      </c>
      <c r="U155" s="202">
        <v>0.24</v>
      </c>
      <c r="V155" s="14"/>
      <c r="W155" s="201"/>
      <c r="X155" s="201"/>
      <c r="Y155" s="205"/>
      <c r="Z155" s="202">
        <v>0.04</v>
      </c>
      <c r="AA155" s="202">
        <v>0.24</v>
      </c>
      <c r="AB155" s="14"/>
      <c r="AC155" s="201"/>
      <c r="AD155" s="201"/>
      <c r="AE155" s="205"/>
      <c r="AF155" s="202">
        <v>0.04</v>
      </c>
      <c r="AG155" s="202">
        <v>0.24</v>
      </c>
      <c r="AH155" s="14"/>
      <c r="AI155" s="201"/>
      <c r="AJ155" s="201"/>
      <c r="AK155" s="205"/>
      <c r="AL155" s="202">
        <v>0.04</v>
      </c>
      <c r="AM155" s="202">
        <v>0.24</v>
      </c>
      <c r="AN155" s="14"/>
      <c r="AO155" s="201"/>
      <c r="AP155" s="201"/>
      <c r="AQ155" s="205"/>
      <c r="AR155" s="202">
        <v>0.04</v>
      </c>
      <c r="AS155" s="202">
        <v>0.24</v>
      </c>
      <c r="AT155" s="14"/>
      <c r="AU155" s="201"/>
      <c r="AV155" s="201"/>
      <c r="AW155" s="205"/>
      <c r="AX155" s="202">
        <v>0.04</v>
      </c>
      <c r="AY155" s="202">
        <v>0.24</v>
      </c>
      <c r="AZ155" s="14"/>
      <c r="BA155" s="201"/>
      <c r="BB155" s="201"/>
      <c r="BC155" s="205"/>
      <c r="BD155" s="202">
        <v>0.04</v>
      </c>
      <c r="BE155" s="202">
        <v>0.24</v>
      </c>
      <c r="BF155" s="14"/>
      <c r="BG155" s="201"/>
      <c r="BH155" s="201"/>
      <c r="BI155" s="205"/>
      <c r="BJ155" s="202">
        <v>0.04</v>
      </c>
      <c r="BK155" s="202">
        <v>0.24</v>
      </c>
      <c r="BL155" s="14"/>
      <c r="BM155" s="201"/>
      <c r="BN155" s="201"/>
      <c r="BO155" s="205"/>
      <c r="BP155" s="202">
        <v>0.04</v>
      </c>
      <c r="BQ155" s="202">
        <v>0.24</v>
      </c>
      <c r="BR155" s="14"/>
      <c r="BS155" s="201"/>
      <c r="BT155" s="201"/>
      <c r="BU155" s="205"/>
      <c r="BV155" s="202">
        <v>0.04</v>
      </c>
      <c r="BW155" s="202">
        <v>0.24</v>
      </c>
      <c r="BX155" s="14"/>
      <c r="BY155" s="201"/>
      <c r="BZ155" s="201"/>
      <c r="CA155" s="205"/>
      <c r="CB155" s="202">
        <v>0.04</v>
      </c>
      <c r="CC155" s="202">
        <v>0.24</v>
      </c>
      <c r="CD155" s="14"/>
      <c r="CE155" s="201"/>
      <c r="CF155" s="201"/>
      <c r="CG155" s="205"/>
      <c r="CH155" s="202">
        <v>0.04</v>
      </c>
      <c r="CI155" s="202">
        <v>0.24</v>
      </c>
      <c r="CJ155" s="14"/>
      <c r="CK155" s="201"/>
      <c r="CL155" s="201"/>
      <c r="CM155" s="205"/>
      <c r="CN155" s="202">
        <v>0.04</v>
      </c>
      <c r="CO155" s="202">
        <v>0.24</v>
      </c>
      <c r="CP155" s="14"/>
      <c r="CQ155" s="201"/>
      <c r="CR155" s="201"/>
      <c r="CS155" s="205"/>
      <c r="CT155" s="202">
        <v>0.04</v>
      </c>
      <c r="CU155" s="202">
        <v>0.24</v>
      </c>
      <c r="CV155" s="14"/>
      <c r="CW155" s="201"/>
      <c r="CX155" s="201"/>
      <c r="CY155" s="205"/>
      <c r="CZ155" s="202">
        <v>0.02</v>
      </c>
      <c r="DA155" s="202">
        <v>0.28000000000000003</v>
      </c>
      <c r="DB155" s="14"/>
      <c r="DC155" s="201"/>
      <c r="DD155" s="201"/>
      <c r="DE155" s="205"/>
      <c r="DF155" s="202">
        <v>0.04</v>
      </c>
      <c r="DG155" s="202">
        <v>0.24</v>
      </c>
      <c r="DH155" s="14"/>
      <c r="DI155" s="201"/>
      <c r="DJ155" s="201"/>
      <c r="DK155" s="205"/>
      <c r="DL155" s="202">
        <v>0.04</v>
      </c>
      <c r="DM155" s="202">
        <v>0.24</v>
      </c>
      <c r="DN155" s="14"/>
      <c r="DO155" s="201"/>
      <c r="DP155" s="201"/>
      <c r="DQ155" s="205"/>
      <c r="DR155" s="202">
        <v>0.04</v>
      </c>
      <c r="DS155" s="202">
        <v>0.24</v>
      </c>
      <c r="DT155" s="421"/>
    </row>
    <row r="156" spans="2:124" x14ac:dyDescent="0.35">
      <c r="B156" s="201"/>
      <c r="C156" s="13"/>
      <c r="D156" s="201" t="s">
        <v>493</v>
      </c>
      <c r="E156" s="213">
        <v>0.02</v>
      </c>
      <c r="F156" s="201"/>
      <c r="G156" s="205"/>
      <c r="H156" s="202">
        <v>0.06</v>
      </c>
      <c r="I156" s="202">
        <v>0.15</v>
      </c>
      <c r="J156" s="14"/>
      <c r="K156" s="213">
        <v>0.02</v>
      </c>
      <c r="L156" s="201"/>
      <c r="M156" s="205"/>
      <c r="N156" s="202">
        <v>0.06</v>
      </c>
      <c r="O156" s="202">
        <v>0.15</v>
      </c>
      <c r="P156" s="14"/>
      <c r="Q156" s="213">
        <v>0.02</v>
      </c>
      <c r="R156" s="201"/>
      <c r="S156" s="205"/>
      <c r="T156" s="202">
        <v>0.06</v>
      </c>
      <c r="U156" s="202">
        <v>0.15</v>
      </c>
      <c r="V156" s="14"/>
      <c r="W156" s="213">
        <v>0.02</v>
      </c>
      <c r="X156" s="201"/>
      <c r="Y156" s="205"/>
      <c r="Z156" s="202">
        <v>0.06</v>
      </c>
      <c r="AA156" s="202">
        <v>0.15</v>
      </c>
      <c r="AB156" s="14"/>
      <c r="AC156" s="213">
        <v>0.02</v>
      </c>
      <c r="AD156" s="201"/>
      <c r="AE156" s="205"/>
      <c r="AF156" s="202">
        <v>0.06</v>
      </c>
      <c r="AG156" s="202">
        <v>0.15</v>
      </c>
      <c r="AH156" s="14"/>
      <c r="AI156" s="213">
        <v>0.02</v>
      </c>
      <c r="AJ156" s="201"/>
      <c r="AK156" s="205"/>
      <c r="AL156" s="202">
        <v>0.06</v>
      </c>
      <c r="AM156" s="202">
        <v>0.15</v>
      </c>
      <c r="AN156" s="14"/>
      <c r="AO156" s="213">
        <v>0.02</v>
      </c>
      <c r="AP156" s="201"/>
      <c r="AQ156" s="205"/>
      <c r="AR156" s="202">
        <v>0.06</v>
      </c>
      <c r="AS156" s="202">
        <v>0.15</v>
      </c>
      <c r="AT156" s="14"/>
      <c r="AU156" s="213">
        <v>0.02</v>
      </c>
      <c r="AV156" s="201"/>
      <c r="AW156" s="205"/>
      <c r="AX156" s="202">
        <v>0.06</v>
      </c>
      <c r="AY156" s="202">
        <v>0.15</v>
      </c>
      <c r="AZ156" s="14"/>
      <c r="BA156" s="213">
        <v>0.02</v>
      </c>
      <c r="BB156" s="201"/>
      <c r="BC156" s="205"/>
      <c r="BD156" s="202">
        <v>0.06</v>
      </c>
      <c r="BE156" s="202">
        <v>0.15</v>
      </c>
      <c r="BF156" s="14"/>
      <c r="BG156" s="213">
        <v>0.02</v>
      </c>
      <c r="BH156" s="201"/>
      <c r="BI156" s="205"/>
      <c r="BJ156" s="202">
        <v>0.06</v>
      </c>
      <c r="BK156" s="202">
        <v>0.15</v>
      </c>
      <c r="BL156" s="14"/>
      <c r="BM156" s="213">
        <v>0.02</v>
      </c>
      <c r="BN156" s="201"/>
      <c r="BO156" s="205"/>
      <c r="BP156" s="202">
        <v>0.06</v>
      </c>
      <c r="BQ156" s="202">
        <v>0.15</v>
      </c>
      <c r="BR156" s="14"/>
      <c r="BS156" s="213">
        <v>0.02</v>
      </c>
      <c r="BT156" s="201"/>
      <c r="BU156" s="205"/>
      <c r="BV156" s="202">
        <v>0.06</v>
      </c>
      <c r="BW156" s="202">
        <v>0.15</v>
      </c>
      <c r="BX156" s="14"/>
      <c r="BY156" s="213">
        <v>0.02</v>
      </c>
      <c r="BZ156" s="201"/>
      <c r="CA156" s="205"/>
      <c r="CB156" s="202">
        <v>0.06</v>
      </c>
      <c r="CC156" s="202">
        <v>0.15</v>
      </c>
      <c r="CD156" s="14"/>
      <c r="CE156" s="213">
        <v>0.02</v>
      </c>
      <c r="CF156" s="201"/>
      <c r="CG156" s="205"/>
      <c r="CH156" s="202">
        <v>0.06</v>
      </c>
      <c r="CI156" s="202">
        <v>0.15</v>
      </c>
      <c r="CJ156" s="14"/>
      <c r="CK156" s="213">
        <v>0.02</v>
      </c>
      <c r="CL156" s="201"/>
      <c r="CM156" s="205"/>
      <c r="CN156" s="202">
        <v>0.06</v>
      </c>
      <c r="CO156" s="202">
        <v>0.15</v>
      </c>
      <c r="CP156" s="14"/>
      <c r="CQ156" s="213">
        <v>0.02</v>
      </c>
      <c r="CR156" s="201"/>
      <c r="CS156" s="205"/>
      <c r="CT156" s="202">
        <v>0.06</v>
      </c>
      <c r="CU156" s="202">
        <v>0.15</v>
      </c>
      <c r="CV156" s="14"/>
      <c r="CW156" s="201"/>
      <c r="CX156" s="201"/>
      <c r="CY156" s="205"/>
      <c r="CZ156" s="202">
        <v>0.04</v>
      </c>
      <c r="DA156" s="202">
        <v>0.24</v>
      </c>
      <c r="DB156" s="14"/>
      <c r="DC156" s="213">
        <v>0.02</v>
      </c>
      <c r="DD156" s="201"/>
      <c r="DE156" s="205"/>
      <c r="DF156" s="202">
        <v>0.06</v>
      </c>
      <c r="DG156" s="202">
        <v>0.15</v>
      </c>
      <c r="DH156" s="14"/>
      <c r="DI156" s="213">
        <v>0.02</v>
      </c>
      <c r="DJ156" s="201"/>
      <c r="DK156" s="205"/>
      <c r="DL156" s="202">
        <v>0.06</v>
      </c>
      <c r="DM156" s="202">
        <v>0.15</v>
      </c>
      <c r="DN156" s="14"/>
      <c r="DO156" s="213">
        <v>0.02</v>
      </c>
      <c r="DP156" s="201"/>
      <c r="DQ156" s="205"/>
      <c r="DR156" s="202">
        <v>0.06</v>
      </c>
      <c r="DS156" s="202">
        <v>0.15</v>
      </c>
      <c r="DT156" s="421"/>
    </row>
    <row r="157" spans="2:124" x14ac:dyDescent="0.35">
      <c r="B157" s="201"/>
      <c r="C157" s="13"/>
      <c r="D157" s="201" t="s">
        <v>478</v>
      </c>
      <c r="E157" s="202">
        <v>0</v>
      </c>
      <c r="F157" s="205">
        <f>IF(ISNUMBER(E157),E157*G157,0)</f>
        <v>0</v>
      </c>
      <c r="G157" s="205">
        <f>VLOOKUP(E156,$H$154:$I$158,2)</f>
        <v>0.28000000000000003</v>
      </c>
      <c r="H157" s="202">
        <v>0.1</v>
      </c>
      <c r="I157" s="202">
        <v>0.09</v>
      </c>
      <c r="J157" s="14"/>
      <c r="K157" s="202">
        <v>0</v>
      </c>
      <c r="L157" s="205">
        <f>IF(ISNUMBER(K157),K157*M157,0)</f>
        <v>0</v>
      </c>
      <c r="M157" s="205">
        <f>VLOOKUP(K156,$H$154:$I$158,2)</f>
        <v>0.28000000000000003</v>
      </c>
      <c r="N157" s="202">
        <v>0.1</v>
      </c>
      <c r="O157" s="202">
        <v>0.09</v>
      </c>
      <c r="P157" s="14"/>
      <c r="Q157" s="202">
        <v>0</v>
      </c>
      <c r="R157" s="205">
        <f>IF(ISNUMBER(Q157),Q157*S157,0)</f>
        <v>0</v>
      </c>
      <c r="S157" s="205">
        <f>VLOOKUP(Q156,$H$154:$I$158,2)</f>
        <v>0.28000000000000003</v>
      </c>
      <c r="T157" s="202">
        <v>0.1</v>
      </c>
      <c r="U157" s="202">
        <v>0.09</v>
      </c>
      <c r="V157" s="14"/>
      <c r="W157" s="202">
        <v>0</v>
      </c>
      <c r="X157" s="205">
        <f>IF(ISNUMBER(W157),W157*Y157,0)</f>
        <v>0</v>
      </c>
      <c r="Y157" s="205">
        <f>VLOOKUP(W156,$H$154:$I$158,2)</f>
        <v>0.28000000000000003</v>
      </c>
      <c r="Z157" s="202">
        <v>0.1</v>
      </c>
      <c r="AA157" s="202">
        <v>0.09</v>
      </c>
      <c r="AB157" s="14"/>
      <c r="AC157" s="202">
        <v>0</v>
      </c>
      <c r="AD157" s="205">
        <f>IF(ISNUMBER(AC157),AC157*AE157,0)</f>
        <v>0</v>
      </c>
      <c r="AE157" s="205">
        <f>VLOOKUP(AC156,$H$154:$I$158,2)</f>
        <v>0.28000000000000003</v>
      </c>
      <c r="AF157" s="202">
        <v>0.1</v>
      </c>
      <c r="AG157" s="202">
        <v>0.09</v>
      </c>
      <c r="AH157" s="14"/>
      <c r="AI157" s="202">
        <v>0</v>
      </c>
      <c r="AJ157" s="205">
        <f>IF(ISNUMBER(AI157),AI157*AK157,0)</f>
        <v>0</v>
      </c>
      <c r="AK157" s="205">
        <f>VLOOKUP(AI156,$H$154:$I$158,2)</f>
        <v>0.28000000000000003</v>
      </c>
      <c r="AL157" s="202">
        <v>0.1</v>
      </c>
      <c r="AM157" s="202">
        <v>0.09</v>
      </c>
      <c r="AN157" s="14"/>
      <c r="AO157" s="202">
        <v>0</v>
      </c>
      <c r="AP157" s="205">
        <f>IF(ISNUMBER(AO157),AO157*AQ157,0)</f>
        <v>0</v>
      </c>
      <c r="AQ157" s="205">
        <f>VLOOKUP(AO156,$H$154:$I$158,2)</f>
        <v>0.28000000000000003</v>
      </c>
      <c r="AR157" s="202">
        <v>0.1</v>
      </c>
      <c r="AS157" s="202">
        <v>0.09</v>
      </c>
      <c r="AT157" s="14"/>
      <c r="AU157" s="202">
        <v>0</v>
      </c>
      <c r="AV157" s="205">
        <f>IF(ISNUMBER(AU157),AU157*AW157,0)</f>
        <v>0</v>
      </c>
      <c r="AW157" s="205">
        <f>VLOOKUP(AU156,$H$154:$I$158,2)</f>
        <v>0.28000000000000003</v>
      </c>
      <c r="AX157" s="202">
        <v>0.1</v>
      </c>
      <c r="AY157" s="202">
        <v>0.09</v>
      </c>
      <c r="AZ157" s="14"/>
      <c r="BA157" s="202">
        <v>0</v>
      </c>
      <c r="BB157" s="205">
        <f>IF(ISNUMBER(BA157),BA157*BC157,0)</f>
        <v>0</v>
      </c>
      <c r="BC157" s="205">
        <f>VLOOKUP(BA156,$H$154:$I$158,2)</f>
        <v>0.28000000000000003</v>
      </c>
      <c r="BD157" s="202">
        <v>0.1</v>
      </c>
      <c r="BE157" s="202">
        <v>0.09</v>
      </c>
      <c r="BF157" s="14"/>
      <c r="BG157" s="202">
        <v>0</v>
      </c>
      <c r="BH157" s="205">
        <f>IF(ISNUMBER(BG157),BG157*BI157,0)</f>
        <v>0</v>
      </c>
      <c r="BI157" s="205">
        <f>VLOOKUP(BG156,$H$154:$I$158,2)</f>
        <v>0.28000000000000003</v>
      </c>
      <c r="BJ157" s="202">
        <v>0.1</v>
      </c>
      <c r="BK157" s="202">
        <v>0.09</v>
      </c>
      <c r="BL157" s="14"/>
      <c r="BM157" s="202">
        <v>0</v>
      </c>
      <c r="BN157" s="205">
        <f>IF(ISNUMBER(BM157),BM157*BO157,0)</f>
        <v>0</v>
      </c>
      <c r="BO157" s="205">
        <f>VLOOKUP(BM156,$H$154:$I$158,2)</f>
        <v>0.28000000000000003</v>
      </c>
      <c r="BP157" s="202">
        <v>0.1</v>
      </c>
      <c r="BQ157" s="202">
        <v>0.09</v>
      </c>
      <c r="BR157" s="14"/>
      <c r="BS157" s="202">
        <v>0</v>
      </c>
      <c r="BT157" s="205">
        <f>IF(ISNUMBER(BS157),BS157*BU157,0)</f>
        <v>0</v>
      </c>
      <c r="BU157" s="205">
        <f>VLOOKUP(BS156,$H$154:$I$158,2)</f>
        <v>0.28000000000000003</v>
      </c>
      <c r="BV157" s="202">
        <v>0.1</v>
      </c>
      <c r="BW157" s="202">
        <v>0.09</v>
      </c>
      <c r="BX157" s="14"/>
      <c r="BY157" s="202">
        <v>0</v>
      </c>
      <c r="BZ157" s="205">
        <f>IF(ISNUMBER(BY157),BY157*CA157,0)</f>
        <v>0</v>
      </c>
      <c r="CA157" s="205">
        <f>VLOOKUP(BY156,$H$154:$I$158,2)</f>
        <v>0.28000000000000003</v>
      </c>
      <c r="CB157" s="202">
        <v>0.1</v>
      </c>
      <c r="CC157" s="202">
        <v>0.09</v>
      </c>
      <c r="CD157" s="14"/>
      <c r="CE157" s="202">
        <v>0</v>
      </c>
      <c r="CF157" s="205">
        <f>IF(ISNUMBER(CE157),CE157*CG157,0)</f>
        <v>0</v>
      </c>
      <c r="CG157" s="205">
        <f>VLOOKUP(CE156,$H$154:$I$158,2)</f>
        <v>0.28000000000000003</v>
      </c>
      <c r="CH157" s="202">
        <v>0.1</v>
      </c>
      <c r="CI157" s="202">
        <v>0.09</v>
      </c>
      <c r="CJ157" s="14"/>
      <c r="CK157" s="202">
        <v>0</v>
      </c>
      <c r="CL157" s="205">
        <f>IF(ISNUMBER(CK157),CK157*CM157,0)</f>
        <v>0</v>
      </c>
      <c r="CM157" s="205">
        <f>VLOOKUP(CK156,$H$154:$I$158,2)</f>
        <v>0.28000000000000003</v>
      </c>
      <c r="CN157" s="202">
        <v>0.1</v>
      </c>
      <c r="CO157" s="202">
        <v>0.09</v>
      </c>
      <c r="CP157" s="14"/>
      <c r="CQ157" s="202">
        <v>0</v>
      </c>
      <c r="CR157" s="205">
        <f>IF(ISNUMBER(CQ157),CQ157*CS157,0)</f>
        <v>0</v>
      </c>
      <c r="CS157" s="205">
        <f>VLOOKUP(CQ156,$H$154:$I$158,2)</f>
        <v>0.28000000000000003</v>
      </c>
      <c r="CT157" s="202">
        <v>0.1</v>
      </c>
      <c r="CU157" s="202">
        <v>0.09</v>
      </c>
      <c r="CV157" s="14"/>
      <c r="CW157" s="213">
        <v>0.02</v>
      </c>
      <c r="CX157" s="201"/>
      <c r="CY157" s="205"/>
      <c r="CZ157" s="202">
        <v>0.06</v>
      </c>
      <c r="DA157" s="202">
        <v>0.15</v>
      </c>
      <c r="DB157" s="14"/>
      <c r="DC157" s="202">
        <v>0</v>
      </c>
      <c r="DD157" s="205">
        <f>IF(ISNUMBER(DC157),DC157*DE157,0)</f>
        <v>0</v>
      </c>
      <c r="DE157" s="205">
        <f>VLOOKUP(DC156,$H$154:$I$158,2)</f>
        <v>0.28000000000000003</v>
      </c>
      <c r="DF157" s="202">
        <v>0.1</v>
      </c>
      <c r="DG157" s="202">
        <v>0.09</v>
      </c>
      <c r="DH157" s="14"/>
      <c r="DI157" s="202">
        <v>0</v>
      </c>
      <c r="DJ157" s="205">
        <f>IF(ISNUMBER(DI157),DI157*DK157,0)</f>
        <v>0</v>
      </c>
      <c r="DK157" s="205">
        <f>VLOOKUP(DI156,$H$154:$I$158,2)</f>
        <v>0.28000000000000003</v>
      </c>
      <c r="DL157" s="202">
        <v>0.1</v>
      </c>
      <c r="DM157" s="202">
        <v>0.09</v>
      </c>
      <c r="DN157" s="14"/>
      <c r="DO157" s="202">
        <v>0</v>
      </c>
      <c r="DP157" s="205">
        <f>IF(ISNUMBER(DO157),DO157*DQ157,0)</f>
        <v>0</v>
      </c>
      <c r="DQ157" s="205">
        <f>VLOOKUP(DO156,$H$154:$I$158,2)</f>
        <v>0.28000000000000003</v>
      </c>
      <c r="DR157" s="202">
        <v>0.1</v>
      </c>
      <c r="DS157" s="202">
        <v>0.09</v>
      </c>
      <c r="DT157" s="421"/>
    </row>
    <row r="158" spans="2:124" x14ac:dyDescent="0.35">
      <c r="B158" s="201"/>
      <c r="C158" s="13"/>
      <c r="D158" s="13"/>
      <c r="E158" s="201"/>
      <c r="F158" s="201"/>
      <c r="G158" s="205"/>
      <c r="H158" s="202" t="s">
        <v>502</v>
      </c>
      <c r="I158" s="202">
        <v>0.04</v>
      </c>
      <c r="J158" s="14"/>
      <c r="K158" s="201"/>
      <c r="L158" s="201"/>
      <c r="M158" s="205"/>
      <c r="N158" s="202" t="s">
        <v>502</v>
      </c>
      <c r="O158" s="202">
        <v>0.04</v>
      </c>
      <c r="P158" s="14"/>
      <c r="Q158" s="201"/>
      <c r="R158" s="201"/>
      <c r="S158" s="205"/>
      <c r="T158" s="202" t="s">
        <v>502</v>
      </c>
      <c r="U158" s="202">
        <v>0.04</v>
      </c>
      <c r="V158" s="14"/>
      <c r="W158" s="201"/>
      <c r="X158" s="201"/>
      <c r="Y158" s="205"/>
      <c r="Z158" s="202" t="s">
        <v>502</v>
      </c>
      <c r="AA158" s="202">
        <v>0.04</v>
      </c>
      <c r="AB158" s="14"/>
      <c r="AC158" s="201"/>
      <c r="AD158" s="201"/>
      <c r="AE158" s="205"/>
      <c r="AF158" s="202" t="s">
        <v>502</v>
      </c>
      <c r="AG158" s="202">
        <v>0.04</v>
      </c>
      <c r="AH158" s="14"/>
      <c r="AI158" s="201"/>
      <c r="AJ158" s="201"/>
      <c r="AK158" s="205"/>
      <c r="AL158" s="202" t="s">
        <v>502</v>
      </c>
      <c r="AM158" s="202">
        <v>0.04</v>
      </c>
      <c r="AN158" s="14"/>
      <c r="AO158" s="201"/>
      <c r="AP158" s="201"/>
      <c r="AQ158" s="205"/>
      <c r="AR158" s="202" t="s">
        <v>502</v>
      </c>
      <c r="AS158" s="202">
        <v>0.04</v>
      </c>
      <c r="AT158" s="14"/>
      <c r="AU158" s="201"/>
      <c r="AV158" s="201"/>
      <c r="AW158" s="205"/>
      <c r="AX158" s="202" t="s">
        <v>502</v>
      </c>
      <c r="AY158" s="202">
        <v>0.04</v>
      </c>
      <c r="AZ158" s="14"/>
      <c r="BA158" s="201"/>
      <c r="BB158" s="201"/>
      <c r="BC158" s="205"/>
      <c r="BD158" s="202" t="s">
        <v>502</v>
      </c>
      <c r="BE158" s="202">
        <v>0.04</v>
      </c>
      <c r="BF158" s="14"/>
      <c r="BG158" s="201"/>
      <c r="BH158" s="201"/>
      <c r="BI158" s="205"/>
      <c r="BJ158" s="202" t="s">
        <v>502</v>
      </c>
      <c r="BK158" s="202">
        <v>0.04</v>
      </c>
      <c r="BL158" s="14"/>
      <c r="BM158" s="201"/>
      <c r="BN158" s="201"/>
      <c r="BO158" s="205"/>
      <c r="BP158" s="202" t="s">
        <v>502</v>
      </c>
      <c r="BQ158" s="202">
        <v>0.04</v>
      </c>
      <c r="BR158" s="14"/>
      <c r="BS158" s="201"/>
      <c r="BT158" s="201"/>
      <c r="BU158" s="205"/>
      <c r="BV158" s="202" t="s">
        <v>502</v>
      </c>
      <c r="BW158" s="202">
        <v>0.04</v>
      </c>
      <c r="BX158" s="14"/>
      <c r="BY158" s="201"/>
      <c r="BZ158" s="201"/>
      <c r="CA158" s="205"/>
      <c r="CB158" s="202" t="s">
        <v>502</v>
      </c>
      <c r="CC158" s="202">
        <v>0.04</v>
      </c>
      <c r="CD158" s="14"/>
      <c r="CE158" s="201"/>
      <c r="CF158" s="201"/>
      <c r="CG158" s="205"/>
      <c r="CH158" s="202" t="s">
        <v>502</v>
      </c>
      <c r="CI158" s="202">
        <v>0.04</v>
      </c>
      <c r="CJ158" s="14"/>
      <c r="CK158" s="201"/>
      <c r="CL158" s="201"/>
      <c r="CM158" s="205"/>
      <c r="CN158" s="202" t="s">
        <v>502</v>
      </c>
      <c r="CO158" s="202">
        <v>0.04</v>
      </c>
      <c r="CP158" s="14"/>
      <c r="CQ158" s="201"/>
      <c r="CR158" s="201"/>
      <c r="CS158" s="205"/>
      <c r="CT158" s="202" t="s">
        <v>502</v>
      </c>
      <c r="CU158" s="202">
        <v>0.04</v>
      </c>
      <c r="CV158" s="14"/>
      <c r="CW158" s="202">
        <v>0</v>
      </c>
      <c r="CX158" s="205">
        <f>IF(ISNUMBER(CW158),CW158*CY158,0)</f>
        <v>0</v>
      </c>
      <c r="CY158" s="205">
        <f>VLOOKUP(CW157,$H$154:$I$158,2)</f>
        <v>0.28000000000000003</v>
      </c>
      <c r="CZ158" s="202">
        <v>0.1</v>
      </c>
      <c r="DA158" s="202">
        <v>0.09</v>
      </c>
      <c r="DB158" s="14"/>
      <c r="DC158" s="201"/>
      <c r="DD158" s="201"/>
      <c r="DE158" s="205"/>
      <c r="DF158" s="202" t="s">
        <v>502</v>
      </c>
      <c r="DG158" s="202">
        <v>0.04</v>
      </c>
      <c r="DH158" s="14"/>
      <c r="DI158" s="201"/>
      <c r="DJ158" s="201"/>
      <c r="DK158" s="205"/>
      <c r="DL158" s="202" t="s">
        <v>502</v>
      </c>
      <c r="DM158" s="202">
        <v>0.04</v>
      </c>
      <c r="DN158" s="14"/>
      <c r="DO158" s="201"/>
      <c r="DP158" s="201"/>
      <c r="DQ158" s="205"/>
      <c r="DR158" s="202" t="s">
        <v>502</v>
      </c>
      <c r="DS158" s="202">
        <v>0.04</v>
      </c>
      <c r="DT158" s="421"/>
    </row>
    <row r="159" spans="2:124" x14ac:dyDescent="0.35">
      <c r="B159" s="208" t="s">
        <v>494</v>
      </c>
      <c r="C159" s="13"/>
      <c r="D159" s="13"/>
      <c r="E159" s="201"/>
      <c r="F159" s="201"/>
      <c r="G159" s="201"/>
      <c r="H159" s="14"/>
      <c r="I159" s="14"/>
      <c r="J159" s="14"/>
      <c r="K159" s="201"/>
      <c r="L159" s="201"/>
      <c r="M159" s="201"/>
      <c r="N159" s="14"/>
      <c r="O159" s="14"/>
      <c r="P159" s="14"/>
      <c r="Q159" s="201"/>
      <c r="R159" s="201"/>
      <c r="S159" s="201"/>
      <c r="T159" s="14"/>
      <c r="U159" s="14"/>
      <c r="V159" s="14"/>
      <c r="W159" s="201"/>
      <c r="X159" s="201"/>
      <c r="Y159" s="201"/>
      <c r="Z159" s="14"/>
      <c r="AA159" s="14"/>
      <c r="AB159" s="14"/>
      <c r="AC159" s="201"/>
      <c r="AD159" s="201"/>
      <c r="AE159" s="201"/>
      <c r="AF159" s="14"/>
      <c r="AG159" s="14"/>
      <c r="AH159" s="14"/>
      <c r="AI159" s="201"/>
      <c r="AJ159" s="201"/>
      <c r="AK159" s="201"/>
      <c r="AL159" s="14"/>
      <c r="AM159" s="14"/>
      <c r="AN159" s="14"/>
      <c r="AO159" s="201"/>
      <c r="AP159" s="201"/>
      <c r="AQ159" s="201"/>
      <c r="AR159" s="14"/>
      <c r="AS159" s="14"/>
      <c r="AT159" s="14"/>
      <c r="AU159" s="201"/>
      <c r="AV159" s="201"/>
      <c r="AW159" s="201"/>
      <c r="AX159" s="14"/>
      <c r="AY159" s="14"/>
      <c r="AZ159" s="14"/>
      <c r="BA159" s="201"/>
      <c r="BB159" s="201"/>
      <c r="BC159" s="201"/>
      <c r="BD159" s="14"/>
      <c r="BE159" s="14"/>
      <c r="BF159" s="14"/>
      <c r="BG159" s="201"/>
      <c r="BH159" s="201"/>
      <c r="BI159" s="201"/>
      <c r="BJ159" s="14"/>
      <c r="BK159" s="14"/>
      <c r="BL159" s="14"/>
      <c r="BM159" s="201"/>
      <c r="BN159" s="201"/>
      <c r="BO159" s="201"/>
      <c r="BP159" s="14"/>
      <c r="BQ159" s="14"/>
      <c r="BR159" s="14"/>
      <c r="BS159" s="201"/>
      <c r="BT159" s="201"/>
      <c r="BU159" s="201"/>
      <c r="BV159" s="14"/>
      <c r="BW159" s="14"/>
      <c r="BX159" s="14"/>
      <c r="BY159" s="201"/>
      <c r="BZ159" s="201"/>
      <c r="CA159" s="201"/>
      <c r="CB159" s="14"/>
      <c r="CC159" s="14"/>
      <c r="CD159" s="14"/>
      <c r="CE159" s="201"/>
      <c r="CF159" s="201"/>
      <c r="CG159" s="201"/>
      <c r="CH159" s="14"/>
      <c r="CI159" s="14"/>
      <c r="CJ159" s="14"/>
      <c r="CK159" s="201"/>
      <c r="CL159" s="201"/>
      <c r="CM159" s="201"/>
      <c r="CN159" s="14"/>
      <c r="CO159" s="14"/>
      <c r="CP159" s="14"/>
      <c r="CQ159" s="201"/>
      <c r="CR159" s="201"/>
      <c r="CS159" s="201"/>
      <c r="CT159" s="14"/>
      <c r="CU159" s="14"/>
      <c r="CV159" s="14"/>
      <c r="CW159" s="201"/>
      <c r="CX159" s="201"/>
      <c r="CY159" s="205"/>
      <c r="CZ159" s="202" t="s">
        <v>502</v>
      </c>
      <c r="DA159" s="202">
        <v>0.04</v>
      </c>
      <c r="DB159" s="14"/>
      <c r="DC159" s="201"/>
      <c r="DD159" s="201"/>
      <c r="DE159" s="201"/>
      <c r="DF159" s="14"/>
      <c r="DG159" s="14"/>
      <c r="DH159" s="14"/>
      <c r="DI159" s="201"/>
      <c r="DJ159" s="201"/>
      <c r="DK159" s="201"/>
      <c r="DL159" s="14"/>
      <c r="DM159" s="14"/>
      <c r="DN159" s="14"/>
      <c r="DO159" s="201"/>
      <c r="DP159" s="201"/>
      <c r="DQ159" s="201"/>
      <c r="DR159" s="421"/>
      <c r="DS159" s="421"/>
      <c r="DT159" s="421"/>
    </row>
    <row r="160" spans="2:124" x14ac:dyDescent="0.35">
      <c r="B160" s="201"/>
      <c r="C160" s="13"/>
      <c r="D160" s="13"/>
      <c r="E160" s="201"/>
      <c r="F160" s="201"/>
      <c r="G160" s="201"/>
      <c r="H160" s="14"/>
      <c r="I160" s="14"/>
      <c r="J160" s="14"/>
      <c r="K160" s="201"/>
      <c r="L160" s="201"/>
      <c r="M160" s="201"/>
      <c r="N160" s="14"/>
      <c r="O160" s="14"/>
      <c r="P160" s="14"/>
      <c r="Q160" s="201"/>
      <c r="R160" s="201"/>
      <c r="S160" s="201"/>
      <c r="T160" s="14"/>
      <c r="U160" s="14"/>
      <c r="V160" s="14"/>
      <c r="W160" s="201"/>
      <c r="X160" s="201"/>
      <c r="Y160" s="201"/>
      <c r="Z160" s="14"/>
      <c r="AA160" s="14"/>
      <c r="AB160" s="14"/>
      <c r="AC160" s="201"/>
      <c r="AD160" s="201"/>
      <c r="AE160" s="201"/>
      <c r="AF160" s="14"/>
      <c r="AG160" s="14"/>
      <c r="AH160" s="14"/>
      <c r="AI160" s="201"/>
      <c r="AJ160" s="201"/>
      <c r="AK160" s="201"/>
      <c r="AL160" s="14"/>
      <c r="AM160" s="14"/>
      <c r="AN160" s="14"/>
      <c r="AO160" s="201"/>
      <c r="AP160" s="201"/>
      <c r="AQ160" s="201"/>
      <c r="AR160" s="14"/>
      <c r="AS160" s="14"/>
      <c r="AT160" s="14"/>
      <c r="AU160" s="201"/>
      <c r="AV160" s="201"/>
      <c r="AW160" s="201"/>
      <c r="AX160" s="14"/>
      <c r="AY160" s="14"/>
      <c r="AZ160" s="14"/>
      <c r="BA160" s="201"/>
      <c r="BB160" s="201"/>
      <c r="BC160" s="201"/>
      <c r="BD160" s="14"/>
      <c r="BE160" s="14"/>
      <c r="BF160" s="14"/>
      <c r="BG160" s="201"/>
      <c r="BH160" s="201"/>
      <c r="BI160" s="201"/>
      <c r="BJ160" s="14"/>
      <c r="BK160" s="14"/>
      <c r="BL160" s="14"/>
      <c r="BM160" s="201"/>
      <c r="BN160" s="201"/>
      <c r="BO160" s="201"/>
      <c r="BP160" s="14"/>
      <c r="BQ160" s="14"/>
      <c r="BR160" s="14"/>
      <c r="BS160" s="201"/>
      <c r="BT160" s="201"/>
      <c r="BU160" s="201"/>
      <c r="BV160" s="14"/>
      <c r="BW160" s="14"/>
      <c r="BX160" s="14"/>
      <c r="BY160" s="201"/>
      <c r="BZ160" s="201"/>
      <c r="CA160" s="201"/>
      <c r="CB160" s="14"/>
      <c r="CC160" s="14"/>
      <c r="CD160" s="14"/>
      <c r="CE160" s="201"/>
      <c r="CF160" s="201"/>
      <c r="CG160" s="201"/>
      <c r="CH160" s="14"/>
      <c r="CI160" s="14"/>
      <c r="CJ160" s="14"/>
      <c r="CK160" s="201"/>
      <c r="CL160" s="201"/>
      <c r="CM160" s="201"/>
      <c r="CN160" s="14"/>
      <c r="CO160" s="14"/>
      <c r="CP160" s="14"/>
      <c r="CQ160" s="201"/>
      <c r="CR160" s="201"/>
      <c r="CS160" s="201"/>
      <c r="CT160" s="14"/>
      <c r="CU160" s="14"/>
      <c r="CV160" s="14"/>
      <c r="CW160" s="201"/>
      <c r="CX160" s="201"/>
      <c r="CY160" s="201"/>
      <c r="CZ160" s="14"/>
      <c r="DA160" s="14"/>
      <c r="DB160" s="14"/>
      <c r="DC160" s="201"/>
      <c r="DD160" s="201"/>
      <c r="DE160" s="201"/>
      <c r="DF160" s="14"/>
      <c r="DG160" s="14"/>
      <c r="DH160" s="14"/>
      <c r="DI160" s="201"/>
      <c r="DJ160" s="201"/>
      <c r="DK160" s="201"/>
      <c r="DL160" s="14"/>
      <c r="DM160" s="14"/>
      <c r="DN160" s="14"/>
      <c r="DO160" s="201"/>
      <c r="DP160" s="201"/>
      <c r="DQ160" s="201"/>
      <c r="DR160" s="421"/>
      <c r="DS160" s="421"/>
      <c r="DT160" s="421"/>
    </row>
    <row r="161" spans="2:124" x14ac:dyDescent="0.35">
      <c r="B161" s="201"/>
      <c r="C161" s="13"/>
      <c r="D161" s="201" t="s">
        <v>478</v>
      </c>
      <c r="E161" s="202">
        <v>0</v>
      </c>
      <c r="F161" s="205">
        <f>IF(ISNUMBER(E161),E161*G161,0)</f>
        <v>0</v>
      </c>
      <c r="G161" s="205">
        <v>0.78</v>
      </c>
      <c r="H161" s="14"/>
      <c r="I161" s="14"/>
      <c r="J161" s="14"/>
      <c r="K161" s="202">
        <v>0</v>
      </c>
      <c r="L161" s="205">
        <f>IF(ISNUMBER(K161),K161*M161,0)</f>
        <v>0</v>
      </c>
      <c r="M161" s="205">
        <v>0.78</v>
      </c>
      <c r="N161" s="14"/>
      <c r="O161" s="14"/>
      <c r="P161" s="14"/>
      <c r="Q161" s="202">
        <v>0</v>
      </c>
      <c r="R161" s="205">
        <f>IF(ISNUMBER(Q161),Q161*S161,0)</f>
        <v>0</v>
      </c>
      <c r="S161" s="205">
        <v>0.78</v>
      </c>
      <c r="T161" s="14"/>
      <c r="U161" s="14"/>
      <c r="V161" s="14"/>
      <c r="W161" s="202">
        <v>0</v>
      </c>
      <c r="X161" s="205">
        <f>IF(ISNUMBER(W161),W161*Y161,0)</f>
        <v>0</v>
      </c>
      <c r="Y161" s="205">
        <v>0.78</v>
      </c>
      <c r="Z161" s="14"/>
      <c r="AA161" s="14"/>
      <c r="AB161" s="14"/>
      <c r="AC161" s="202">
        <v>0</v>
      </c>
      <c r="AD161" s="205">
        <f>IF(ISNUMBER(AC161),AC161*AE161,0)</f>
        <v>0</v>
      </c>
      <c r="AE161" s="205">
        <v>0.78</v>
      </c>
      <c r="AF161" s="14"/>
      <c r="AG161" s="14"/>
      <c r="AH161" s="14"/>
      <c r="AI161" s="202">
        <v>0</v>
      </c>
      <c r="AJ161" s="205">
        <f>IF(ISNUMBER(AI161),AI161*AK161,0)</f>
        <v>0</v>
      </c>
      <c r="AK161" s="205">
        <v>0.78</v>
      </c>
      <c r="AL161" s="14"/>
      <c r="AM161" s="14"/>
      <c r="AN161" s="14"/>
      <c r="AO161" s="202">
        <v>0</v>
      </c>
      <c r="AP161" s="205">
        <f>IF(ISNUMBER(AO161),AO161*AQ161,0)</f>
        <v>0</v>
      </c>
      <c r="AQ161" s="205">
        <v>0.78</v>
      </c>
      <c r="AR161" s="14"/>
      <c r="AS161" s="14"/>
      <c r="AT161" s="14"/>
      <c r="AU161" s="202">
        <v>0</v>
      </c>
      <c r="AV161" s="205">
        <f>IF(ISNUMBER(AU161),AU161*AW161,0)</f>
        <v>0</v>
      </c>
      <c r="AW161" s="205">
        <v>0.78</v>
      </c>
      <c r="AX161" s="14"/>
      <c r="AY161" s="14"/>
      <c r="AZ161" s="14"/>
      <c r="BA161" s="202">
        <v>0</v>
      </c>
      <c r="BB161" s="205">
        <f>IF(ISNUMBER(BA161),BA161*BC161,0)</f>
        <v>0</v>
      </c>
      <c r="BC161" s="205">
        <v>0.78</v>
      </c>
      <c r="BD161" s="14"/>
      <c r="BE161" s="14"/>
      <c r="BF161" s="14"/>
      <c r="BG161" s="202">
        <v>0</v>
      </c>
      <c r="BH161" s="205">
        <f>IF(ISNUMBER(BG161),BG161*BI161,0)</f>
        <v>0</v>
      </c>
      <c r="BI161" s="205">
        <v>0.78</v>
      </c>
      <c r="BJ161" s="14"/>
      <c r="BK161" s="14"/>
      <c r="BL161" s="14"/>
      <c r="BM161" s="202">
        <v>0</v>
      </c>
      <c r="BN161" s="205">
        <f>IF(ISNUMBER(BM161),BM161*BO161,0)</f>
        <v>0</v>
      </c>
      <c r="BO161" s="205">
        <v>0.78</v>
      </c>
      <c r="BP161" s="14"/>
      <c r="BQ161" s="14"/>
      <c r="BR161" s="14"/>
      <c r="BS161" s="202">
        <v>0</v>
      </c>
      <c r="BT161" s="205">
        <f>IF(ISNUMBER(BS161),BS161*BU161,0)</f>
        <v>0</v>
      </c>
      <c r="BU161" s="205">
        <v>0.78</v>
      </c>
      <c r="BV161" s="14"/>
      <c r="BW161" s="14"/>
      <c r="BX161" s="14"/>
      <c r="BY161" s="202">
        <v>0</v>
      </c>
      <c r="BZ161" s="205">
        <f>IF(ISNUMBER(BY161),BY161*CA161,0)</f>
        <v>0</v>
      </c>
      <c r="CA161" s="205">
        <v>0.78</v>
      </c>
      <c r="CB161" s="14"/>
      <c r="CC161" s="14"/>
      <c r="CD161" s="14"/>
      <c r="CE161" s="202">
        <v>0</v>
      </c>
      <c r="CF161" s="205">
        <f>IF(ISNUMBER(CE161),CE161*CG161,0)</f>
        <v>0</v>
      </c>
      <c r="CG161" s="205">
        <v>0.78</v>
      </c>
      <c r="CH161" s="14"/>
      <c r="CI161" s="14"/>
      <c r="CJ161" s="14"/>
      <c r="CK161" s="202">
        <v>0</v>
      </c>
      <c r="CL161" s="205">
        <f>IF(ISNUMBER(CK161),CK161*CM161,0)</f>
        <v>0</v>
      </c>
      <c r="CM161" s="205">
        <v>0.78</v>
      </c>
      <c r="CN161" s="14"/>
      <c r="CO161" s="14"/>
      <c r="CP161" s="14"/>
      <c r="CQ161" s="202">
        <v>0</v>
      </c>
      <c r="CR161" s="205">
        <f>IF(ISNUMBER(CQ161),CQ161*CS161,0)</f>
        <v>0</v>
      </c>
      <c r="CS161" s="205">
        <v>0.78</v>
      </c>
      <c r="CT161" s="14"/>
      <c r="CU161" s="14"/>
      <c r="CV161" s="14"/>
      <c r="CW161" s="201"/>
      <c r="CX161" s="201"/>
      <c r="CY161" s="201"/>
      <c r="CZ161" s="14"/>
      <c r="DA161" s="14"/>
      <c r="DB161" s="14"/>
      <c r="DC161" s="202">
        <v>0</v>
      </c>
      <c r="DD161" s="205">
        <f>IF(ISNUMBER(DC161),DC161*DE161,0)</f>
        <v>0</v>
      </c>
      <c r="DE161" s="205">
        <v>0.78</v>
      </c>
      <c r="DF161" s="14"/>
      <c r="DG161" s="14"/>
      <c r="DH161" s="14"/>
      <c r="DI161" s="202">
        <v>0</v>
      </c>
      <c r="DJ161" s="205">
        <f>IF(ISNUMBER(DI161),DI161*DK161,0)</f>
        <v>0</v>
      </c>
      <c r="DK161" s="205">
        <v>0.78</v>
      </c>
      <c r="DL161" s="14"/>
      <c r="DM161" s="14"/>
      <c r="DN161" s="14"/>
      <c r="DO161" s="202">
        <v>0</v>
      </c>
      <c r="DP161" s="205">
        <f>IF(ISNUMBER(DO161),DO161*DQ161,0)</f>
        <v>0</v>
      </c>
      <c r="DQ161" s="205">
        <v>0.78</v>
      </c>
      <c r="DR161" s="421"/>
      <c r="DS161" s="421"/>
      <c r="DT161" s="421"/>
    </row>
    <row r="162" spans="2:124" x14ac:dyDescent="0.35">
      <c r="B162" s="201"/>
      <c r="C162" s="13"/>
      <c r="D162" s="13"/>
      <c r="E162" s="201"/>
      <c r="F162" s="201"/>
      <c r="G162" s="201"/>
      <c r="H162" s="14"/>
      <c r="I162" s="14"/>
      <c r="J162" s="14"/>
      <c r="K162" s="201"/>
      <c r="L162" s="201"/>
      <c r="M162" s="201"/>
      <c r="N162" s="14"/>
      <c r="O162" s="14"/>
      <c r="P162" s="14"/>
      <c r="Q162" s="201"/>
      <c r="R162" s="201"/>
      <c r="S162" s="201"/>
      <c r="T162" s="14"/>
      <c r="U162" s="14"/>
      <c r="V162" s="14"/>
      <c r="W162" s="201"/>
      <c r="X162" s="201"/>
      <c r="Y162" s="201"/>
      <c r="Z162" s="14"/>
      <c r="AA162" s="14"/>
      <c r="AB162" s="14"/>
      <c r="AC162" s="201"/>
      <c r="AD162" s="201"/>
      <c r="AE162" s="201"/>
      <c r="AF162" s="14"/>
      <c r="AG162" s="14"/>
      <c r="AH162" s="14"/>
      <c r="AI162" s="201"/>
      <c r="AJ162" s="201"/>
      <c r="AK162" s="201"/>
      <c r="AL162" s="14"/>
      <c r="AM162" s="14"/>
      <c r="AN162" s="14"/>
      <c r="AO162" s="201"/>
      <c r="AP162" s="201"/>
      <c r="AQ162" s="201"/>
      <c r="AR162" s="14"/>
      <c r="AS162" s="14"/>
      <c r="AT162" s="14"/>
      <c r="AU162" s="201"/>
      <c r="AV162" s="201"/>
      <c r="AW162" s="201"/>
      <c r="AX162" s="14"/>
      <c r="AY162" s="14"/>
      <c r="AZ162" s="14"/>
      <c r="BA162" s="201"/>
      <c r="BB162" s="201"/>
      <c r="BC162" s="201"/>
      <c r="BD162" s="14"/>
      <c r="BE162" s="14"/>
      <c r="BF162" s="14"/>
      <c r="BG162" s="201"/>
      <c r="BH162" s="201"/>
      <c r="BI162" s="201"/>
      <c r="BJ162" s="14"/>
      <c r="BK162" s="14"/>
      <c r="BL162" s="14"/>
      <c r="BM162" s="201"/>
      <c r="BN162" s="201"/>
      <c r="BO162" s="201"/>
      <c r="BP162" s="14"/>
      <c r="BQ162" s="14"/>
      <c r="BR162" s="14"/>
      <c r="BS162" s="201"/>
      <c r="BT162" s="201"/>
      <c r="BU162" s="201"/>
      <c r="BV162" s="14"/>
      <c r="BW162" s="14"/>
      <c r="BX162" s="14"/>
      <c r="BY162" s="201"/>
      <c r="BZ162" s="201"/>
      <c r="CA162" s="201"/>
      <c r="CB162" s="14"/>
      <c r="CC162" s="14"/>
      <c r="CD162" s="14"/>
      <c r="CE162" s="201"/>
      <c r="CF162" s="201"/>
      <c r="CG162" s="201"/>
      <c r="CH162" s="14"/>
      <c r="CI162" s="14"/>
      <c r="CJ162" s="14"/>
      <c r="CK162" s="201"/>
      <c r="CL162" s="201"/>
      <c r="CM162" s="201"/>
      <c r="CN162" s="14"/>
      <c r="CO162" s="14"/>
      <c r="CP162" s="14"/>
      <c r="CQ162" s="201"/>
      <c r="CR162" s="201"/>
      <c r="CS162" s="201"/>
      <c r="CT162" s="14"/>
      <c r="CU162" s="14"/>
      <c r="CV162" s="14"/>
      <c r="CW162" s="202">
        <v>0</v>
      </c>
      <c r="CX162" s="205">
        <f>IF(ISNUMBER(CW162),CW162*CY162,0)</f>
        <v>0</v>
      </c>
      <c r="CY162" s="205">
        <v>0.78</v>
      </c>
      <c r="CZ162" s="14"/>
      <c r="DA162" s="14"/>
      <c r="DB162" s="14"/>
      <c r="DC162" s="201"/>
      <c r="DD162" s="201"/>
      <c r="DE162" s="201"/>
      <c r="DF162" s="14"/>
      <c r="DG162" s="14"/>
      <c r="DH162" s="14"/>
      <c r="DI162" s="201"/>
      <c r="DJ162" s="201"/>
      <c r="DK162" s="201"/>
      <c r="DL162" s="14"/>
      <c r="DM162" s="14"/>
      <c r="DN162" s="14"/>
      <c r="DO162" s="201"/>
      <c r="DP162" s="201"/>
      <c r="DQ162" s="201"/>
      <c r="DR162" s="421"/>
      <c r="DS162" s="421"/>
      <c r="DT162" s="421"/>
    </row>
    <row r="163" spans="2:124" x14ac:dyDescent="0.35">
      <c r="B163" s="208" t="s">
        <v>495</v>
      </c>
      <c r="C163" s="13"/>
      <c r="D163" s="13"/>
      <c r="E163" s="201"/>
      <c r="F163" s="201"/>
      <c r="G163" s="201"/>
      <c r="H163" s="14"/>
      <c r="I163" s="14"/>
      <c r="J163" s="14"/>
      <c r="K163" s="201"/>
      <c r="L163" s="201"/>
      <c r="M163" s="201"/>
      <c r="N163" s="14"/>
      <c r="O163" s="14"/>
      <c r="P163" s="14"/>
      <c r="Q163" s="201"/>
      <c r="R163" s="201"/>
      <c r="S163" s="201"/>
      <c r="T163" s="14"/>
      <c r="U163" s="14"/>
      <c r="V163" s="14"/>
      <c r="W163" s="201"/>
      <c r="X163" s="201"/>
      <c r="Y163" s="201"/>
      <c r="Z163" s="14"/>
      <c r="AA163" s="14"/>
      <c r="AB163" s="14"/>
      <c r="AC163" s="201"/>
      <c r="AD163" s="201"/>
      <c r="AE163" s="201"/>
      <c r="AF163" s="14"/>
      <c r="AG163" s="14"/>
      <c r="AH163" s="14"/>
      <c r="AI163" s="201"/>
      <c r="AJ163" s="201"/>
      <c r="AK163" s="201"/>
      <c r="AL163" s="14"/>
      <c r="AM163" s="14"/>
      <c r="AN163" s="14"/>
      <c r="AO163" s="201"/>
      <c r="AP163" s="201"/>
      <c r="AQ163" s="201"/>
      <c r="AR163" s="14"/>
      <c r="AS163" s="14"/>
      <c r="AT163" s="14"/>
      <c r="AU163" s="201"/>
      <c r="AV163" s="201"/>
      <c r="AW163" s="201"/>
      <c r="AX163" s="14"/>
      <c r="AY163" s="14"/>
      <c r="AZ163" s="14"/>
      <c r="BA163" s="201"/>
      <c r="BB163" s="201"/>
      <c r="BC163" s="201"/>
      <c r="BD163" s="14"/>
      <c r="BE163" s="14"/>
      <c r="BF163" s="14"/>
      <c r="BG163" s="201"/>
      <c r="BH163" s="201"/>
      <c r="BI163" s="201"/>
      <c r="BJ163" s="14"/>
      <c r="BK163" s="14"/>
      <c r="BL163" s="14"/>
      <c r="BM163" s="201"/>
      <c r="BN163" s="201"/>
      <c r="BO163" s="201"/>
      <c r="BP163" s="14"/>
      <c r="BQ163" s="14"/>
      <c r="BR163" s="14"/>
      <c r="BS163" s="201"/>
      <c r="BT163" s="201"/>
      <c r="BU163" s="201"/>
      <c r="BV163" s="14"/>
      <c r="BW163" s="14"/>
      <c r="BX163" s="14"/>
      <c r="BY163" s="201"/>
      <c r="BZ163" s="201"/>
      <c r="CA163" s="201"/>
      <c r="CB163" s="14"/>
      <c r="CC163" s="14"/>
      <c r="CD163" s="14"/>
      <c r="CE163" s="201"/>
      <c r="CF163" s="201"/>
      <c r="CG163" s="201"/>
      <c r="CH163" s="14"/>
      <c r="CI163" s="14"/>
      <c r="CJ163" s="14"/>
      <c r="CK163" s="201"/>
      <c r="CL163" s="201"/>
      <c r="CM163" s="201"/>
      <c r="CN163" s="14"/>
      <c r="CO163" s="14"/>
      <c r="CP163" s="14"/>
      <c r="CQ163" s="201"/>
      <c r="CR163" s="201"/>
      <c r="CS163" s="201"/>
      <c r="CT163" s="14"/>
      <c r="CU163" s="14"/>
      <c r="CV163" s="14"/>
      <c r="CW163" s="201"/>
      <c r="CX163" s="201"/>
      <c r="CY163" s="201"/>
      <c r="CZ163" s="14"/>
      <c r="DA163" s="14"/>
      <c r="DB163" s="14"/>
      <c r="DC163" s="201"/>
      <c r="DD163" s="201"/>
      <c r="DE163" s="201"/>
      <c r="DF163" s="14"/>
      <c r="DG163" s="14"/>
      <c r="DH163" s="14"/>
      <c r="DI163" s="201"/>
      <c r="DJ163" s="201"/>
      <c r="DK163" s="201"/>
      <c r="DL163" s="14"/>
      <c r="DM163" s="14"/>
      <c r="DN163" s="14"/>
      <c r="DO163" s="201"/>
      <c r="DP163" s="201"/>
      <c r="DQ163" s="201"/>
      <c r="DR163" s="421"/>
      <c r="DS163" s="421"/>
      <c r="DT163" s="421"/>
    </row>
    <row r="164" spans="2:124" x14ac:dyDescent="0.35">
      <c r="B164" s="201"/>
      <c r="C164" s="13"/>
      <c r="D164" s="13"/>
      <c r="E164" s="201"/>
      <c r="F164" s="201"/>
      <c r="G164" s="201"/>
      <c r="H164" s="14"/>
      <c r="I164" s="14"/>
      <c r="J164" s="14"/>
      <c r="K164" s="201"/>
      <c r="L164" s="201"/>
      <c r="M164" s="201"/>
      <c r="N164" s="14"/>
      <c r="O164" s="14"/>
      <c r="P164" s="14"/>
      <c r="Q164" s="201"/>
      <c r="R164" s="201"/>
      <c r="S164" s="201"/>
      <c r="T164" s="14"/>
      <c r="U164" s="14"/>
      <c r="V164" s="14"/>
      <c r="W164" s="201"/>
      <c r="X164" s="201"/>
      <c r="Y164" s="201"/>
      <c r="Z164" s="14"/>
      <c r="AA164" s="14"/>
      <c r="AB164" s="14"/>
      <c r="AC164" s="201"/>
      <c r="AD164" s="201"/>
      <c r="AE164" s="201"/>
      <c r="AF164" s="14"/>
      <c r="AG164" s="14"/>
      <c r="AH164" s="14"/>
      <c r="AI164" s="201"/>
      <c r="AJ164" s="201"/>
      <c r="AK164" s="201"/>
      <c r="AL164" s="14"/>
      <c r="AM164" s="14"/>
      <c r="AN164" s="14"/>
      <c r="AO164" s="201"/>
      <c r="AP164" s="201"/>
      <c r="AQ164" s="201"/>
      <c r="AR164" s="14"/>
      <c r="AS164" s="14"/>
      <c r="AT164" s="14"/>
      <c r="AU164" s="201"/>
      <c r="AV164" s="201"/>
      <c r="AW164" s="201"/>
      <c r="AX164" s="14"/>
      <c r="AY164" s="14"/>
      <c r="AZ164" s="14"/>
      <c r="BA164" s="201"/>
      <c r="BB164" s="201"/>
      <c r="BC164" s="201"/>
      <c r="BD164" s="14"/>
      <c r="BE164" s="14"/>
      <c r="BF164" s="14"/>
      <c r="BG164" s="201"/>
      <c r="BH164" s="201"/>
      <c r="BI164" s="201"/>
      <c r="BJ164" s="14"/>
      <c r="BK164" s="14"/>
      <c r="BL164" s="14"/>
      <c r="BM164" s="201"/>
      <c r="BN164" s="201"/>
      <c r="BO164" s="201"/>
      <c r="BP164" s="14"/>
      <c r="BQ164" s="14"/>
      <c r="BR164" s="14"/>
      <c r="BS164" s="201"/>
      <c r="BT164" s="201"/>
      <c r="BU164" s="201"/>
      <c r="BV164" s="14"/>
      <c r="BW164" s="14"/>
      <c r="BX164" s="14"/>
      <c r="BY164" s="201"/>
      <c r="BZ164" s="201"/>
      <c r="CA164" s="201"/>
      <c r="CB164" s="14"/>
      <c r="CC164" s="14"/>
      <c r="CD164" s="14"/>
      <c r="CE164" s="201"/>
      <c r="CF164" s="201"/>
      <c r="CG164" s="201"/>
      <c r="CH164" s="14"/>
      <c r="CI164" s="14"/>
      <c r="CJ164" s="14"/>
      <c r="CK164" s="201"/>
      <c r="CL164" s="201"/>
      <c r="CM164" s="201"/>
      <c r="CN164" s="14"/>
      <c r="CO164" s="14"/>
      <c r="CP164" s="14"/>
      <c r="CQ164" s="201"/>
      <c r="CR164" s="201"/>
      <c r="CS164" s="201"/>
      <c r="CT164" s="14"/>
      <c r="CU164" s="14"/>
      <c r="CV164" s="14"/>
      <c r="CW164" s="201"/>
      <c r="CX164" s="201"/>
      <c r="CY164" s="201"/>
      <c r="CZ164" s="14"/>
      <c r="DA164" s="14"/>
      <c r="DB164" s="14"/>
      <c r="DC164" s="201"/>
      <c r="DD164" s="201"/>
      <c r="DE164" s="201"/>
      <c r="DF164" s="14"/>
      <c r="DG164" s="14"/>
      <c r="DH164" s="14"/>
      <c r="DI164" s="201"/>
      <c r="DJ164" s="201"/>
      <c r="DK164" s="201"/>
      <c r="DL164" s="14"/>
      <c r="DM164" s="14"/>
      <c r="DN164" s="14"/>
      <c r="DO164" s="201"/>
      <c r="DP164" s="201"/>
      <c r="DQ164" s="201"/>
      <c r="DR164" s="421"/>
      <c r="DS164" s="421"/>
      <c r="DT164" s="421"/>
    </row>
    <row r="165" spans="2:124" x14ac:dyDescent="0.35">
      <c r="B165" s="201"/>
      <c r="C165" s="13"/>
      <c r="D165" s="201" t="s">
        <v>478</v>
      </c>
      <c r="E165" s="202">
        <v>0</v>
      </c>
      <c r="F165" s="205">
        <f>IF(ISNUMBER(E165),E165*G165,0)</f>
        <v>0</v>
      </c>
      <c r="G165" s="205">
        <v>0.25</v>
      </c>
      <c r="H165" s="14"/>
      <c r="I165" s="14"/>
      <c r="J165" s="14"/>
      <c r="K165" s="202">
        <v>0</v>
      </c>
      <c r="L165" s="205">
        <f>IF(ISNUMBER(K165),K165*M165,0)</f>
        <v>0</v>
      </c>
      <c r="M165" s="205">
        <v>0.25</v>
      </c>
      <c r="N165" s="14"/>
      <c r="O165" s="14"/>
      <c r="P165" s="14"/>
      <c r="Q165" s="202">
        <v>0</v>
      </c>
      <c r="R165" s="205">
        <f>IF(ISNUMBER(Q165),Q165*S165,0)</f>
        <v>0</v>
      </c>
      <c r="S165" s="205">
        <v>0.25</v>
      </c>
      <c r="T165" s="14"/>
      <c r="U165" s="14"/>
      <c r="V165" s="14"/>
      <c r="W165" s="202">
        <v>0</v>
      </c>
      <c r="X165" s="205">
        <f>IF(ISNUMBER(W165),W165*Y165,0)</f>
        <v>0</v>
      </c>
      <c r="Y165" s="205">
        <v>0.25</v>
      </c>
      <c r="Z165" s="14"/>
      <c r="AA165" s="14"/>
      <c r="AB165" s="14"/>
      <c r="AC165" s="202">
        <v>0</v>
      </c>
      <c r="AD165" s="205">
        <f>IF(ISNUMBER(AC165),AC165*AE165,0)</f>
        <v>0</v>
      </c>
      <c r="AE165" s="205">
        <v>0.25</v>
      </c>
      <c r="AF165" s="14"/>
      <c r="AG165" s="14"/>
      <c r="AH165" s="14"/>
      <c r="AI165" s="202">
        <v>0</v>
      </c>
      <c r="AJ165" s="205">
        <f>IF(ISNUMBER(AI165),AI165*AK165,0)</f>
        <v>0</v>
      </c>
      <c r="AK165" s="205">
        <v>0.25</v>
      </c>
      <c r="AL165" s="14"/>
      <c r="AM165" s="14"/>
      <c r="AN165" s="14"/>
      <c r="AO165" s="202">
        <v>0</v>
      </c>
      <c r="AP165" s="205">
        <f>IF(ISNUMBER(AO165),AO165*AQ165,0)</f>
        <v>0</v>
      </c>
      <c r="AQ165" s="205">
        <v>0.25</v>
      </c>
      <c r="AR165" s="14"/>
      <c r="AS165" s="14"/>
      <c r="AT165" s="14"/>
      <c r="AU165" s="202">
        <v>0</v>
      </c>
      <c r="AV165" s="205">
        <f>IF(ISNUMBER(AU165),AU165*AW165,0)</f>
        <v>0</v>
      </c>
      <c r="AW165" s="205">
        <v>0.25</v>
      </c>
      <c r="AX165" s="14"/>
      <c r="AY165" s="14"/>
      <c r="AZ165" s="14"/>
      <c r="BA165" s="202">
        <v>0</v>
      </c>
      <c r="BB165" s="205">
        <f>IF(ISNUMBER(BA165),BA165*BC165,0)</f>
        <v>0</v>
      </c>
      <c r="BC165" s="205">
        <v>0.25</v>
      </c>
      <c r="BD165" s="14"/>
      <c r="BE165" s="14"/>
      <c r="BF165" s="14"/>
      <c r="BG165" s="202">
        <v>0</v>
      </c>
      <c r="BH165" s="205">
        <f>IF(ISNUMBER(BG165),BG165*BI165,0)</f>
        <v>0</v>
      </c>
      <c r="BI165" s="205">
        <v>0.25</v>
      </c>
      <c r="BJ165" s="14"/>
      <c r="BK165" s="14"/>
      <c r="BL165" s="14"/>
      <c r="BM165" s="202">
        <v>0</v>
      </c>
      <c r="BN165" s="205">
        <f>IF(ISNUMBER(BM165),BM165*BO165,0)</f>
        <v>0</v>
      </c>
      <c r="BO165" s="205">
        <v>0.25</v>
      </c>
      <c r="BP165" s="14"/>
      <c r="BQ165" s="14"/>
      <c r="BR165" s="14"/>
      <c r="BS165" s="202">
        <v>0</v>
      </c>
      <c r="BT165" s="205">
        <f>IF(ISNUMBER(BS165),BS165*BU165,0)</f>
        <v>0</v>
      </c>
      <c r="BU165" s="205">
        <v>0.25</v>
      </c>
      <c r="BV165" s="14"/>
      <c r="BW165" s="14"/>
      <c r="BX165" s="14"/>
      <c r="BY165" s="202">
        <v>0</v>
      </c>
      <c r="BZ165" s="205">
        <f>IF(ISNUMBER(BY165),BY165*CA165,0)</f>
        <v>0</v>
      </c>
      <c r="CA165" s="205">
        <v>0.25</v>
      </c>
      <c r="CB165" s="14"/>
      <c r="CC165" s="14"/>
      <c r="CD165" s="14"/>
      <c r="CE165" s="202">
        <v>0</v>
      </c>
      <c r="CF165" s="205">
        <f>IF(ISNUMBER(CE165),CE165*CG165,0)</f>
        <v>0</v>
      </c>
      <c r="CG165" s="205">
        <v>0.25</v>
      </c>
      <c r="CH165" s="14"/>
      <c r="CI165" s="14"/>
      <c r="CJ165" s="14"/>
      <c r="CK165" s="202">
        <v>0</v>
      </c>
      <c r="CL165" s="205">
        <f>IF(ISNUMBER(CK165),CK165*CM165,0)</f>
        <v>0</v>
      </c>
      <c r="CM165" s="205">
        <v>0.25</v>
      </c>
      <c r="CN165" s="14"/>
      <c r="CO165" s="14"/>
      <c r="CP165" s="14"/>
      <c r="CQ165" s="202">
        <v>0</v>
      </c>
      <c r="CR165" s="205">
        <f>IF(ISNUMBER(CQ165),CQ165*CS165,0)</f>
        <v>0</v>
      </c>
      <c r="CS165" s="205">
        <v>0.25</v>
      </c>
      <c r="CT165" s="14"/>
      <c r="CU165" s="14"/>
      <c r="CV165" s="14"/>
      <c r="CW165" s="201"/>
      <c r="CX165" s="201"/>
      <c r="CY165" s="201"/>
      <c r="CZ165" s="14"/>
      <c r="DA165" s="14"/>
      <c r="DB165" s="14"/>
      <c r="DC165" s="202">
        <v>0</v>
      </c>
      <c r="DD165" s="205">
        <f>IF(ISNUMBER(DC165),DC165*DE165,0)</f>
        <v>0</v>
      </c>
      <c r="DE165" s="205">
        <v>0.25</v>
      </c>
      <c r="DF165" s="14"/>
      <c r="DG165" s="14"/>
      <c r="DH165" s="14"/>
      <c r="DI165" s="202">
        <v>0</v>
      </c>
      <c r="DJ165" s="205">
        <f>IF(ISNUMBER(DI165),DI165*DK165,0)</f>
        <v>0</v>
      </c>
      <c r="DK165" s="205">
        <v>0.25</v>
      </c>
      <c r="DL165" s="14"/>
      <c r="DM165" s="14"/>
      <c r="DN165" s="14"/>
      <c r="DO165" s="202">
        <v>0</v>
      </c>
      <c r="DP165" s="205">
        <f>IF(ISNUMBER(DO165),DO165*DQ165,0)</f>
        <v>0</v>
      </c>
      <c r="DQ165" s="205">
        <v>0.25</v>
      </c>
      <c r="DR165" s="421"/>
      <c r="DS165" s="421"/>
      <c r="DT165" s="421"/>
    </row>
    <row r="166" spans="2:124" x14ac:dyDescent="0.35">
      <c r="B166" s="201"/>
      <c r="C166" s="201"/>
      <c r="D166" s="201"/>
      <c r="E166" s="201"/>
      <c r="F166" s="201"/>
      <c r="G166" s="201"/>
      <c r="H166" s="14"/>
      <c r="I166" s="14"/>
      <c r="J166" s="14"/>
      <c r="K166" s="201"/>
      <c r="L166" s="201"/>
      <c r="M166" s="201"/>
      <c r="N166" s="14"/>
      <c r="O166" s="14"/>
      <c r="P166" s="14"/>
      <c r="Q166" s="201"/>
      <c r="R166" s="201"/>
      <c r="S166" s="201"/>
      <c r="T166" s="14"/>
      <c r="U166" s="14"/>
      <c r="V166" s="14"/>
      <c r="W166" s="201"/>
      <c r="X166" s="201"/>
      <c r="Y166" s="201"/>
      <c r="Z166" s="14"/>
      <c r="AA166" s="14"/>
      <c r="AB166" s="14"/>
      <c r="AC166" s="201"/>
      <c r="AD166" s="201"/>
      <c r="AE166" s="201"/>
      <c r="AF166" s="14"/>
      <c r="AG166" s="14"/>
      <c r="AH166" s="14"/>
      <c r="AI166" s="201"/>
      <c r="AJ166" s="201"/>
      <c r="AK166" s="201"/>
      <c r="AL166" s="14"/>
      <c r="AM166" s="14"/>
      <c r="AN166" s="14"/>
      <c r="AO166" s="201"/>
      <c r="AP166" s="201"/>
      <c r="AQ166" s="201"/>
      <c r="AR166" s="14"/>
      <c r="AS166" s="14"/>
      <c r="AT166" s="14"/>
      <c r="AU166" s="201"/>
      <c r="AV166" s="201"/>
      <c r="AW166" s="201"/>
      <c r="AX166" s="14"/>
      <c r="AY166" s="14"/>
      <c r="AZ166" s="14"/>
      <c r="BA166" s="201"/>
      <c r="BB166" s="201"/>
      <c r="BC166" s="201"/>
      <c r="BD166" s="14"/>
      <c r="BE166" s="14"/>
      <c r="BF166" s="14"/>
      <c r="BG166" s="201"/>
      <c r="BH166" s="201"/>
      <c r="BI166" s="201"/>
      <c r="BJ166" s="14"/>
      <c r="BK166" s="14"/>
      <c r="BL166" s="14"/>
      <c r="BM166" s="201"/>
      <c r="BN166" s="201"/>
      <c r="BO166" s="201"/>
      <c r="BP166" s="14"/>
      <c r="BQ166" s="14"/>
      <c r="BR166" s="14"/>
      <c r="BS166" s="201"/>
      <c r="BT166" s="201"/>
      <c r="BU166" s="201"/>
      <c r="BV166" s="14"/>
      <c r="BW166" s="14"/>
      <c r="BX166" s="14"/>
      <c r="BY166" s="201"/>
      <c r="BZ166" s="201"/>
      <c r="CA166" s="201"/>
      <c r="CB166" s="14"/>
      <c r="CC166" s="14"/>
      <c r="CD166" s="14"/>
      <c r="CE166" s="201"/>
      <c r="CF166" s="201"/>
      <c r="CG166" s="201"/>
      <c r="CH166" s="14"/>
      <c r="CI166" s="14"/>
      <c r="CJ166" s="14"/>
      <c r="CK166" s="201"/>
      <c r="CL166" s="201"/>
      <c r="CM166" s="201"/>
      <c r="CN166" s="14"/>
      <c r="CO166" s="14"/>
      <c r="CP166" s="14"/>
      <c r="CQ166" s="201"/>
      <c r="CR166" s="201"/>
      <c r="CS166" s="201"/>
      <c r="CT166" s="14"/>
      <c r="CU166" s="14"/>
      <c r="CV166" s="14"/>
      <c r="CW166" s="202">
        <v>0</v>
      </c>
      <c r="CX166" s="205">
        <f>IF(ISNUMBER(CW166),CW166*CY166,0)</f>
        <v>0</v>
      </c>
      <c r="CY166" s="205">
        <v>0.25</v>
      </c>
      <c r="CZ166" s="14"/>
      <c r="DA166" s="14"/>
      <c r="DB166" s="14"/>
      <c r="DC166" s="201"/>
      <c r="DD166" s="201"/>
      <c r="DE166" s="201"/>
      <c r="DF166" s="14"/>
      <c r="DG166" s="14"/>
      <c r="DH166" s="14"/>
      <c r="DI166" s="201"/>
      <c r="DJ166" s="201"/>
      <c r="DK166" s="201"/>
      <c r="DL166" s="14"/>
      <c r="DM166" s="14"/>
      <c r="DN166" s="14"/>
      <c r="DO166" s="201"/>
      <c r="DP166" s="201"/>
      <c r="DQ166" s="201"/>
      <c r="DR166" s="421"/>
      <c r="DS166" s="421"/>
      <c r="DT166" s="421"/>
    </row>
    <row r="167" spans="2:124" x14ac:dyDescent="0.35">
      <c r="B167" s="203" t="s">
        <v>496</v>
      </c>
      <c r="C167" s="203"/>
      <c r="D167" s="203"/>
      <c r="E167" s="203"/>
      <c r="F167" s="201"/>
      <c r="G167" s="201"/>
      <c r="H167" s="14"/>
      <c r="I167" s="14"/>
      <c r="J167" s="14"/>
      <c r="K167" s="203"/>
      <c r="L167" s="201"/>
      <c r="M167" s="201"/>
      <c r="N167" s="14"/>
      <c r="O167" s="14"/>
      <c r="P167" s="14"/>
      <c r="Q167" s="203"/>
      <c r="R167" s="201"/>
      <c r="S167" s="201"/>
      <c r="T167" s="14"/>
      <c r="U167" s="14"/>
      <c r="V167" s="14"/>
      <c r="W167" s="203"/>
      <c r="X167" s="201"/>
      <c r="Y167" s="201"/>
      <c r="Z167" s="14"/>
      <c r="AA167" s="14"/>
      <c r="AB167" s="14"/>
      <c r="AC167" s="203"/>
      <c r="AD167" s="201"/>
      <c r="AE167" s="201"/>
      <c r="AF167" s="14"/>
      <c r="AG167" s="14"/>
      <c r="AH167" s="14"/>
      <c r="AI167" s="203"/>
      <c r="AJ167" s="201"/>
      <c r="AK167" s="201"/>
      <c r="AL167" s="14"/>
      <c r="AM167" s="14"/>
      <c r="AN167" s="14"/>
      <c r="AO167" s="203"/>
      <c r="AP167" s="201"/>
      <c r="AQ167" s="201"/>
      <c r="AR167" s="14"/>
      <c r="AS167" s="14"/>
      <c r="AT167" s="14"/>
      <c r="AU167" s="203"/>
      <c r="AV167" s="201"/>
      <c r="AW167" s="201"/>
      <c r="AX167" s="14"/>
      <c r="AY167" s="14"/>
      <c r="AZ167" s="14"/>
      <c r="BA167" s="203"/>
      <c r="BB167" s="201"/>
      <c r="BC167" s="201"/>
      <c r="BD167" s="14"/>
      <c r="BE167" s="14"/>
      <c r="BF167" s="14"/>
      <c r="BG167" s="203"/>
      <c r="BH167" s="201"/>
      <c r="BI167" s="201"/>
      <c r="BJ167" s="14"/>
      <c r="BK167" s="14"/>
      <c r="BL167" s="14"/>
      <c r="BM167" s="203"/>
      <c r="BN167" s="201"/>
      <c r="BO167" s="201"/>
      <c r="BP167" s="14"/>
      <c r="BQ167" s="14"/>
      <c r="BR167" s="14"/>
      <c r="BS167" s="203"/>
      <c r="BT167" s="201"/>
      <c r="BU167" s="201"/>
      <c r="BV167" s="14"/>
      <c r="BW167" s="14"/>
      <c r="BX167" s="14"/>
      <c r="BY167" s="203"/>
      <c r="BZ167" s="201"/>
      <c r="CA167" s="201"/>
      <c r="CB167" s="14"/>
      <c r="CC167" s="14"/>
      <c r="CD167" s="14"/>
      <c r="CE167" s="203"/>
      <c r="CF167" s="201"/>
      <c r="CG167" s="201"/>
      <c r="CH167" s="14"/>
      <c r="CI167" s="14"/>
      <c r="CJ167" s="14"/>
      <c r="CK167" s="203"/>
      <c r="CL167" s="201"/>
      <c r="CM167" s="201"/>
      <c r="CN167" s="14"/>
      <c r="CO167" s="14"/>
      <c r="CP167" s="14"/>
      <c r="CQ167" s="203"/>
      <c r="CR167" s="201"/>
      <c r="CS167" s="201"/>
      <c r="CT167" s="14"/>
      <c r="CU167" s="14"/>
      <c r="CV167" s="14"/>
      <c r="CW167" s="201"/>
      <c r="CX167" s="201"/>
      <c r="CY167" s="201"/>
      <c r="CZ167" s="14"/>
      <c r="DA167" s="14"/>
      <c r="DB167" s="14"/>
      <c r="DC167" s="203"/>
      <c r="DD167" s="201"/>
      <c r="DE167" s="201"/>
      <c r="DF167" s="14"/>
      <c r="DG167" s="14"/>
      <c r="DH167" s="14"/>
      <c r="DI167" s="203"/>
      <c r="DJ167" s="201"/>
      <c r="DK167" s="201"/>
      <c r="DL167" s="14"/>
      <c r="DM167" s="14"/>
      <c r="DN167" s="14"/>
      <c r="DO167" s="203"/>
      <c r="DP167" s="201"/>
      <c r="DQ167" s="201"/>
      <c r="DR167" s="421"/>
      <c r="DS167" s="421"/>
      <c r="DT167" s="421"/>
    </row>
    <row r="168" spans="2:124" x14ac:dyDescent="0.35">
      <c r="B168" s="201" t="s">
        <v>497</v>
      </c>
      <c r="C168" s="201"/>
      <c r="D168" s="201" t="s">
        <v>478</v>
      </c>
      <c r="E168" s="202">
        <v>0</v>
      </c>
      <c r="F168" s="205">
        <f>IF(ISNUMBER(E168),E168*G168,0)</f>
        <v>0</v>
      </c>
      <c r="G168" s="205">
        <v>1</v>
      </c>
      <c r="H168" s="14"/>
      <c r="I168" s="14"/>
      <c r="J168" s="14"/>
      <c r="K168" s="202">
        <v>0</v>
      </c>
      <c r="L168" s="205">
        <f>IF(ISNUMBER(K168),K168*M168,0)</f>
        <v>0</v>
      </c>
      <c r="M168" s="205">
        <v>1</v>
      </c>
      <c r="N168" s="14"/>
      <c r="O168" s="14"/>
      <c r="P168" s="14"/>
      <c r="Q168" s="202">
        <v>0</v>
      </c>
      <c r="R168" s="205">
        <f>IF(ISNUMBER(Q168),Q168*S168,0)</f>
        <v>0</v>
      </c>
      <c r="S168" s="205">
        <v>1</v>
      </c>
      <c r="T168" s="14"/>
      <c r="U168" s="14"/>
      <c r="V168" s="14"/>
      <c r="W168" s="202">
        <v>0</v>
      </c>
      <c r="X168" s="205">
        <f>IF(ISNUMBER(W168),W168*Y168,0)</f>
        <v>0</v>
      </c>
      <c r="Y168" s="205">
        <v>1</v>
      </c>
      <c r="Z168" s="14"/>
      <c r="AA168" s="14"/>
      <c r="AB168" s="14"/>
      <c r="AC168" s="202">
        <v>0</v>
      </c>
      <c r="AD168" s="205">
        <f>IF(ISNUMBER(AC168),AC168*AE168,0)</f>
        <v>0</v>
      </c>
      <c r="AE168" s="205">
        <v>1</v>
      </c>
      <c r="AF168" s="14"/>
      <c r="AG168" s="14"/>
      <c r="AH168" s="14"/>
      <c r="AI168" s="202">
        <v>0</v>
      </c>
      <c r="AJ168" s="205">
        <f>IF(ISNUMBER(AI168),AI168*AK168,0)</f>
        <v>0</v>
      </c>
      <c r="AK168" s="205">
        <v>1</v>
      </c>
      <c r="AL168" s="14"/>
      <c r="AM168" s="14"/>
      <c r="AN168" s="14"/>
      <c r="AO168" s="202">
        <v>0</v>
      </c>
      <c r="AP168" s="205">
        <f>IF(ISNUMBER(AO168),AO168*AQ168,0)</f>
        <v>0</v>
      </c>
      <c r="AQ168" s="205">
        <v>1</v>
      </c>
      <c r="AR168" s="14"/>
      <c r="AS168" s="14"/>
      <c r="AT168" s="14"/>
      <c r="AU168" s="202">
        <v>0</v>
      </c>
      <c r="AV168" s="205">
        <f>IF(ISNUMBER(AU168),AU168*AW168,0)</f>
        <v>0</v>
      </c>
      <c r="AW168" s="205">
        <v>1</v>
      </c>
      <c r="AX168" s="14"/>
      <c r="AY168" s="14"/>
      <c r="AZ168" s="14"/>
      <c r="BA168" s="202">
        <v>0</v>
      </c>
      <c r="BB168" s="205">
        <f>IF(ISNUMBER(BA168),BA168*BC168,0)</f>
        <v>0</v>
      </c>
      <c r="BC168" s="205">
        <v>1</v>
      </c>
      <c r="BD168" s="14"/>
      <c r="BE168" s="14"/>
      <c r="BF168" s="14"/>
      <c r="BG168" s="202">
        <v>0</v>
      </c>
      <c r="BH168" s="205">
        <f>IF(ISNUMBER(BG168),BG168*BI168,0)</f>
        <v>0</v>
      </c>
      <c r="BI168" s="205">
        <v>1</v>
      </c>
      <c r="BJ168" s="14"/>
      <c r="BK168" s="14"/>
      <c r="BL168" s="14"/>
      <c r="BM168" s="202">
        <v>0</v>
      </c>
      <c r="BN168" s="205">
        <f>IF(ISNUMBER(BM168),BM168*BO168,0)</f>
        <v>0</v>
      </c>
      <c r="BO168" s="205">
        <v>1</v>
      </c>
      <c r="BP168" s="14"/>
      <c r="BQ168" s="14"/>
      <c r="BR168" s="14"/>
      <c r="BS168" s="202">
        <v>0</v>
      </c>
      <c r="BT168" s="205">
        <f>IF(ISNUMBER(BS168),BS168*BU168,0)</f>
        <v>0</v>
      </c>
      <c r="BU168" s="205">
        <v>1</v>
      </c>
      <c r="BV168" s="14"/>
      <c r="BW168" s="14"/>
      <c r="BX168" s="14"/>
      <c r="BY168" s="202">
        <v>0</v>
      </c>
      <c r="BZ168" s="205">
        <f>IF(ISNUMBER(BY168),BY168*CA168,0)</f>
        <v>0</v>
      </c>
      <c r="CA168" s="205">
        <v>1</v>
      </c>
      <c r="CB168" s="14"/>
      <c r="CC168" s="14"/>
      <c r="CD168" s="14"/>
      <c r="CE168" s="202">
        <v>0</v>
      </c>
      <c r="CF168" s="205">
        <f>IF(ISNUMBER(CE168),CE168*CG168,0)</f>
        <v>0</v>
      </c>
      <c r="CG168" s="205">
        <v>1</v>
      </c>
      <c r="CH168" s="14"/>
      <c r="CI168" s="14"/>
      <c r="CJ168" s="14"/>
      <c r="CK168" s="202">
        <v>0</v>
      </c>
      <c r="CL168" s="205">
        <f>IF(ISNUMBER(CK168),CK168*CM168,0)</f>
        <v>0</v>
      </c>
      <c r="CM168" s="205">
        <v>1</v>
      </c>
      <c r="CN168" s="14"/>
      <c r="CO168" s="14"/>
      <c r="CP168" s="14"/>
      <c r="CQ168" s="202">
        <v>0</v>
      </c>
      <c r="CR168" s="205">
        <f>IF(ISNUMBER(CQ168),CQ168*CS168,0)</f>
        <v>0</v>
      </c>
      <c r="CS168" s="205">
        <v>1</v>
      </c>
      <c r="CT168" s="14"/>
      <c r="CU168" s="14"/>
      <c r="CV168" s="14"/>
      <c r="CW168" s="203"/>
      <c r="CX168" s="201"/>
      <c r="CY168" s="201"/>
      <c r="CZ168" s="14"/>
      <c r="DA168" s="14"/>
      <c r="DB168" s="14"/>
      <c r="DC168" s="202">
        <v>0</v>
      </c>
      <c r="DD168" s="205">
        <f>IF(ISNUMBER(DC168),DC168*DE168,0)</f>
        <v>0</v>
      </c>
      <c r="DE168" s="205">
        <v>1</v>
      </c>
      <c r="DF168" s="14"/>
      <c r="DG168" s="14"/>
      <c r="DH168" s="14"/>
      <c r="DI168" s="202">
        <v>0</v>
      </c>
      <c r="DJ168" s="205">
        <f>IF(ISNUMBER(DI168),DI168*DK168,0)</f>
        <v>0</v>
      </c>
      <c r="DK168" s="205">
        <v>1</v>
      </c>
      <c r="DL168" s="14"/>
      <c r="DM168" s="14"/>
      <c r="DN168" s="14"/>
      <c r="DO168" s="202">
        <v>0</v>
      </c>
      <c r="DP168" s="205">
        <f>IF(ISNUMBER(DO168),DO168*DQ168,0)</f>
        <v>0</v>
      </c>
      <c r="DQ168" s="205">
        <v>1</v>
      </c>
      <c r="DR168" s="421"/>
      <c r="DS168" s="421"/>
      <c r="DT168" s="421"/>
    </row>
    <row r="169" spans="2:124" x14ac:dyDescent="0.35">
      <c r="B169" s="203" t="s">
        <v>498</v>
      </c>
      <c r="C169" s="203"/>
      <c r="D169" s="203"/>
      <c r="E169" s="214">
        <f>IF(E170,SUM(F70:F169),"")</f>
        <v>4.1270548686174928</v>
      </c>
      <c r="F169" s="201"/>
      <c r="G169" s="201"/>
      <c r="H169" s="14"/>
      <c r="I169" s="14"/>
      <c r="J169" s="14"/>
      <c r="K169" s="214">
        <f>IF(K170,SUM(L70:L169),"")</f>
        <v>3.9448857237700801</v>
      </c>
      <c r="L169" s="201"/>
      <c r="M169" s="201"/>
      <c r="N169" s="14"/>
      <c r="O169" s="14"/>
      <c r="P169" s="14"/>
      <c r="Q169" s="214">
        <f>IF(Q170,SUM(R70:R169),"")</f>
        <v>3.9448857237700801</v>
      </c>
      <c r="R169" s="201"/>
      <c r="S169" s="201"/>
      <c r="T169" s="14"/>
      <c r="U169" s="14"/>
      <c r="V169" s="14"/>
      <c r="W169" s="214">
        <f>IF(W170,SUM(X70:X169),"")</f>
        <v>3.942947474215488</v>
      </c>
      <c r="X169" s="201"/>
      <c r="Y169" s="201"/>
      <c r="Z169" s="14"/>
      <c r="AA169" s="14"/>
      <c r="AB169" s="14"/>
      <c r="AC169" s="214">
        <f>IF(AC170,SUM(AD70:AD169),"")</f>
        <v>4.2997619748423084</v>
      </c>
      <c r="AD169" s="201"/>
      <c r="AE169" s="201"/>
      <c r="AF169" s="14"/>
      <c r="AG169" s="14"/>
      <c r="AH169" s="14"/>
      <c r="AI169" s="214">
        <f>IF(AI170,SUM(AJ70:AJ169),"")</f>
        <v>4.2997619748423084</v>
      </c>
      <c r="AJ169" s="201"/>
      <c r="AK169" s="201"/>
      <c r="AL169" s="14"/>
      <c r="AM169" s="14"/>
      <c r="AN169" s="14"/>
      <c r="AO169" s="214">
        <f>IF(AO170,SUM(AP70:AP169),"")</f>
        <v>4.2997619748423084</v>
      </c>
      <c r="AP169" s="201"/>
      <c r="AQ169" s="201"/>
      <c r="AR169" s="14"/>
      <c r="AS169" s="14"/>
      <c r="AT169" s="14"/>
      <c r="AU169" s="214">
        <f>IF(AU170,SUM(AV70:AV169),"")</f>
        <v>4.2997624202310316</v>
      </c>
      <c r="AV169" s="201"/>
      <c r="AW169" s="201"/>
      <c r="AX169" s="14"/>
      <c r="AY169" s="14"/>
      <c r="AZ169" s="14"/>
      <c r="BA169" s="214">
        <f>IF(BA170,SUM(BB70:BB169),"")</f>
        <v>4.2997624202310316</v>
      </c>
      <c r="BB169" s="201"/>
      <c r="BC169" s="201"/>
      <c r="BD169" s="14"/>
      <c r="BE169" s="14"/>
      <c r="BF169" s="14"/>
      <c r="BG169" s="214">
        <f>IF(BG170,SUM(BH70:BH169),"")</f>
        <v>4.2997624202310316</v>
      </c>
      <c r="BH169" s="201"/>
      <c r="BI169" s="201"/>
      <c r="BJ169" s="14"/>
      <c r="BK169" s="14"/>
      <c r="BL169" s="14"/>
      <c r="BM169" s="214">
        <f>IF(BM170,SUM(BN70:BN169),"")</f>
        <v>3.7208829136069328</v>
      </c>
      <c r="BN169" s="201"/>
      <c r="BO169" s="201"/>
      <c r="BP169" s="14"/>
      <c r="BQ169" s="14"/>
      <c r="BR169" s="14"/>
      <c r="BS169" s="214">
        <f>IF(BS170,SUM(BT70:BT169),"")</f>
        <v>3.7187531022868003</v>
      </c>
      <c r="BT169" s="201"/>
      <c r="BU169" s="201"/>
      <c r="BV169" s="14"/>
      <c r="BW169" s="14"/>
      <c r="BX169" s="14"/>
      <c r="BY169" s="214">
        <f>IF(BY170,SUM(BZ70:BZ169),"")</f>
        <v>4.3016108892451319</v>
      </c>
      <c r="BZ169" s="201"/>
      <c r="CA169" s="201"/>
      <c r="CB169" s="14"/>
      <c r="CC169" s="14"/>
      <c r="CD169" s="14"/>
      <c r="CE169" s="214">
        <f>IF(CE170,SUM(CF70:CF169),"")</f>
        <v>4.3016108892451319</v>
      </c>
      <c r="CF169" s="201"/>
      <c r="CG169" s="201"/>
      <c r="CH169" s="14"/>
      <c r="CI169" s="14"/>
      <c r="CJ169" s="14"/>
      <c r="CK169" s="214">
        <f>IF(CK170,SUM(CL70:CL169),"")</f>
        <v>4.5852194663593124</v>
      </c>
      <c r="CL169" s="201"/>
      <c r="CM169" s="201"/>
      <c r="CN169" s="14"/>
      <c r="CO169" s="14"/>
      <c r="CP169" s="14"/>
      <c r="CQ169" s="214">
        <f>IF(CQ170,SUM(CR70:CR169),"")</f>
        <v>4.5852194663593124</v>
      </c>
      <c r="CR169" s="201"/>
      <c r="CS169" s="201"/>
      <c r="CT169" s="14"/>
      <c r="CU169" s="14"/>
      <c r="CV169" s="14"/>
      <c r="CW169" s="202">
        <v>0</v>
      </c>
      <c r="CX169" s="205">
        <f>IF(ISNUMBER(CW169),CW169*CY169,0)</f>
        <v>0</v>
      </c>
      <c r="CY169" s="205">
        <v>1</v>
      </c>
      <c r="CZ169" s="14"/>
      <c r="DA169" s="14"/>
      <c r="DB169" s="14"/>
      <c r="DC169" s="214">
        <f>IF(DC170,SUM(DD70:DD169),"")</f>
        <v>4.5852194663593124</v>
      </c>
      <c r="DD169" s="201"/>
      <c r="DE169" s="201"/>
      <c r="DF169" s="14"/>
      <c r="DG169" s="14"/>
      <c r="DH169" s="14"/>
      <c r="DI169" s="214">
        <f>IF(DI170,SUM(DJ70:DJ169),"")</f>
        <v>4.5852194663593124</v>
      </c>
      <c r="DJ169" s="201"/>
      <c r="DK169" s="201"/>
      <c r="DL169" s="14"/>
      <c r="DM169" s="14"/>
      <c r="DN169" s="14"/>
      <c r="DO169" s="214">
        <f>IF(DO170,SUM(DP70:DP169),"")</f>
        <v>22.089511907362656</v>
      </c>
      <c r="DP169" s="201"/>
      <c r="DQ169" s="201"/>
      <c r="DR169" s="421"/>
      <c r="DS169" s="421"/>
      <c r="DT169" s="421"/>
    </row>
    <row r="170" spans="2:124" ht="15.75" customHeight="1" x14ac:dyDescent="0.35">
      <c r="B170" s="201" t="s">
        <v>501</v>
      </c>
      <c r="C170" s="201"/>
      <c r="D170" s="201"/>
      <c r="E170" s="202" t="b">
        <f>IF(AND(E30&lt;&gt;0,ISNUMBER(E39),ISNUMBER(E35),ISNUMBER(E36),ISNUMBER(E52),ISNUMBER(E53) ),TRUE,FALSE)</f>
        <v>1</v>
      </c>
      <c r="F170" s="13"/>
      <c r="G170" s="13"/>
      <c r="H170" s="14"/>
      <c r="I170" s="14"/>
      <c r="J170" s="14"/>
      <c r="K170" s="202" t="b">
        <f>IF(AND(K30&lt;&gt;0,ISNUMBER(K39),ISNUMBER(K35),ISNUMBER(K36),ISNUMBER(K52),ISNUMBER(K53) ),TRUE,FALSE)</f>
        <v>1</v>
      </c>
      <c r="L170" s="13"/>
      <c r="M170" s="13"/>
      <c r="N170" s="14"/>
      <c r="O170" s="14"/>
      <c r="P170" s="14"/>
      <c r="Q170" s="202" t="b">
        <f>IF(AND(Q30&lt;&gt;0,ISNUMBER(Q39),ISNUMBER(Q35),ISNUMBER(Q36),ISNUMBER(Q52),ISNUMBER(Q53) ),TRUE,FALSE)</f>
        <v>1</v>
      </c>
      <c r="R170" s="13"/>
      <c r="S170" s="13"/>
      <c r="T170" s="14"/>
      <c r="U170" s="14"/>
      <c r="V170" s="14"/>
      <c r="W170" s="202" t="b">
        <f>IF(AND(W30&lt;&gt;0,ISNUMBER(W39),ISNUMBER(W35),ISNUMBER(W36),ISNUMBER(W52),ISNUMBER(W53) ),TRUE,FALSE)</f>
        <v>1</v>
      </c>
      <c r="X170" s="13"/>
      <c r="Y170" s="13"/>
      <c r="Z170" s="14"/>
      <c r="AA170" s="14"/>
      <c r="AB170" s="14"/>
      <c r="AC170" s="202" t="b">
        <f>IF(AND(AC30&lt;&gt;0,ISNUMBER(AC39),ISNUMBER(AC35),ISNUMBER(AC36),ISNUMBER(AC52),ISNUMBER(AC53) ),TRUE,FALSE)</f>
        <v>1</v>
      </c>
      <c r="AD170" s="13"/>
      <c r="AE170" s="13"/>
      <c r="AF170" s="14"/>
      <c r="AG170" s="14"/>
      <c r="AH170" s="14"/>
      <c r="AI170" s="202" t="b">
        <f>IF(AND(AI30&lt;&gt;0,ISNUMBER(AI39),ISNUMBER(AI35),ISNUMBER(AI36),ISNUMBER(AI52),ISNUMBER(AI53) ),TRUE,FALSE)</f>
        <v>1</v>
      </c>
      <c r="AJ170" s="13"/>
      <c r="AK170" s="13"/>
      <c r="AL170" s="14"/>
      <c r="AM170" s="14"/>
      <c r="AN170" s="14"/>
      <c r="AO170" s="202" t="b">
        <f>IF(AND(AO30&lt;&gt;0,ISNUMBER(AO39),ISNUMBER(AO35),ISNUMBER(AO36),ISNUMBER(AO52),ISNUMBER(AO53) ),TRUE,FALSE)</f>
        <v>1</v>
      </c>
      <c r="AP170" s="13"/>
      <c r="AQ170" s="13"/>
      <c r="AR170" s="14"/>
      <c r="AS170" s="14"/>
      <c r="AT170" s="14"/>
      <c r="AU170" s="202" t="b">
        <f>IF(AND(AU30&lt;&gt;0,ISNUMBER(AU39),ISNUMBER(AU35),ISNUMBER(AU36),ISNUMBER(AU52),ISNUMBER(AU53) ),TRUE,FALSE)</f>
        <v>1</v>
      </c>
      <c r="AV170" s="13"/>
      <c r="AW170" s="13"/>
      <c r="AX170" s="14"/>
      <c r="AY170" s="14"/>
      <c r="AZ170" s="14"/>
      <c r="BA170" s="202" t="b">
        <f>IF(AND(BA30&lt;&gt;0,ISNUMBER(BA39),ISNUMBER(BA35),ISNUMBER(BA36),ISNUMBER(BA52),ISNUMBER(BA53) ),TRUE,FALSE)</f>
        <v>1</v>
      </c>
      <c r="BB170" s="13"/>
      <c r="BC170" s="13"/>
      <c r="BD170" s="14"/>
      <c r="BE170" s="14"/>
      <c r="BF170" s="14"/>
      <c r="BG170" s="202" t="b">
        <f>IF(AND(BG30&lt;&gt;0,ISNUMBER(BG39),ISNUMBER(BG35),ISNUMBER(BG36),ISNUMBER(BG52),ISNUMBER(BG53) ),TRUE,FALSE)</f>
        <v>1</v>
      </c>
      <c r="BH170" s="13"/>
      <c r="BI170" s="13"/>
      <c r="BJ170" s="14"/>
      <c r="BK170" s="14"/>
      <c r="BL170" s="14"/>
      <c r="BM170" s="202" t="b">
        <f>IF(AND(BM30&lt;&gt;0,ISNUMBER(BM39),ISNUMBER(BM35),ISNUMBER(BM36),ISNUMBER(BM52),ISNUMBER(BM53) ),TRUE,FALSE)</f>
        <v>1</v>
      </c>
      <c r="BN170" s="13"/>
      <c r="BO170" s="13"/>
      <c r="BP170" s="14"/>
      <c r="BQ170" s="14"/>
      <c r="BR170" s="14"/>
      <c r="BS170" s="202" t="b">
        <f>IF(AND(BS30&lt;&gt;0,ISNUMBER(BS39),ISNUMBER(BS35),ISNUMBER(BS36),ISNUMBER(BS52),ISNUMBER(BS53) ),TRUE,FALSE)</f>
        <v>1</v>
      </c>
      <c r="BT170" s="13"/>
      <c r="BU170" s="13"/>
      <c r="BV170" s="14"/>
      <c r="BW170" s="14"/>
      <c r="BX170" s="14"/>
      <c r="BY170" s="202" t="b">
        <f>IF(AND(BY30&lt;&gt;0,ISNUMBER(BY39),ISNUMBER(BY35),ISNUMBER(BY36),ISNUMBER(BY52),ISNUMBER(BY53) ),TRUE,FALSE)</f>
        <v>1</v>
      </c>
      <c r="BZ170" s="13"/>
      <c r="CA170" s="13"/>
      <c r="CB170" s="14"/>
      <c r="CC170" s="14"/>
      <c r="CD170" s="14"/>
      <c r="CE170" s="202" t="b">
        <f>IF(AND(CE30&lt;&gt;0,ISNUMBER(CE39),ISNUMBER(CE35),ISNUMBER(CE36),ISNUMBER(CE52),ISNUMBER(CE53) ),TRUE,FALSE)</f>
        <v>1</v>
      </c>
      <c r="CF170" s="13"/>
      <c r="CG170" s="13"/>
      <c r="CH170" s="14"/>
      <c r="CI170" s="14"/>
      <c r="CJ170" s="14"/>
      <c r="CK170" s="202" t="b">
        <f>IF(AND(CK30&lt;&gt;0,ISNUMBER(CK39),ISNUMBER(CK35),ISNUMBER(CK36),ISNUMBER(CK52),ISNUMBER(CK53) ),TRUE,FALSE)</f>
        <v>1</v>
      </c>
      <c r="CL170" s="13"/>
      <c r="CM170" s="13"/>
      <c r="CN170" s="14"/>
      <c r="CO170" s="14"/>
      <c r="CP170" s="14"/>
      <c r="CQ170" s="202" t="b">
        <f>IF(AND(CQ30&lt;&gt;0,ISNUMBER(CQ39),ISNUMBER(CQ35),ISNUMBER(CQ36),ISNUMBER(CQ52),ISNUMBER(CQ53) ),TRUE,FALSE)</f>
        <v>1</v>
      </c>
      <c r="CR170" s="13"/>
      <c r="CS170" s="13"/>
      <c r="CT170" s="14"/>
      <c r="CU170" s="14"/>
      <c r="CV170" s="14"/>
      <c r="CW170" s="214" t="str">
        <f>IF(CW171,SUM(CX71:CX170),"")</f>
        <v/>
      </c>
      <c r="CX170" s="201"/>
      <c r="CY170" s="201"/>
      <c r="CZ170" s="14"/>
      <c r="DA170" s="14"/>
      <c r="DB170" s="14"/>
      <c r="DC170" s="202" t="b">
        <f>IF(AND(DC30&lt;&gt;0,ISNUMBER(DC39),ISNUMBER(DC35),ISNUMBER(DC36),ISNUMBER(DC52),ISNUMBER(DC53) ),TRUE,FALSE)</f>
        <v>1</v>
      </c>
      <c r="DD170" s="13"/>
      <c r="DE170" s="13"/>
      <c r="DF170" s="14"/>
      <c r="DG170" s="14"/>
      <c r="DH170" s="14"/>
      <c r="DI170" s="202" t="b">
        <f>IF(AND(DI30&lt;&gt;0,ISNUMBER(DI39),ISNUMBER(DI35),ISNUMBER(DI36),ISNUMBER(DI52),ISNUMBER(DI53) ),TRUE,FALSE)</f>
        <v>1</v>
      </c>
      <c r="DJ170" s="13"/>
      <c r="DK170" s="13"/>
      <c r="DL170" s="14"/>
      <c r="DM170" s="14"/>
      <c r="DN170" s="14"/>
      <c r="DO170" s="202" t="b">
        <f>IF(AND(DO30&lt;&gt;0,ISNUMBER(DO39),ISNUMBER(DO35),ISNUMBER(DO36),ISNUMBER(DO52),ISNUMBER(DO53) ),TRUE,FALSE)</f>
        <v>1</v>
      </c>
      <c r="DP170" s="13"/>
      <c r="DQ170" s="13"/>
      <c r="DR170" s="421"/>
      <c r="DS170" s="421"/>
      <c r="DT170" s="421"/>
    </row>
    <row r="171" spans="2:124" x14ac:dyDescent="0.35">
      <c r="B171" s="177"/>
      <c r="C171" s="176"/>
      <c r="D171" s="176"/>
      <c r="E171" s="176"/>
      <c r="H171"/>
      <c r="I171"/>
      <c r="K171"/>
      <c r="L171"/>
      <c r="M171"/>
      <c r="N171"/>
      <c r="O171"/>
      <c r="Q171"/>
      <c r="R171"/>
      <c r="S171"/>
      <c r="T171"/>
      <c r="U171"/>
      <c r="W171"/>
      <c r="X171"/>
      <c r="Y171"/>
      <c r="Z171"/>
      <c r="AA171"/>
      <c r="AC171"/>
      <c r="AD171"/>
      <c r="AE171"/>
      <c r="AF171"/>
      <c r="AG171"/>
      <c r="AI171"/>
      <c r="AJ171"/>
      <c r="AK171"/>
      <c r="AL171"/>
      <c r="AM171"/>
      <c r="AO171"/>
      <c r="AP171"/>
      <c r="AQ171"/>
      <c r="AR171"/>
      <c r="AS171"/>
      <c r="AU171"/>
      <c r="AV171"/>
      <c r="AW171"/>
      <c r="AX171"/>
      <c r="AY171"/>
      <c r="BA171"/>
      <c r="BB171"/>
      <c r="BC171"/>
      <c r="BD171"/>
      <c r="BE171"/>
      <c r="BG171"/>
      <c r="BH171"/>
      <c r="BI171"/>
      <c r="BJ171"/>
      <c r="BK171"/>
      <c r="BM171"/>
      <c r="BN171"/>
      <c r="BO171"/>
      <c r="BP171"/>
      <c r="BQ171"/>
      <c r="BS171"/>
      <c r="BT171"/>
      <c r="BU171"/>
      <c r="BV171"/>
      <c r="BW171"/>
      <c r="BY171"/>
      <c r="BZ171"/>
      <c r="CA171"/>
      <c r="CB171"/>
      <c r="CC171"/>
      <c r="CE171"/>
      <c r="CF171"/>
      <c r="CG171"/>
      <c r="CH171"/>
      <c r="CI171"/>
      <c r="CK171"/>
      <c r="CL171"/>
      <c r="CM171"/>
      <c r="CN171"/>
      <c r="CO171"/>
      <c r="CQ171"/>
      <c r="CR171"/>
      <c r="CS171"/>
      <c r="CT171"/>
      <c r="CU171"/>
      <c r="CW171" s="175" t="b">
        <f>IF(AND(CW31&lt;&gt;0,ISNUMBER(CW40),ISNUMBER(CW36),ISNUMBER(CW37),ISNUMBER(CW53),ISNUMBER(CW54) ),TRUE,FALSE)</f>
        <v>0</v>
      </c>
      <c r="CX171"/>
      <c r="CY171"/>
      <c r="CZ171" s="174"/>
      <c r="DA171" s="174"/>
      <c r="DB171" s="174"/>
      <c r="DC171"/>
      <c r="DD171"/>
      <c r="DE171"/>
      <c r="DF171"/>
      <c r="DG171"/>
      <c r="DI171"/>
      <c r="DJ171"/>
      <c r="DK171"/>
      <c r="DL171"/>
      <c r="DM171"/>
    </row>
    <row r="172" spans="2:124" x14ac:dyDescent="0.35">
      <c r="B172" s="177"/>
      <c r="C172" s="176"/>
      <c r="D172" s="176"/>
      <c r="E172" s="176"/>
      <c r="H172"/>
      <c r="I172"/>
      <c r="K172"/>
      <c r="L172"/>
      <c r="M172"/>
      <c r="N172"/>
      <c r="O172"/>
      <c r="Q172"/>
      <c r="R172"/>
      <c r="S172"/>
      <c r="T172"/>
      <c r="U172"/>
      <c r="W172"/>
      <c r="X172"/>
      <c r="Y172"/>
      <c r="Z172"/>
      <c r="AA172"/>
      <c r="AC172"/>
      <c r="AD172"/>
      <c r="AE172"/>
      <c r="AF172"/>
      <c r="AG172"/>
      <c r="AI172"/>
      <c r="AJ172"/>
      <c r="AK172"/>
      <c r="AL172"/>
      <c r="AM172"/>
      <c r="AO172"/>
      <c r="AP172"/>
      <c r="AQ172"/>
      <c r="AR172"/>
      <c r="AS172"/>
      <c r="AU172"/>
      <c r="AV172"/>
      <c r="AW172"/>
      <c r="AX172"/>
      <c r="AY172"/>
      <c r="BA172"/>
      <c r="BB172"/>
      <c r="BC172"/>
      <c r="BD172"/>
      <c r="BE172"/>
      <c r="BG172"/>
      <c r="BH172"/>
      <c r="BI172"/>
      <c r="BJ172"/>
      <c r="BK172"/>
      <c r="BM172"/>
      <c r="BN172"/>
      <c r="BO172"/>
      <c r="BP172"/>
      <c r="BQ172"/>
      <c r="BS172"/>
      <c r="BT172"/>
      <c r="BU172"/>
      <c r="BV172"/>
      <c r="BW172"/>
      <c r="BY172"/>
      <c r="BZ172"/>
      <c r="CA172"/>
      <c r="CB172"/>
      <c r="CC172"/>
      <c r="CE172"/>
      <c r="CF172"/>
      <c r="CG172"/>
      <c r="CH172"/>
      <c r="CI172"/>
      <c r="CK172"/>
      <c r="CL172"/>
      <c r="CM172"/>
      <c r="CN172"/>
      <c r="CO172"/>
      <c r="CQ172"/>
      <c r="CR172"/>
      <c r="CS172"/>
      <c r="CT172"/>
      <c r="CU172"/>
      <c r="CW172"/>
      <c r="CX172"/>
      <c r="CY172"/>
      <c r="CZ172"/>
      <c r="DA172"/>
      <c r="DC172"/>
      <c r="DD172"/>
      <c r="DE172"/>
      <c r="DF172"/>
      <c r="DG172"/>
      <c r="DI172"/>
      <c r="DJ172"/>
      <c r="DK172"/>
      <c r="DL172"/>
      <c r="DM172"/>
    </row>
    <row r="173" spans="2:124" x14ac:dyDescent="0.35">
      <c r="B173"/>
      <c r="C173"/>
      <c r="D173"/>
      <c r="E173"/>
      <c r="H173"/>
      <c r="I173"/>
      <c r="K173"/>
      <c r="L173"/>
      <c r="M173"/>
      <c r="N173"/>
      <c r="O173"/>
      <c r="Q173"/>
      <c r="R173"/>
      <c r="S173"/>
      <c r="T173"/>
      <c r="U173"/>
      <c r="W173"/>
      <c r="X173"/>
      <c r="Y173"/>
      <c r="Z173"/>
      <c r="AA173"/>
      <c r="AC173"/>
      <c r="AD173"/>
      <c r="AE173"/>
      <c r="AF173"/>
      <c r="AG173"/>
      <c r="AI173"/>
      <c r="AJ173"/>
      <c r="AK173"/>
      <c r="AL173"/>
      <c r="AM173"/>
      <c r="AO173"/>
      <c r="AP173"/>
      <c r="AQ173"/>
      <c r="AR173"/>
      <c r="AS173"/>
      <c r="AU173"/>
      <c r="AV173"/>
      <c r="AW173"/>
      <c r="AX173"/>
      <c r="AY173"/>
      <c r="BA173"/>
      <c r="BB173"/>
      <c r="BC173"/>
      <c r="BD173"/>
      <c r="BE173"/>
      <c r="BG173"/>
      <c r="BH173"/>
      <c r="BI173"/>
      <c r="BJ173"/>
      <c r="BK173"/>
      <c r="BM173"/>
      <c r="BN173"/>
      <c r="BO173"/>
      <c r="BP173"/>
      <c r="BQ173"/>
      <c r="BS173"/>
      <c r="BT173"/>
      <c r="BU173"/>
      <c r="BV173"/>
      <c r="BW173"/>
      <c r="BY173"/>
      <c r="BZ173"/>
      <c r="CA173"/>
      <c r="CB173"/>
      <c r="CC173"/>
      <c r="CE173"/>
      <c r="CF173"/>
      <c r="CG173"/>
      <c r="CH173"/>
      <c r="CI173"/>
      <c r="CK173"/>
      <c r="CL173"/>
      <c r="CM173"/>
      <c r="CN173"/>
      <c r="CO173"/>
      <c r="CQ173"/>
      <c r="CR173"/>
      <c r="CS173"/>
      <c r="CT173"/>
      <c r="CU173"/>
      <c r="CW173"/>
      <c r="CX173"/>
      <c r="CY173"/>
      <c r="CZ173"/>
      <c r="DA173"/>
      <c r="DC173"/>
      <c r="DD173"/>
      <c r="DE173"/>
      <c r="DF173"/>
      <c r="DG173"/>
      <c r="DI173"/>
      <c r="DJ173"/>
      <c r="DK173"/>
      <c r="DL173"/>
      <c r="DM173"/>
    </row>
    <row r="174" spans="2:124" x14ac:dyDescent="0.35">
      <c r="H174" s="64"/>
      <c r="I174"/>
      <c r="K174"/>
      <c r="L174"/>
      <c r="M174"/>
      <c r="N174"/>
      <c r="O174"/>
      <c r="Q174"/>
      <c r="R174"/>
      <c r="S174"/>
      <c r="T174"/>
      <c r="U174"/>
      <c r="W174"/>
      <c r="X174"/>
      <c r="Y174"/>
      <c r="Z174"/>
      <c r="AA174"/>
      <c r="AC174"/>
      <c r="AD174"/>
      <c r="AE174"/>
      <c r="AF174"/>
      <c r="AG174"/>
      <c r="AI174"/>
      <c r="AJ174"/>
      <c r="AK174"/>
      <c r="AL174"/>
      <c r="AM174"/>
      <c r="AO174"/>
      <c r="AP174"/>
      <c r="AQ174"/>
      <c r="AR174"/>
      <c r="AS174"/>
      <c r="AU174"/>
      <c r="AV174"/>
      <c r="AW174"/>
      <c r="AX174"/>
      <c r="AY174"/>
      <c r="BA174"/>
      <c r="BB174"/>
      <c r="BC174"/>
      <c r="BD174"/>
      <c r="BE174"/>
      <c r="BG174"/>
      <c r="BH174"/>
      <c r="BI174"/>
      <c r="BJ174"/>
      <c r="BK174"/>
      <c r="BM174"/>
      <c r="BN174"/>
      <c r="BO174"/>
      <c r="BP174"/>
      <c r="BQ174"/>
      <c r="BS174"/>
      <c r="BT174"/>
      <c r="BU174"/>
      <c r="BV174"/>
      <c r="BW174"/>
      <c r="BY174"/>
      <c r="BZ174"/>
      <c r="CA174"/>
      <c r="CB174"/>
      <c r="CC174"/>
      <c r="CE174"/>
      <c r="CF174"/>
      <c r="CG174"/>
      <c r="CH174"/>
      <c r="CI174"/>
      <c r="CK174"/>
      <c r="CL174"/>
      <c r="CM174"/>
      <c r="CN174"/>
      <c r="CO174"/>
      <c r="CQ174"/>
      <c r="CR174"/>
      <c r="CS174"/>
      <c r="CT174"/>
      <c r="CU174"/>
      <c r="CW174"/>
      <c r="CX174"/>
      <c r="CY174"/>
      <c r="CZ174"/>
      <c r="DA174"/>
      <c r="DC174"/>
      <c r="DD174"/>
      <c r="DE174"/>
      <c r="DF174"/>
      <c r="DG174"/>
      <c r="DI174"/>
      <c r="DJ174"/>
      <c r="DK174"/>
      <c r="DL174"/>
      <c r="DM174"/>
    </row>
    <row r="175" spans="2:124" x14ac:dyDescent="0.35">
      <c r="B175"/>
      <c r="C175"/>
      <c r="D175"/>
      <c r="E175"/>
      <c r="H175"/>
      <c r="I175"/>
      <c r="K175"/>
      <c r="L175"/>
      <c r="M175"/>
      <c r="N175"/>
      <c r="O175"/>
      <c r="Q175"/>
      <c r="R175"/>
      <c r="S175"/>
      <c r="T175"/>
      <c r="U175"/>
      <c r="W175"/>
      <c r="X175"/>
      <c r="Y175"/>
      <c r="Z175"/>
      <c r="AA175"/>
      <c r="AC175"/>
      <c r="AD175"/>
      <c r="AE175"/>
      <c r="AF175"/>
      <c r="AG175"/>
      <c r="AI175"/>
      <c r="AJ175"/>
      <c r="AK175"/>
      <c r="AL175"/>
      <c r="AM175"/>
      <c r="AO175"/>
      <c r="AP175"/>
      <c r="AQ175"/>
      <c r="AR175"/>
      <c r="AS175"/>
      <c r="AU175"/>
      <c r="AV175"/>
      <c r="AW175"/>
      <c r="AX175"/>
      <c r="AY175"/>
      <c r="BA175"/>
      <c r="BB175"/>
      <c r="BC175"/>
      <c r="BD175"/>
      <c r="BE175"/>
      <c r="BG175"/>
      <c r="BH175"/>
      <c r="BI175"/>
      <c r="BJ175"/>
      <c r="BK175"/>
      <c r="BM175"/>
      <c r="BN175"/>
      <c r="BO175"/>
      <c r="BP175"/>
      <c r="BQ175"/>
      <c r="BS175"/>
      <c r="BT175"/>
      <c r="BU175"/>
      <c r="BV175"/>
      <c r="BW175"/>
      <c r="BY175"/>
      <c r="BZ175"/>
      <c r="CA175"/>
      <c r="CB175"/>
      <c r="CC175"/>
      <c r="CE175"/>
      <c r="CF175"/>
      <c r="CG175"/>
      <c r="CH175"/>
      <c r="CI175"/>
      <c r="CK175"/>
      <c r="CL175"/>
      <c r="CM175"/>
      <c r="CN175"/>
      <c r="CO175"/>
      <c r="CQ175"/>
      <c r="CR175"/>
      <c r="CS175"/>
      <c r="CT175"/>
      <c r="CU175"/>
      <c r="CW175"/>
      <c r="CX175"/>
      <c r="CY175"/>
      <c r="CZ175"/>
      <c r="DA175"/>
      <c r="DC175"/>
      <c r="DD175"/>
      <c r="DE175"/>
      <c r="DF175"/>
      <c r="DG175"/>
      <c r="DI175"/>
      <c r="DJ175"/>
      <c r="DK175"/>
      <c r="DL175"/>
      <c r="DM175"/>
    </row>
    <row r="176" spans="2:124" x14ac:dyDescent="0.35">
      <c r="B176"/>
      <c r="C176" s="174"/>
      <c r="D176" s="11"/>
      <c r="E176" s="174"/>
      <c r="H176" s="174"/>
      <c r="I176" s="174"/>
      <c r="J176" s="174"/>
      <c r="K176" s="174"/>
      <c r="L176" s="174"/>
      <c r="M176"/>
      <c r="N176" s="174"/>
      <c r="O176" s="174"/>
      <c r="Q176" s="125"/>
      <c r="R176" s="125"/>
      <c r="S176" s="125"/>
      <c r="T176" s="125"/>
      <c r="U176" s="125"/>
      <c r="AC176" s="64"/>
      <c r="AD176" s="64"/>
      <c r="AE176" s="64"/>
      <c r="AF176" s="64"/>
      <c r="AG176" s="64"/>
      <c r="BM176" s="88"/>
      <c r="BN176" s="88"/>
      <c r="BO176" s="88"/>
      <c r="BP176" s="88"/>
      <c r="BQ176" s="88"/>
      <c r="BS176" s="153"/>
      <c r="BT176" s="153"/>
      <c r="BU176" s="153"/>
      <c r="BV176" s="153"/>
      <c r="BW176" s="153"/>
      <c r="BY176" s="64"/>
      <c r="BZ176" s="64"/>
      <c r="CA176" s="64"/>
      <c r="CB176" s="64"/>
      <c r="CC176" s="64"/>
      <c r="CE176" s="68"/>
      <c r="CF176" s="68"/>
      <c r="CG176" s="68"/>
      <c r="CH176" s="68"/>
      <c r="CI176" s="68"/>
      <c r="CK176" s="92"/>
      <c r="CL176" s="92"/>
      <c r="CM176" s="92"/>
      <c r="CN176" s="92"/>
      <c r="CO176" s="92"/>
      <c r="CQ176" s="92"/>
      <c r="CR176" s="92"/>
      <c r="CS176" s="92"/>
      <c r="CT176" s="92"/>
      <c r="CU176" s="92"/>
      <c r="CW176" s="88"/>
      <c r="CX176" s="88"/>
      <c r="CY176" s="88"/>
      <c r="CZ176" s="88"/>
      <c r="DA176" s="88"/>
      <c r="DC176"/>
      <c r="DD176"/>
      <c r="DE176"/>
      <c r="DF176"/>
      <c r="DG176"/>
      <c r="DI176"/>
      <c r="DJ176"/>
      <c r="DK176"/>
      <c r="DL176"/>
      <c r="DM176"/>
    </row>
    <row r="177" spans="2:118" x14ac:dyDescent="0.35">
      <c r="B177"/>
      <c r="C177" s="174"/>
      <c r="D177" s="11"/>
      <c r="E177" s="174"/>
      <c r="F177" s="174"/>
      <c r="G177"/>
      <c r="H177" s="174"/>
      <c r="I177" s="174"/>
      <c r="J177" s="174"/>
      <c r="K177" s="174"/>
      <c r="L177" s="174"/>
      <c r="M177"/>
      <c r="N177" s="174"/>
      <c r="O177" s="174"/>
      <c r="Q177" s="125"/>
      <c r="R177" s="125"/>
      <c r="S177" s="125"/>
      <c r="T177" s="125"/>
      <c r="U177" s="125"/>
      <c r="AC177" s="64"/>
      <c r="AD177" s="64"/>
      <c r="AE177" s="64"/>
      <c r="AF177" s="64"/>
      <c r="AG177" s="64"/>
      <c r="BM177" s="88"/>
      <c r="BN177" s="88"/>
      <c r="BO177" s="88"/>
      <c r="BP177" s="88"/>
      <c r="BQ177" s="88"/>
      <c r="BS177" s="153"/>
      <c r="BT177" s="153"/>
      <c r="BU177" s="153"/>
      <c r="BV177" s="153"/>
      <c r="BW177" s="153"/>
      <c r="BY177" s="64"/>
      <c r="BZ177" s="64"/>
      <c r="CA177" s="64"/>
      <c r="CB177" s="64"/>
      <c r="CC177" s="64"/>
      <c r="CE177" s="68"/>
      <c r="CF177" s="68"/>
      <c r="CG177" s="68"/>
      <c r="CH177" s="68"/>
      <c r="CI177" s="68"/>
      <c r="CK177" s="92"/>
      <c r="CL177" s="92"/>
      <c r="CM177" s="92"/>
      <c r="CN177" s="92"/>
      <c r="CO177" s="92"/>
      <c r="CQ177" s="92"/>
      <c r="CR177" s="92"/>
      <c r="CS177" s="92"/>
      <c r="CT177" s="92"/>
      <c r="CU177" s="92"/>
      <c r="CW177" s="88"/>
      <c r="CX177" s="88"/>
      <c r="CY177" s="88"/>
      <c r="CZ177" s="88"/>
      <c r="DA177" s="88"/>
      <c r="DC177"/>
      <c r="DD177"/>
      <c r="DE177"/>
      <c r="DF177"/>
      <c r="DG177"/>
      <c r="DI177"/>
      <c r="DJ177"/>
      <c r="DK177"/>
      <c r="DL177"/>
      <c r="DM177"/>
    </row>
    <row r="178" spans="2:118" x14ac:dyDescent="0.35">
      <c r="B178"/>
      <c r="C178" s="174"/>
      <c r="D178" s="11"/>
      <c r="E178" s="174"/>
      <c r="F178" s="174"/>
      <c r="G178"/>
      <c r="H178" s="174"/>
      <c r="I178" s="174"/>
      <c r="J178" s="174"/>
      <c r="K178" s="174"/>
      <c r="L178" s="174"/>
      <c r="M178"/>
      <c r="N178" s="174"/>
      <c r="O178" s="174"/>
      <c r="Q178" s="125"/>
      <c r="R178" s="125"/>
      <c r="S178" s="125"/>
      <c r="T178" s="125"/>
      <c r="U178" s="125"/>
      <c r="AC178" s="64"/>
      <c r="AD178" s="64"/>
      <c r="AE178" s="64"/>
      <c r="AF178" s="64"/>
      <c r="AG178" s="64"/>
      <c r="BM178" s="88"/>
      <c r="BN178" s="88"/>
      <c r="BO178" s="88"/>
      <c r="BP178" s="88"/>
      <c r="BQ178" s="88"/>
      <c r="BS178" s="153"/>
      <c r="BT178" s="153"/>
      <c r="BU178" s="153"/>
      <c r="BV178" s="153"/>
      <c r="BW178" s="153"/>
      <c r="BY178" s="64"/>
      <c r="BZ178" s="64"/>
      <c r="CA178" s="64"/>
      <c r="CB178" s="64"/>
      <c r="CC178" s="64"/>
      <c r="CE178" s="68"/>
      <c r="CF178" s="68"/>
      <c r="CG178" s="68"/>
      <c r="CH178" s="68"/>
      <c r="CI178" s="68"/>
      <c r="CK178" s="92"/>
      <c r="CL178" s="92"/>
      <c r="CM178" s="92"/>
      <c r="CN178" s="92"/>
      <c r="CO178" s="92"/>
      <c r="CQ178" s="92"/>
      <c r="CR178" s="92"/>
      <c r="CS178" s="92"/>
      <c r="CT178" s="92"/>
      <c r="CU178" s="92"/>
      <c r="CW178" s="88"/>
      <c r="CX178" s="88"/>
      <c r="CY178" s="88"/>
      <c r="CZ178" s="88"/>
      <c r="DA178" s="88"/>
      <c r="DC178"/>
      <c r="DD178"/>
      <c r="DE178"/>
      <c r="DF178"/>
      <c r="DG178"/>
      <c r="DI178"/>
      <c r="DJ178"/>
      <c r="DK178"/>
      <c r="DL178"/>
      <c r="DM178"/>
    </row>
    <row r="179" spans="2:118" x14ac:dyDescent="0.35">
      <c r="B179"/>
      <c r="C179" s="174"/>
      <c r="D179" s="11"/>
      <c r="E179" s="174"/>
      <c r="F179" s="174"/>
      <c r="G179"/>
      <c r="H179" s="174"/>
      <c r="I179" s="174"/>
      <c r="J179" s="174"/>
      <c r="K179" s="174"/>
      <c r="L179" s="174"/>
      <c r="M179"/>
      <c r="N179" s="174"/>
      <c r="O179" s="174"/>
      <c r="Q179" s="125"/>
      <c r="R179" s="125"/>
      <c r="S179" s="125"/>
      <c r="T179" s="125"/>
      <c r="U179" s="125"/>
      <c r="AC179" s="64"/>
      <c r="AD179" s="64"/>
      <c r="AE179" s="64"/>
      <c r="AF179" s="64"/>
      <c r="AG179" s="64"/>
      <c r="BM179" s="88"/>
      <c r="BN179" s="88"/>
      <c r="BO179" s="88"/>
      <c r="BP179" s="88"/>
      <c r="BQ179" s="88"/>
      <c r="BS179" s="153"/>
      <c r="BT179" s="153"/>
      <c r="BU179" s="153"/>
      <c r="BV179" s="153"/>
      <c r="BW179" s="153"/>
      <c r="BY179" s="64"/>
      <c r="BZ179" s="64"/>
      <c r="CA179" s="64"/>
      <c r="CB179" s="64"/>
      <c r="CC179" s="64"/>
      <c r="CE179" s="68"/>
      <c r="CF179" s="68"/>
      <c r="CG179" s="68"/>
      <c r="CH179" s="68"/>
      <c r="CI179" s="68"/>
      <c r="CK179" s="92"/>
      <c r="CL179" s="92"/>
      <c r="CM179" s="92"/>
      <c r="CN179" s="92"/>
      <c r="CO179" s="92"/>
      <c r="CQ179" s="92"/>
      <c r="CR179" s="92"/>
      <c r="CS179" s="92"/>
      <c r="CT179" s="92"/>
      <c r="CU179" s="92"/>
      <c r="CW179" s="88"/>
      <c r="CX179" s="88"/>
      <c r="CY179" s="88"/>
      <c r="CZ179" s="88"/>
      <c r="DA179" s="88"/>
      <c r="DC179"/>
      <c r="DD179"/>
      <c r="DE179"/>
      <c r="DF179"/>
      <c r="DG179"/>
      <c r="DI179"/>
      <c r="DJ179"/>
      <c r="DK179"/>
      <c r="DL179"/>
      <c r="DM179"/>
    </row>
    <row r="180" spans="2:118" x14ac:dyDescent="0.35">
      <c r="B180"/>
      <c r="C180" s="174"/>
      <c r="D180" s="11"/>
      <c r="E180" s="174"/>
      <c r="F180" s="174"/>
      <c r="G180"/>
      <c r="H180" s="174"/>
      <c r="I180" s="174"/>
      <c r="J180" s="174"/>
      <c r="K180" s="174"/>
      <c r="L180" s="174"/>
      <c r="M180"/>
      <c r="N180" s="174"/>
      <c r="O180" s="174"/>
      <c r="Q180" s="125"/>
      <c r="R180" s="125"/>
      <c r="S180" s="125"/>
      <c r="T180" s="125"/>
      <c r="U180" s="125"/>
      <c r="AC180" s="64"/>
      <c r="AD180" s="64"/>
      <c r="AE180" s="64"/>
      <c r="AF180" s="64"/>
      <c r="AG180" s="64"/>
      <c r="BM180" s="88"/>
      <c r="BN180" s="88"/>
      <c r="BO180" s="88"/>
      <c r="BP180" s="88"/>
      <c r="BQ180" s="88"/>
      <c r="BS180" s="153"/>
      <c r="BT180" s="153"/>
      <c r="BU180" s="153"/>
      <c r="BV180" s="153"/>
      <c r="BW180" s="153"/>
      <c r="BY180" s="64"/>
      <c r="BZ180" s="64"/>
      <c r="CA180" s="64"/>
      <c r="CB180" s="64"/>
      <c r="CC180" s="64"/>
      <c r="CE180" s="68"/>
      <c r="CF180" s="68"/>
      <c r="CG180" s="68"/>
      <c r="CH180" s="68"/>
      <c r="CI180" s="68"/>
      <c r="CK180" s="92"/>
      <c r="CL180" s="92"/>
      <c r="CM180" s="92"/>
      <c r="CN180" s="92"/>
      <c r="CO180" s="92"/>
      <c r="CQ180" s="92"/>
      <c r="CR180" s="92"/>
      <c r="CS180" s="92"/>
      <c r="CT180" s="92"/>
      <c r="CU180" s="92"/>
      <c r="CW180" s="88"/>
      <c r="CX180" s="88"/>
      <c r="CY180" s="88"/>
      <c r="CZ180" s="88"/>
      <c r="DA180" s="88"/>
      <c r="DC180"/>
      <c r="DD180"/>
      <c r="DE180"/>
      <c r="DF180"/>
      <c r="DG180"/>
      <c r="DI180"/>
      <c r="DJ180"/>
      <c r="DK180"/>
      <c r="DL180"/>
      <c r="DM180"/>
    </row>
    <row r="181" spans="2:118" x14ac:dyDescent="0.35">
      <c r="B181"/>
      <c r="C181" s="174"/>
      <c r="D181" s="11"/>
      <c r="E181" s="174"/>
      <c r="F181" s="174"/>
      <c r="G181"/>
      <c r="H181" s="174"/>
      <c r="I181" s="174"/>
      <c r="J181" s="174"/>
      <c r="K181" s="174"/>
      <c r="L181" s="174"/>
      <c r="M181"/>
      <c r="N181" s="174"/>
      <c r="O181" s="174"/>
      <c r="Q181" s="125"/>
      <c r="R181" s="125"/>
      <c r="S181" s="125"/>
      <c r="T181" s="125"/>
      <c r="U181" s="125"/>
      <c r="AC181" s="64"/>
      <c r="AD181" s="64"/>
      <c r="AE181" s="64"/>
      <c r="AF181" s="64"/>
      <c r="AG181" s="64"/>
      <c r="BM181" s="88"/>
      <c r="BN181" s="88"/>
      <c r="BO181" s="88"/>
      <c r="BP181" s="88"/>
      <c r="BQ181" s="88"/>
      <c r="BS181" s="153"/>
      <c r="BT181" s="153"/>
      <c r="BU181" s="153"/>
      <c r="BV181" s="153"/>
      <c r="BW181" s="153"/>
      <c r="BY181" s="64"/>
      <c r="BZ181" s="64"/>
      <c r="CA181" s="64"/>
      <c r="CB181" s="64"/>
      <c r="CC181" s="64"/>
      <c r="CE181" s="68"/>
      <c r="CF181" s="68"/>
      <c r="CG181" s="68"/>
      <c r="CH181" s="68"/>
      <c r="CI181" s="68"/>
      <c r="CK181" s="92"/>
      <c r="CL181" s="92"/>
      <c r="CM181" s="92"/>
      <c r="CN181" s="92"/>
      <c r="CO181" s="92"/>
      <c r="CQ181" s="92"/>
      <c r="CR181" s="92"/>
      <c r="CS181" s="92"/>
      <c r="CT181" s="92"/>
      <c r="CU181" s="92"/>
      <c r="CW181" s="88"/>
      <c r="CX181" s="88"/>
      <c r="CY181" s="88"/>
      <c r="CZ181" s="88"/>
      <c r="DA181" s="88"/>
      <c r="DC181"/>
      <c r="DD181"/>
      <c r="DE181"/>
      <c r="DF181"/>
      <c r="DG181"/>
      <c r="DI181"/>
      <c r="DJ181"/>
      <c r="DK181"/>
      <c r="DL181"/>
      <c r="DM181"/>
    </row>
    <row r="182" spans="2:118" x14ac:dyDescent="0.35">
      <c r="B182"/>
      <c r="C182" s="174"/>
      <c r="D182" s="11"/>
      <c r="E182" s="174"/>
      <c r="F182" s="174"/>
      <c r="G182"/>
      <c r="H182" s="174"/>
      <c r="I182" s="174"/>
      <c r="J182" s="174"/>
      <c r="K182" s="174"/>
      <c r="L182" s="174"/>
      <c r="M182"/>
      <c r="N182" s="174"/>
      <c r="O182" s="174"/>
      <c r="Q182" s="125"/>
      <c r="R182" s="125"/>
      <c r="S182" s="125"/>
      <c r="T182" s="125"/>
      <c r="U182" s="125"/>
      <c r="AC182" s="64"/>
      <c r="AD182" s="64"/>
      <c r="AE182" s="64"/>
      <c r="AF182" s="64"/>
      <c r="AG182" s="64"/>
      <c r="BM182" s="88"/>
      <c r="BN182" s="88"/>
      <c r="BO182" s="88"/>
      <c r="BP182" s="88"/>
      <c r="BQ182" s="88"/>
      <c r="BS182" s="153"/>
      <c r="BT182" s="153"/>
      <c r="BU182" s="153"/>
      <c r="BV182" s="153"/>
      <c r="BW182" s="153"/>
      <c r="BY182" s="64"/>
      <c r="BZ182" s="64"/>
      <c r="CA182" s="64"/>
      <c r="CB182" s="64"/>
      <c r="CC182" s="64"/>
      <c r="CE182" s="68"/>
      <c r="CF182" s="68"/>
      <c r="CG182" s="68"/>
      <c r="CH182" s="68"/>
      <c r="CI182" s="68"/>
      <c r="CK182" s="92"/>
      <c r="CL182" s="92"/>
      <c r="CM182" s="92"/>
      <c r="CN182" s="92"/>
      <c r="CO182" s="92"/>
      <c r="CQ182" s="92"/>
      <c r="CR182" s="92"/>
      <c r="CS182" s="92"/>
      <c r="CT182" s="92"/>
      <c r="CU182" s="92"/>
      <c r="CW182" s="88"/>
      <c r="CX182" s="88"/>
      <c r="CY182" s="88"/>
      <c r="CZ182" s="88"/>
      <c r="DA182" s="88"/>
      <c r="DC182"/>
      <c r="DD182"/>
      <c r="DE182"/>
      <c r="DF182"/>
      <c r="DG182"/>
      <c r="DI182"/>
      <c r="DJ182"/>
      <c r="DK182"/>
      <c r="DL182"/>
      <c r="DM182"/>
    </row>
    <row r="183" spans="2:118" x14ac:dyDescent="0.35">
      <c r="B183"/>
      <c r="C183" s="174"/>
      <c r="D183" s="11"/>
      <c r="E183" s="174"/>
      <c r="F183" s="174"/>
      <c r="G183"/>
      <c r="H183" s="174"/>
      <c r="I183" s="174"/>
      <c r="J183" s="174"/>
      <c r="K183" s="174"/>
      <c r="L183" s="174"/>
      <c r="M183"/>
      <c r="N183" s="174"/>
      <c r="O183" s="174"/>
      <c r="Q183" s="125"/>
      <c r="R183" s="125"/>
      <c r="S183" s="125"/>
      <c r="T183" s="125"/>
      <c r="U183" s="125"/>
      <c r="AC183" s="64"/>
      <c r="AD183" s="64"/>
      <c r="AE183" s="64"/>
      <c r="AF183" s="64"/>
      <c r="AG183" s="64"/>
      <c r="BM183" s="88"/>
      <c r="BN183" s="88"/>
      <c r="BO183" s="88"/>
      <c r="BP183" s="88"/>
      <c r="BQ183" s="88"/>
      <c r="BS183" s="153"/>
      <c r="BT183" s="153"/>
      <c r="BU183" s="153"/>
      <c r="BV183" s="153"/>
      <c r="BW183" s="153"/>
      <c r="BY183" s="64"/>
      <c r="BZ183" s="64"/>
      <c r="CA183" s="64"/>
      <c r="CB183" s="64"/>
      <c r="CC183" s="64"/>
      <c r="CE183" s="68"/>
      <c r="CF183" s="68"/>
      <c r="CG183" s="68"/>
      <c r="CH183" s="68"/>
      <c r="CI183" s="68"/>
      <c r="CK183" s="92"/>
      <c r="CL183" s="92"/>
      <c r="CM183" s="92"/>
      <c r="CN183" s="92"/>
      <c r="CO183" s="92"/>
      <c r="CQ183" s="92"/>
      <c r="CR183" s="92"/>
      <c r="CS183" s="92"/>
      <c r="CT183" s="92"/>
      <c r="CU183" s="92"/>
      <c r="CW183" s="88"/>
      <c r="CX183" s="88"/>
      <c r="CY183" s="88"/>
      <c r="CZ183" s="88"/>
      <c r="DA183" s="88"/>
      <c r="DC183"/>
      <c r="DD183"/>
      <c r="DE183"/>
      <c r="DF183"/>
      <c r="DG183"/>
      <c r="DI183"/>
      <c r="DJ183"/>
      <c r="DK183"/>
      <c r="DL183"/>
      <c r="DM183"/>
    </row>
    <row r="184" spans="2:118" x14ac:dyDescent="0.35">
      <c r="B184"/>
      <c r="C184" s="174"/>
      <c r="D184" s="11"/>
      <c r="E184" s="174"/>
      <c r="F184" s="174"/>
      <c r="G184"/>
      <c r="H184" s="174"/>
      <c r="I184" s="174"/>
      <c r="J184" s="174"/>
      <c r="K184" s="174"/>
      <c r="L184" s="174"/>
      <c r="M184"/>
      <c r="N184" s="174"/>
      <c r="O184" s="174"/>
      <c r="Q184" s="125"/>
      <c r="R184" s="125"/>
      <c r="S184" s="125"/>
      <c r="T184" s="125"/>
      <c r="U184" s="125"/>
      <c r="AC184" s="64"/>
      <c r="AD184" s="64"/>
      <c r="AE184" s="64"/>
      <c r="AF184" s="64"/>
      <c r="AG184" s="64"/>
      <c r="BM184" s="88"/>
      <c r="BN184" s="88"/>
      <c r="BO184" s="88"/>
      <c r="BP184" s="88"/>
      <c r="BQ184" s="88"/>
      <c r="BS184" s="153"/>
      <c r="BT184" s="153"/>
      <c r="BU184" s="153"/>
      <c r="BV184" s="153"/>
      <c r="BW184" s="153"/>
      <c r="BY184" s="64"/>
      <c r="BZ184" s="64"/>
      <c r="CA184" s="64"/>
      <c r="CB184" s="64"/>
      <c r="CC184" s="64"/>
      <c r="CE184" s="68"/>
      <c r="CF184" s="68"/>
      <c r="CG184" s="68"/>
      <c r="CH184" s="68"/>
      <c r="CI184" s="68"/>
      <c r="CK184" s="92"/>
      <c r="CL184" s="92"/>
      <c r="CM184" s="92"/>
      <c r="CN184" s="92"/>
      <c r="CO184" s="92"/>
      <c r="CQ184" s="92"/>
      <c r="CR184" s="92"/>
      <c r="CS184" s="92"/>
      <c r="CT184" s="92"/>
      <c r="CU184" s="92"/>
      <c r="CW184" s="88"/>
      <c r="CX184" s="88"/>
      <c r="CY184" s="88"/>
      <c r="CZ184" s="88"/>
      <c r="DA184" s="88"/>
      <c r="DC184"/>
      <c r="DD184"/>
      <c r="DE184"/>
      <c r="DF184"/>
      <c r="DG184"/>
      <c r="DI184"/>
      <c r="DJ184"/>
      <c r="DK184"/>
      <c r="DL184"/>
      <c r="DM184"/>
    </row>
    <row r="185" spans="2:118" x14ac:dyDescent="0.35">
      <c r="F185"/>
      <c r="G185" s="64"/>
      <c r="H185" s="64"/>
      <c r="I185" s="64"/>
      <c r="J185" s="64"/>
      <c r="L185"/>
      <c r="M185" s="68"/>
      <c r="N185" s="68"/>
      <c r="Q185" s="125"/>
      <c r="R185" s="125"/>
      <c r="S185" s="125"/>
      <c r="T185" s="125"/>
      <c r="U185" s="125"/>
      <c r="AC185" s="64"/>
      <c r="AD185" s="64"/>
      <c r="AE185" s="64"/>
      <c r="AF185" s="64"/>
      <c r="AG185" s="64"/>
      <c r="BM185" s="88"/>
      <c r="BN185" s="88"/>
      <c r="BO185" s="88"/>
      <c r="BP185" s="88"/>
      <c r="BQ185" s="88"/>
      <c r="BS185" s="153"/>
      <c r="BT185" s="153"/>
      <c r="BU185" s="153"/>
      <c r="BV185" s="153"/>
      <c r="BW185" s="153"/>
      <c r="BY185" s="64"/>
      <c r="BZ185" s="64"/>
      <c r="CA185" s="64"/>
      <c r="CB185" s="64"/>
      <c r="CC185" s="64"/>
      <c r="CE185" s="68"/>
      <c r="CF185" s="68"/>
      <c r="CG185" s="68"/>
      <c r="CH185" s="68"/>
      <c r="CI185" s="68"/>
      <c r="CK185" s="92"/>
      <c r="CL185" s="92"/>
      <c r="CM185" s="92"/>
      <c r="CN185" s="92"/>
      <c r="CO185" s="92"/>
      <c r="CQ185" s="92"/>
      <c r="CR185" s="92"/>
      <c r="CS185" s="92"/>
      <c r="CT185" s="92"/>
      <c r="CU185" s="92"/>
      <c r="CW185" s="88"/>
      <c r="CX185" s="88"/>
      <c r="CY185" s="88"/>
      <c r="CZ185" s="88"/>
      <c r="DA185" s="88"/>
      <c r="DC185"/>
      <c r="DD185"/>
      <c r="DE185"/>
      <c r="DF185"/>
      <c r="DG185"/>
      <c r="DI185"/>
      <c r="DJ185"/>
      <c r="DK185"/>
      <c r="DL185"/>
      <c r="DM185"/>
    </row>
    <row r="186" spans="2:118" x14ac:dyDescent="0.35">
      <c r="F186"/>
      <c r="G186" s="64"/>
      <c r="H186" s="64"/>
      <c r="I186" s="64"/>
      <c r="J186" s="64"/>
      <c r="L186"/>
      <c r="M186" s="68"/>
      <c r="N186" s="68"/>
      <c r="Q186" s="125"/>
      <c r="R186" s="125"/>
      <c r="S186" s="125"/>
      <c r="T186" s="125"/>
      <c r="U186" s="125"/>
      <c r="AC186" s="64"/>
      <c r="AD186" s="64"/>
      <c r="AE186" s="64"/>
      <c r="AF186" s="64"/>
      <c r="AG186" s="64"/>
      <c r="BM186" s="88"/>
      <c r="BN186" s="88"/>
      <c r="BO186" s="88"/>
      <c r="BP186" s="88"/>
      <c r="BQ186" s="88"/>
      <c r="BS186" s="153"/>
      <c r="BT186" s="153"/>
      <c r="BU186" s="153"/>
      <c r="BV186" s="153"/>
      <c r="BW186" s="153"/>
      <c r="BY186" s="64"/>
      <c r="BZ186" s="64"/>
      <c r="CA186" s="64"/>
      <c r="CB186" s="64"/>
      <c r="CC186" s="64"/>
      <c r="CE186" s="68"/>
      <c r="CF186" s="68"/>
      <c r="CG186" s="68"/>
      <c r="CH186" s="68"/>
      <c r="CI186" s="68"/>
      <c r="CK186" s="92"/>
      <c r="CL186" s="92"/>
      <c r="CM186" s="92"/>
      <c r="CN186" s="92"/>
      <c r="CO186" s="92"/>
      <c r="CQ186" s="92"/>
      <c r="CR186" s="92"/>
      <c r="CS186" s="92"/>
      <c r="CT186" s="92"/>
      <c r="CU186" s="92"/>
      <c r="CW186" s="88"/>
      <c r="CX186" s="88"/>
      <c r="CY186" s="88"/>
      <c r="CZ186" s="88"/>
      <c r="DA186" s="88"/>
      <c r="DC186"/>
      <c r="DD186"/>
      <c r="DE186"/>
      <c r="DF186"/>
      <c r="DG186"/>
      <c r="DI186"/>
      <c r="DJ186"/>
      <c r="DK186"/>
      <c r="DL186"/>
      <c r="DM186"/>
    </row>
    <row r="187" spans="2:118" x14ac:dyDescent="0.35">
      <c r="E187" s="549" t="s">
        <v>206</v>
      </c>
      <c r="F187" s="549"/>
      <c r="G187" s="549"/>
      <c r="H187" s="549"/>
      <c r="I187" s="549"/>
      <c r="J187" s="549"/>
      <c r="K187" s="549" t="s">
        <v>160</v>
      </c>
      <c r="L187" s="549"/>
      <c r="M187" s="549"/>
      <c r="N187" s="549"/>
      <c r="O187" s="549"/>
      <c r="P187" s="549"/>
      <c r="Q187" s="549" t="s">
        <v>272</v>
      </c>
      <c r="R187" s="549"/>
      <c r="S187" s="549"/>
      <c r="T187" s="549"/>
      <c r="U187" s="549"/>
      <c r="V187" s="549"/>
      <c r="W187" s="548" t="s">
        <v>150</v>
      </c>
      <c r="X187" s="548"/>
      <c r="Y187" s="548"/>
      <c r="Z187" s="548"/>
      <c r="AA187" s="548"/>
      <c r="AB187" s="548"/>
      <c r="AC187" s="548" t="s">
        <v>711</v>
      </c>
      <c r="AD187" s="548"/>
      <c r="AE187" s="548"/>
      <c r="AF187" s="548"/>
      <c r="AG187" s="548"/>
      <c r="AH187" s="548"/>
      <c r="AI187" s="549" t="s">
        <v>273</v>
      </c>
      <c r="AJ187" s="549"/>
      <c r="AK187" s="549"/>
      <c r="AL187" s="549"/>
      <c r="AM187" s="549"/>
      <c r="AN187" s="549"/>
      <c r="AO187" s="549" t="s">
        <v>153</v>
      </c>
      <c r="AP187" s="549"/>
      <c r="AQ187" s="549"/>
      <c r="AR187" s="549"/>
      <c r="AS187" s="549"/>
      <c r="AT187" s="549"/>
      <c r="AU187" s="549" t="s">
        <v>203</v>
      </c>
      <c r="AV187" s="549"/>
      <c r="AW187" s="549"/>
      <c r="AX187" s="549"/>
      <c r="AY187" s="549"/>
      <c r="AZ187" s="549"/>
      <c r="BA187" s="549" t="s">
        <v>204</v>
      </c>
      <c r="BB187" s="549"/>
      <c r="BC187" s="549"/>
      <c r="BD187" s="549"/>
      <c r="BE187" s="549"/>
      <c r="BF187" s="549"/>
      <c r="BG187" s="549" t="s">
        <v>157</v>
      </c>
      <c r="BH187" s="549"/>
      <c r="BI187" s="549"/>
      <c r="BJ187" s="549"/>
      <c r="BK187" s="549"/>
      <c r="BL187" s="549"/>
      <c r="BM187" s="549" t="s">
        <v>724</v>
      </c>
      <c r="BN187" s="549"/>
      <c r="BO187" s="549"/>
      <c r="BP187" s="549"/>
      <c r="BQ187" s="549"/>
      <c r="BR187" s="549"/>
      <c r="BS187" s="549" t="s">
        <v>205</v>
      </c>
      <c r="BT187" s="549"/>
      <c r="BU187" s="549"/>
      <c r="BV187" s="549"/>
      <c r="BW187" s="549"/>
      <c r="BX187" s="549"/>
      <c r="BY187" s="548" t="s">
        <v>380</v>
      </c>
      <c r="BZ187" s="548"/>
      <c r="CA187" s="548"/>
      <c r="CB187" s="548"/>
      <c r="CC187" s="548"/>
      <c r="CD187" s="548"/>
      <c r="CE187" s="548" t="s">
        <v>381</v>
      </c>
      <c r="CF187" s="548"/>
      <c r="CG187" s="548"/>
      <c r="CH187" s="548"/>
      <c r="CI187" s="548"/>
      <c r="CJ187" s="548"/>
      <c r="CK187" s="549" t="s">
        <v>764</v>
      </c>
      <c r="CL187" s="549"/>
      <c r="CM187" s="549"/>
      <c r="CN187" s="549"/>
      <c r="CO187" s="549"/>
      <c r="CP187" s="549"/>
      <c r="CQ187" s="549" t="s">
        <v>207</v>
      </c>
      <c r="CR187" s="549"/>
      <c r="CS187" s="549"/>
      <c r="CT187" s="549"/>
      <c r="CU187" s="549"/>
      <c r="CV187" s="549"/>
      <c r="CW187" s="549" t="s">
        <v>208</v>
      </c>
      <c r="CX187" s="549"/>
      <c r="CY187" s="549"/>
      <c r="CZ187" s="549"/>
      <c r="DA187" s="549"/>
      <c r="DB187" s="549"/>
      <c r="DC187" s="549" t="s">
        <v>763</v>
      </c>
      <c r="DD187" s="549"/>
      <c r="DE187" s="549"/>
      <c r="DF187" s="549"/>
      <c r="DG187" s="549"/>
      <c r="DH187" s="549"/>
      <c r="DI187" s="549" t="s">
        <v>765</v>
      </c>
      <c r="DJ187" s="549"/>
      <c r="DK187" s="549"/>
      <c r="DL187" s="549"/>
      <c r="DM187" s="549"/>
      <c r="DN187" s="549"/>
    </row>
    <row r="188" spans="2:118" ht="14.5" customHeight="1" x14ac:dyDescent="0.35">
      <c r="E188" s="549" t="str">
        <f>UPPER(E187)</f>
        <v>RAW GAS TO H2S GUARD BEDS</v>
      </c>
      <c r="F188" s="549"/>
      <c r="G188" s="549"/>
      <c r="H188" s="549"/>
      <c r="I188" s="549"/>
      <c r="J188" s="549"/>
      <c r="K188" s="549" t="str">
        <f t="shared" ref="K188" si="250">UPPER(K187)</f>
        <v xml:space="preserve">RAW FEED TO LOW PRESSURE SEPARATOR </v>
      </c>
      <c r="L188" s="549"/>
      <c r="M188" s="549"/>
      <c r="N188" s="549"/>
      <c r="O188" s="549"/>
      <c r="P188" s="549"/>
      <c r="Q188" s="549" t="str">
        <f t="shared" ref="Q188" si="251">UPPER(Q187)</f>
        <v>SEPERATOR TO FEED GAS COMPRESSOR</v>
      </c>
      <c r="R188" s="549"/>
      <c r="S188" s="549"/>
      <c r="T188" s="549"/>
      <c r="U188" s="549"/>
      <c r="V188" s="549"/>
      <c r="W188" s="549" t="str">
        <f t="shared" ref="W188" si="252">UPPER(W187)</f>
        <v>FEED+RECYCLE TO COMPRESSOR</v>
      </c>
      <c r="X188" s="549"/>
      <c r="Y188" s="549"/>
      <c r="Z188" s="549"/>
      <c r="AA188" s="549"/>
      <c r="AB188" s="549"/>
      <c r="AC188" s="549" t="str">
        <f t="shared" ref="AC188" si="253">UPPER(AC187)</f>
        <v>COMPRESSOR DISCHARGE TO AFTERCOOLER</v>
      </c>
      <c r="AD188" s="549"/>
      <c r="AE188" s="549"/>
      <c r="AF188" s="549"/>
      <c r="AG188" s="549"/>
      <c r="AH188" s="549"/>
      <c r="AI188" s="549" t="str">
        <f t="shared" ref="AI188" si="254">UPPER(AI187)</f>
        <v>COMPRESSED GAS FROM AIR COOLER TO RE-HEATER</v>
      </c>
      <c r="AJ188" s="549"/>
      <c r="AK188" s="549"/>
      <c r="AL188" s="549"/>
      <c r="AM188" s="549"/>
      <c r="AN188" s="549"/>
      <c r="AO188" s="549" t="str">
        <f t="shared" ref="AO188" si="255">UPPER(AO187)</f>
        <v>COMPRESSED GAS TO CHILLER</v>
      </c>
      <c r="AP188" s="549"/>
      <c r="AQ188" s="549"/>
      <c r="AR188" s="549"/>
      <c r="AS188" s="549"/>
      <c r="AT188" s="549"/>
      <c r="AU188" s="549" t="str">
        <f t="shared" ref="AU188" si="256">UPPER(AU187)</f>
        <v>COOLED COMPRESSED GAS TO RE-HEATER</v>
      </c>
      <c r="AV188" s="549"/>
      <c r="AW188" s="549"/>
      <c r="AX188" s="549"/>
      <c r="AY188" s="549"/>
      <c r="AZ188" s="549"/>
      <c r="BA188" s="549" t="str">
        <f t="shared" ref="BA188" si="257">UPPER(BA187)</f>
        <v>RE-HEATED COMPRESSED GAS TO ACTIVATED CARBON FILTER</v>
      </c>
      <c r="BB188" s="549"/>
      <c r="BC188" s="549"/>
      <c r="BD188" s="549"/>
      <c r="BE188" s="549"/>
      <c r="BF188" s="549"/>
      <c r="BG188" s="549" t="str">
        <f t="shared" ref="BG188" si="258">UPPER(BG187)</f>
        <v>TO AL SKID</v>
      </c>
      <c r="BH188" s="549"/>
      <c r="BI188" s="549"/>
      <c r="BJ188" s="549"/>
      <c r="BK188" s="549"/>
      <c r="BL188" s="549"/>
      <c r="BM188" s="549" t="str">
        <f t="shared" ref="BM188" si="259">UPPER(BM187)</f>
        <v>WASTE GAS TO THERMAL OXIDIZER (EXISTING)</v>
      </c>
      <c r="BN188" s="549"/>
      <c r="BO188" s="549"/>
      <c r="BP188" s="549"/>
      <c r="BQ188" s="549"/>
      <c r="BR188" s="549"/>
      <c r="BS188" s="549" t="str">
        <f t="shared" ref="BS188" si="260">UPPER(BS187)</f>
        <v>RECYCLE GAS TO RECYCLE GAS COMPRESSOR</v>
      </c>
      <c r="BT188" s="549"/>
      <c r="BU188" s="549"/>
      <c r="BV188" s="549"/>
      <c r="BW188" s="549"/>
      <c r="BX188" s="549"/>
      <c r="BY188" s="549" t="str">
        <f t="shared" ref="BY188" si="261">UPPER(BY187)</f>
        <v>COMPRESSED RECYCLE GAS TO RECYCLE GAS AIR COOLED  AFTER COOLER</v>
      </c>
      <c r="BZ188" s="549"/>
      <c r="CA188" s="549"/>
      <c r="CB188" s="549"/>
      <c r="CC188" s="549"/>
      <c r="CD188" s="549"/>
      <c r="CE188" s="549" t="str">
        <f t="shared" ref="CE188" si="262">UPPER(CE187)</f>
        <v>COMPRESSED COOLED RECYCLE GAS TO FEED COMPRESSOR</v>
      </c>
      <c r="CF188" s="549"/>
      <c r="CG188" s="549"/>
      <c r="CH188" s="549"/>
      <c r="CI188" s="549"/>
      <c r="CJ188" s="549"/>
      <c r="CK188" s="549" t="str">
        <f t="shared" ref="CK188" si="263">UPPER(CK187)</f>
        <v>PRODUCT GAS TO PRODUCT GAS COMPRESSOR AND BOILERS</v>
      </c>
      <c r="CL188" s="549"/>
      <c r="CM188" s="549"/>
      <c r="CN188" s="549"/>
      <c r="CO188" s="549"/>
      <c r="CP188" s="549"/>
      <c r="CQ188" s="549" t="str">
        <f t="shared" ref="CQ188" si="264">UPPER(CQ187)</f>
        <v>COMPRESSED PRODUCT GAS TO AIR COOLED AFTERCOOLER</v>
      </c>
      <c r="CR188" s="549"/>
      <c r="CS188" s="549"/>
      <c r="CT188" s="549"/>
      <c r="CU188" s="549"/>
      <c r="CV188" s="549"/>
      <c r="CW188" s="549" t="str">
        <f t="shared" ref="CW188" si="265">UPPER(CW187)</f>
        <v>PRODUCT GAS TO CHILLED WATER COOLER</v>
      </c>
      <c r="CX188" s="549"/>
      <c r="CY188" s="549"/>
      <c r="CZ188" s="549"/>
      <c r="DA188" s="549"/>
      <c r="DB188" s="549"/>
      <c r="DC188" s="549" t="str">
        <f t="shared" ref="DC188" si="266">UPPER(DC187)</f>
        <v>PRODUCT GAS TO POLISHING VESSELS</v>
      </c>
      <c r="DD188" s="549"/>
      <c r="DE188" s="549"/>
      <c r="DF188" s="549"/>
      <c r="DG188" s="549"/>
      <c r="DH188" s="549"/>
      <c r="DI188" s="549" t="str">
        <f t="shared" ref="DI188" si="267">UPPER(DI187)</f>
        <v>COMPRESSED PRODUCT GAS TO B/L (PG&amp;E SKID)</v>
      </c>
      <c r="DJ188" s="549"/>
      <c r="DK188" s="549"/>
      <c r="DL188" s="549"/>
      <c r="DM188" s="549"/>
      <c r="DN188" s="549"/>
    </row>
    <row r="189" spans="2:118" x14ac:dyDescent="0.35">
      <c r="P189" s="64"/>
      <c r="Q189" s="64"/>
      <c r="R189" s="64"/>
      <c r="S189" s="64"/>
      <c r="T189"/>
      <c r="U189" s="125"/>
      <c r="V189" s="125"/>
      <c r="W189" s="125"/>
      <c r="X189" s="125"/>
      <c r="Y189" s="125"/>
      <c r="Z189"/>
      <c r="AB189" s="64"/>
      <c r="AC189" s="64"/>
      <c r="AD189" s="64"/>
      <c r="AE189" s="64"/>
      <c r="AF189"/>
      <c r="AG189" s="64"/>
      <c r="AH189" s="64"/>
      <c r="AL189"/>
      <c r="AN189" s="64"/>
      <c r="AR189"/>
      <c r="AT189" s="64"/>
      <c r="AX189"/>
      <c r="AZ189" s="64"/>
      <c r="BD189"/>
      <c r="BF189" s="64"/>
      <c r="BJ189"/>
      <c r="BL189" s="64"/>
      <c r="BP189"/>
      <c r="BQ189" s="88"/>
      <c r="BR189" s="88"/>
      <c r="BS189" s="88"/>
      <c r="BT189" s="88"/>
      <c r="BU189" s="88"/>
      <c r="BV189"/>
      <c r="BW189" s="153"/>
      <c r="BX189" s="153"/>
      <c r="BY189" s="153"/>
      <c r="BZ189" s="153"/>
      <c r="CA189" s="153"/>
      <c r="CB189"/>
      <c r="CC189" s="64"/>
      <c r="CD189" s="64"/>
      <c r="CE189" s="64"/>
      <c r="CF189" s="64"/>
      <c r="CG189" s="64"/>
      <c r="CH189"/>
      <c r="CI189" s="68"/>
      <c r="CJ189" s="68"/>
      <c r="CK189" s="68"/>
      <c r="CL189" s="68"/>
      <c r="CM189" s="68"/>
      <c r="CN189"/>
      <c r="CO189" s="92"/>
      <c r="CP189" s="92"/>
      <c r="CQ189" s="92"/>
      <c r="CR189" s="92"/>
      <c r="CS189" s="92"/>
      <c r="CT189"/>
      <c r="CU189" s="92"/>
      <c r="CV189" s="92"/>
      <c r="CZ189"/>
      <c r="DA189" s="88"/>
      <c r="DB189" s="88"/>
      <c r="DC189" s="88"/>
      <c r="DD189" s="88"/>
      <c r="DE189" s="88"/>
      <c r="DF189"/>
      <c r="DG189"/>
      <c r="DI189"/>
      <c r="DJ189"/>
      <c r="DK189"/>
      <c r="DL189"/>
      <c r="DM189"/>
    </row>
    <row r="190" spans="2:118" x14ac:dyDescent="0.35">
      <c r="P190" s="64"/>
      <c r="Q190" s="64"/>
      <c r="R190" s="64"/>
      <c r="S190" s="64"/>
      <c r="T190"/>
      <c r="U190" s="125"/>
      <c r="V190" s="125"/>
      <c r="W190" s="125"/>
      <c r="X190" s="125"/>
      <c r="Y190" s="125"/>
      <c r="Z190"/>
      <c r="AB190" s="64"/>
      <c r="AC190" s="64"/>
      <c r="AD190" s="64"/>
      <c r="AE190" s="64"/>
      <c r="AF190"/>
      <c r="AG190" s="64"/>
      <c r="AH190" s="64"/>
      <c r="AL190"/>
      <c r="AN190" s="64"/>
      <c r="AR190"/>
      <c r="AT190" s="64"/>
      <c r="AX190"/>
      <c r="AZ190" s="64"/>
      <c r="BD190"/>
      <c r="BF190" s="64"/>
      <c r="BJ190"/>
      <c r="BL190" s="64"/>
      <c r="BP190"/>
      <c r="BQ190" s="88"/>
      <c r="BR190" s="88"/>
      <c r="BS190" s="88"/>
      <c r="BT190" s="88"/>
      <c r="BU190" s="88"/>
      <c r="BV190"/>
      <c r="BW190" s="153"/>
      <c r="BX190" s="153"/>
      <c r="BY190" s="153"/>
      <c r="BZ190" s="153"/>
      <c r="CA190" s="153"/>
      <c r="CB190"/>
      <c r="CC190" s="64"/>
      <c r="CD190" s="64"/>
      <c r="CE190" s="64"/>
      <c r="CF190" s="64"/>
      <c r="CG190" s="64"/>
      <c r="CH190"/>
      <c r="CI190" s="68"/>
      <c r="CJ190" s="68"/>
      <c r="CK190" s="68"/>
      <c r="CL190" s="68"/>
      <c r="CM190" s="68"/>
      <c r="CN190"/>
      <c r="CO190" s="92"/>
      <c r="CP190" s="92"/>
      <c r="CQ190" s="92"/>
      <c r="CR190" s="92"/>
      <c r="CS190" s="92"/>
      <c r="CT190"/>
      <c r="CU190" s="92"/>
      <c r="CV190" s="92"/>
      <c r="CZ190"/>
      <c r="DA190" s="88"/>
      <c r="DB190" s="88"/>
      <c r="DC190" s="88"/>
      <c r="DD190" s="88"/>
      <c r="DE190" s="88"/>
      <c r="DF190"/>
      <c r="DG190"/>
      <c r="DI190"/>
      <c r="DJ190"/>
      <c r="DK190"/>
      <c r="DL190"/>
      <c r="DM190"/>
    </row>
  </sheetData>
  <mergeCells count="980">
    <mergeCell ref="DI187:DN187"/>
    <mergeCell ref="E188:J188"/>
    <mergeCell ref="K188:P188"/>
    <mergeCell ref="Q188:V188"/>
    <mergeCell ref="W188:AB188"/>
    <mergeCell ref="AC188:AH188"/>
    <mergeCell ref="AI188:AN188"/>
    <mergeCell ref="AO188:AT188"/>
    <mergeCell ref="AU188:AZ188"/>
    <mergeCell ref="BA188:BF188"/>
    <mergeCell ref="BG188:BL188"/>
    <mergeCell ref="BM188:BR188"/>
    <mergeCell ref="BS188:BX188"/>
    <mergeCell ref="BY188:CD188"/>
    <mergeCell ref="CE188:CJ188"/>
    <mergeCell ref="CK188:CP188"/>
    <mergeCell ref="CQ188:CV188"/>
    <mergeCell ref="CW188:DB188"/>
    <mergeCell ref="DC188:DH188"/>
    <mergeCell ref="DI188:DN188"/>
    <mergeCell ref="BG187:BL187"/>
    <mergeCell ref="BM187:BR187"/>
    <mergeCell ref="BS187:BX187"/>
    <mergeCell ref="BY187:CD187"/>
    <mergeCell ref="CE187:CJ187"/>
    <mergeCell ref="CK187:CP187"/>
    <mergeCell ref="CQ187:CV187"/>
    <mergeCell ref="CW187:DB187"/>
    <mergeCell ref="DC187:DH187"/>
    <mergeCell ref="E187:J187"/>
    <mergeCell ref="K187:P187"/>
    <mergeCell ref="Q187:V187"/>
    <mergeCell ref="W187:AB187"/>
    <mergeCell ref="AC187:AH187"/>
    <mergeCell ref="AI187:AN187"/>
    <mergeCell ref="AO187:AT187"/>
    <mergeCell ref="AU187:AZ187"/>
    <mergeCell ref="BA187:BF187"/>
    <mergeCell ref="DC64:DH64"/>
    <mergeCell ref="DC65:DH65"/>
    <mergeCell ref="DC45:DH45"/>
    <mergeCell ref="DC46:DH46"/>
    <mergeCell ref="DC47:DH47"/>
    <mergeCell ref="DC49:DH49"/>
    <mergeCell ref="DC50:DH50"/>
    <mergeCell ref="DC52:DH52"/>
    <mergeCell ref="DC60:DH60"/>
    <mergeCell ref="DC62:DH62"/>
    <mergeCell ref="DC63:DH63"/>
    <mergeCell ref="DC53:DH53"/>
    <mergeCell ref="DC54:DH54"/>
    <mergeCell ref="DC56:DH56"/>
    <mergeCell ref="DC57:DH57"/>
    <mergeCell ref="DC58:DH58"/>
    <mergeCell ref="DC59:DH59"/>
    <mergeCell ref="DC34:DH34"/>
    <mergeCell ref="DC35:DH35"/>
    <mergeCell ref="DC36:DH36"/>
    <mergeCell ref="DC38:DH38"/>
    <mergeCell ref="DC39:DH39"/>
    <mergeCell ref="DC40:DH40"/>
    <mergeCell ref="DC41:DH41"/>
    <mergeCell ref="DC43:DH43"/>
    <mergeCell ref="DC44:DH44"/>
    <mergeCell ref="CW62:DB62"/>
    <mergeCell ref="CW63:DB63"/>
    <mergeCell ref="CW64:DB64"/>
    <mergeCell ref="CW65:DB65"/>
    <mergeCell ref="DC2:DH2"/>
    <mergeCell ref="DC3:DH3"/>
    <mergeCell ref="DC4:DH4"/>
    <mergeCell ref="DC5:DH5"/>
    <mergeCell ref="DC6:DH6"/>
    <mergeCell ref="DC7:DH7"/>
    <mergeCell ref="DC8:DH8"/>
    <mergeCell ref="DC9:DH9"/>
    <mergeCell ref="DC10:DH10"/>
    <mergeCell ref="DC11:DH11"/>
    <mergeCell ref="DC12:DH12"/>
    <mergeCell ref="DC13:DH13"/>
    <mergeCell ref="DC14:DH14"/>
    <mergeCell ref="DC15:DH15"/>
    <mergeCell ref="DC16:DD16"/>
    <mergeCell ref="DC28:DH28"/>
    <mergeCell ref="DC29:DH29"/>
    <mergeCell ref="DC30:DH30"/>
    <mergeCell ref="DC31:DH31"/>
    <mergeCell ref="DC32:DH32"/>
    <mergeCell ref="CW43:DB43"/>
    <mergeCell ref="CW44:DB44"/>
    <mergeCell ref="CW45:DB45"/>
    <mergeCell ref="CW46:DB46"/>
    <mergeCell ref="CW47:DB47"/>
    <mergeCell ref="CW49:DB49"/>
    <mergeCell ref="CW50:DB50"/>
    <mergeCell ref="CW52:DB52"/>
    <mergeCell ref="CW60:DB60"/>
    <mergeCell ref="CW53:DB53"/>
    <mergeCell ref="CW54:DB54"/>
    <mergeCell ref="CW56:DB56"/>
    <mergeCell ref="CW57:DB57"/>
    <mergeCell ref="CW58:DB58"/>
    <mergeCell ref="CW59:DB59"/>
    <mergeCell ref="CW31:DB31"/>
    <mergeCell ref="CW32:DB32"/>
    <mergeCell ref="CW34:DB34"/>
    <mergeCell ref="CW35:DB35"/>
    <mergeCell ref="CW36:DB36"/>
    <mergeCell ref="CW38:DB38"/>
    <mergeCell ref="CW39:DB39"/>
    <mergeCell ref="CW40:DB40"/>
    <mergeCell ref="CW41:DB41"/>
    <mergeCell ref="CW11:DB11"/>
    <mergeCell ref="CW12:DB12"/>
    <mergeCell ref="CW13:DB13"/>
    <mergeCell ref="CW14:DB14"/>
    <mergeCell ref="CW15:DB15"/>
    <mergeCell ref="CW16:CX16"/>
    <mergeCell ref="CW28:DB28"/>
    <mergeCell ref="CW29:DB29"/>
    <mergeCell ref="CW30:DB30"/>
    <mergeCell ref="CW2:DB2"/>
    <mergeCell ref="CW3:DB3"/>
    <mergeCell ref="CW4:DB4"/>
    <mergeCell ref="CW5:DB5"/>
    <mergeCell ref="CW6:DB6"/>
    <mergeCell ref="CW7:DB7"/>
    <mergeCell ref="CW8:DB8"/>
    <mergeCell ref="CW9:DB9"/>
    <mergeCell ref="CW10:DB10"/>
    <mergeCell ref="Q49:V49"/>
    <mergeCell ref="Q50:V50"/>
    <mergeCell ref="Q52:V52"/>
    <mergeCell ref="Q60:V60"/>
    <mergeCell ref="Q62:V62"/>
    <mergeCell ref="Q63:V63"/>
    <mergeCell ref="Q64:V64"/>
    <mergeCell ref="Q65:V65"/>
    <mergeCell ref="Q13:V13"/>
    <mergeCell ref="Q14:V14"/>
    <mergeCell ref="Q15:V15"/>
    <mergeCell ref="Q16:S16"/>
    <mergeCell ref="Q28:V28"/>
    <mergeCell ref="Q29:V29"/>
    <mergeCell ref="Q30:V30"/>
    <mergeCell ref="Q31:V31"/>
    <mergeCell ref="Q32:V32"/>
    <mergeCell ref="Q45:V45"/>
    <mergeCell ref="Q46:V46"/>
    <mergeCell ref="Q47:V47"/>
    <mergeCell ref="Q34:V34"/>
    <mergeCell ref="Q35:V35"/>
    <mergeCell ref="Q36:V36"/>
    <mergeCell ref="Q38:V38"/>
    <mergeCell ref="CQ62:CV62"/>
    <mergeCell ref="CQ63:CV63"/>
    <mergeCell ref="CQ64:CV64"/>
    <mergeCell ref="CQ65:CV65"/>
    <mergeCell ref="AI16:AJ16"/>
    <mergeCell ref="AO16:AP16"/>
    <mergeCell ref="AU16:AV16"/>
    <mergeCell ref="BA16:BB16"/>
    <mergeCell ref="BG16:BH16"/>
    <mergeCell ref="CK16:CL16"/>
    <mergeCell ref="BS16:BT16"/>
    <mergeCell ref="BM16:BN16"/>
    <mergeCell ref="CQ16:CR16"/>
    <mergeCell ref="CQ43:CV43"/>
    <mergeCell ref="CQ44:CV44"/>
    <mergeCell ref="CQ45:CV45"/>
    <mergeCell ref="CQ46:CV46"/>
    <mergeCell ref="CQ47:CV47"/>
    <mergeCell ref="CQ49:CV49"/>
    <mergeCell ref="CQ50:CV50"/>
    <mergeCell ref="CQ52:CV52"/>
    <mergeCell ref="CQ60:CV60"/>
    <mergeCell ref="CQ31:CV31"/>
    <mergeCell ref="CQ32:CV32"/>
    <mergeCell ref="CQ34:CV34"/>
    <mergeCell ref="CQ35:CV35"/>
    <mergeCell ref="CQ36:CV36"/>
    <mergeCell ref="CQ38:CV38"/>
    <mergeCell ref="CQ39:CV39"/>
    <mergeCell ref="CQ40:CV40"/>
    <mergeCell ref="CQ41:CV41"/>
    <mergeCell ref="CQ11:CV11"/>
    <mergeCell ref="CQ12:CV12"/>
    <mergeCell ref="CQ13:CV13"/>
    <mergeCell ref="CQ14:CV14"/>
    <mergeCell ref="CQ15:CV15"/>
    <mergeCell ref="CQ28:CV28"/>
    <mergeCell ref="CQ29:CV29"/>
    <mergeCell ref="CQ30:CV30"/>
    <mergeCell ref="CQ2:CV2"/>
    <mergeCell ref="CQ3:CV3"/>
    <mergeCell ref="CQ4:CV4"/>
    <mergeCell ref="CQ5:CV5"/>
    <mergeCell ref="CQ6:CV6"/>
    <mergeCell ref="CQ7:CV7"/>
    <mergeCell ref="CQ8:CV8"/>
    <mergeCell ref="CQ9:CV9"/>
    <mergeCell ref="CQ10:CV10"/>
    <mergeCell ref="AC2:AH2"/>
    <mergeCell ref="AC3:AH3"/>
    <mergeCell ref="AC4:AH4"/>
    <mergeCell ref="AC5:AH5"/>
    <mergeCell ref="AC6:AH6"/>
    <mergeCell ref="AC7:AH7"/>
    <mergeCell ref="E2:J2"/>
    <mergeCell ref="K2:P2"/>
    <mergeCell ref="K3:P3"/>
    <mergeCell ref="W2:AB2"/>
    <mergeCell ref="W3:AB3"/>
    <mergeCell ref="W7:AB7"/>
    <mergeCell ref="Q7:V7"/>
    <mergeCell ref="K4:P4"/>
    <mergeCell ref="K5:P5"/>
    <mergeCell ref="K7:P7"/>
    <mergeCell ref="Q2:V2"/>
    <mergeCell ref="Q3:V3"/>
    <mergeCell ref="Q4:V4"/>
    <mergeCell ref="Q5:V5"/>
    <mergeCell ref="Q6:V6"/>
    <mergeCell ref="W4:AB4"/>
    <mergeCell ref="W5:AB5"/>
    <mergeCell ref="W6:AB6"/>
    <mergeCell ref="E13:J13"/>
    <mergeCell ref="E3:J3"/>
    <mergeCell ref="E8:J8"/>
    <mergeCell ref="E9:J9"/>
    <mergeCell ref="E7:J7"/>
    <mergeCell ref="E5:J5"/>
    <mergeCell ref="E4:J4"/>
    <mergeCell ref="E10:J10"/>
    <mergeCell ref="E11:J11"/>
    <mergeCell ref="E12:J12"/>
    <mergeCell ref="AC36:AH36"/>
    <mergeCell ref="AC38:AH38"/>
    <mergeCell ref="AC39:AH39"/>
    <mergeCell ref="Q40:V40"/>
    <mergeCell ref="Q41:V41"/>
    <mergeCell ref="Q43:V43"/>
    <mergeCell ref="Q44:V44"/>
    <mergeCell ref="C44:D44"/>
    <mergeCell ref="C47:D47"/>
    <mergeCell ref="E40:J40"/>
    <mergeCell ref="E41:J41"/>
    <mergeCell ref="E43:J43"/>
    <mergeCell ref="E45:J45"/>
    <mergeCell ref="E46:J46"/>
    <mergeCell ref="E47:J47"/>
    <mergeCell ref="E44:J44"/>
    <mergeCell ref="K41:P41"/>
    <mergeCell ref="K43:P43"/>
    <mergeCell ref="E39:J39"/>
    <mergeCell ref="K38:P38"/>
    <mergeCell ref="K39:P39"/>
    <mergeCell ref="E49:J49"/>
    <mergeCell ref="E50:J50"/>
    <mergeCell ref="E52:J52"/>
    <mergeCell ref="E60:J60"/>
    <mergeCell ref="K52:P52"/>
    <mergeCell ref="K60:P60"/>
    <mergeCell ref="K44:P44"/>
    <mergeCell ref="E38:J38"/>
    <mergeCell ref="K45:P45"/>
    <mergeCell ref="K46:P46"/>
    <mergeCell ref="K47:P47"/>
    <mergeCell ref="K49:P49"/>
    <mergeCell ref="K50:P50"/>
    <mergeCell ref="E53:J53"/>
    <mergeCell ref="E54:J54"/>
    <mergeCell ref="E56:J56"/>
    <mergeCell ref="E57:J57"/>
    <mergeCell ref="E58:J58"/>
    <mergeCell ref="E59:J59"/>
    <mergeCell ref="K30:P30"/>
    <mergeCell ref="K31:P31"/>
    <mergeCell ref="K32:P32"/>
    <mergeCell ref="K34:P34"/>
    <mergeCell ref="K35:P35"/>
    <mergeCell ref="K36:P36"/>
    <mergeCell ref="E28:J28"/>
    <mergeCell ref="E29:J29"/>
    <mergeCell ref="E30:J30"/>
    <mergeCell ref="E31:J31"/>
    <mergeCell ref="E32:J32"/>
    <mergeCell ref="E34:J34"/>
    <mergeCell ref="E35:J35"/>
    <mergeCell ref="E36:J36"/>
    <mergeCell ref="K28:P28"/>
    <mergeCell ref="K29:P29"/>
    <mergeCell ref="AC8:AH8"/>
    <mergeCell ref="AC9:AH9"/>
    <mergeCell ref="E14:J14"/>
    <mergeCell ref="E6:J6"/>
    <mergeCell ref="K6:P6"/>
    <mergeCell ref="E15:J15"/>
    <mergeCell ref="K14:P14"/>
    <mergeCell ref="K15:P15"/>
    <mergeCell ref="K40:P40"/>
    <mergeCell ref="K13:P13"/>
    <mergeCell ref="W30:AB30"/>
    <mergeCell ref="W31:AB31"/>
    <mergeCell ref="W32:AB32"/>
    <mergeCell ref="W34:AB34"/>
    <mergeCell ref="W35:AB35"/>
    <mergeCell ref="W36:AB36"/>
    <mergeCell ref="W38:AB38"/>
    <mergeCell ref="W39:AB39"/>
    <mergeCell ref="Q39:V39"/>
    <mergeCell ref="AC30:AH30"/>
    <mergeCell ref="AC31:AH31"/>
    <mergeCell ref="AC32:AH32"/>
    <mergeCell ref="AC34:AH34"/>
    <mergeCell ref="AC35:AH35"/>
    <mergeCell ref="W29:AB29"/>
    <mergeCell ref="Q8:V8"/>
    <mergeCell ref="Q9:V9"/>
    <mergeCell ref="Q10:V10"/>
    <mergeCell ref="Q11:V11"/>
    <mergeCell ref="Q12:V12"/>
    <mergeCell ref="K8:P8"/>
    <mergeCell ref="K9:P9"/>
    <mergeCell ref="K10:P10"/>
    <mergeCell ref="K11:P11"/>
    <mergeCell ref="K12:P12"/>
    <mergeCell ref="W8:AB8"/>
    <mergeCell ref="W9:AB9"/>
    <mergeCell ref="W10:AB10"/>
    <mergeCell ref="W11:AB11"/>
    <mergeCell ref="W12:AB12"/>
    <mergeCell ref="W13:AB13"/>
    <mergeCell ref="W14:AB14"/>
    <mergeCell ref="W15:AB15"/>
    <mergeCell ref="W28:AB28"/>
    <mergeCell ref="K16:M16"/>
    <mergeCell ref="W16:Y16"/>
    <mergeCell ref="W52:AB52"/>
    <mergeCell ref="W60:AB60"/>
    <mergeCell ref="W62:AB62"/>
    <mergeCell ref="W63:AB63"/>
    <mergeCell ref="W64:AB64"/>
    <mergeCell ref="W65:AB65"/>
    <mergeCell ref="W40:AB40"/>
    <mergeCell ref="W41:AB41"/>
    <mergeCell ref="W43:AB43"/>
    <mergeCell ref="W44:AB44"/>
    <mergeCell ref="W45:AB45"/>
    <mergeCell ref="W46:AB46"/>
    <mergeCell ref="W47:AB47"/>
    <mergeCell ref="W49:AB49"/>
    <mergeCell ref="W50:AB50"/>
    <mergeCell ref="W53:AB53"/>
    <mergeCell ref="W54:AB54"/>
    <mergeCell ref="W56:AB56"/>
    <mergeCell ref="W57:AB57"/>
    <mergeCell ref="W58:AB58"/>
    <mergeCell ref="W59:AB59"/>
    <mergeCell ref="AI2:AN2"/>
    <mergeCell ref="AI3:AN3"/>
    <mergeCell ref="AI4:AN4"/>
    <mergeCell ref="AI5:AN5"/>
    <mergeCell ref="AI6:AN6"/>
    <mergeCell ref="AI7:AN7"/>
    <mergeCell ref="AI8:AN8"/>
    <mergeCell ref="AI9:AN9"/>
    <mergeCell ref="AI10:AN10"/>
    <mergeCell ref="AI11:AN11"/>
    <mergeCell ref="AI12:AN12"/>
    <mergeCell ref="AI13:AN13"/>
    <mergeCell ref="AI14:AN14"/>
    <mergeCell ref="AI15:AN15"/>
    <mergeCell ref="AI28:AN28"/>
    <mergeCell ref="AI29:AN29"/>
    <mergeCell ref="AI30:AN30"/>
    <mergeCell ref="AI31:AN31"/>
    <mergeCell ref="AI32:AN32"/>
    <mergeCell ref="AI34:AN34"/>
    <mergeCell ref="AI35:AN35"/>
    <mergeCell ref="AI36:AN36"/>
    <mergeCell ref="AI38:AN38"/>
    <mergeCell ref="AI39:AN39"/>
    <mergeCell ref="AI40:AN40"/>
    <mergeCell ref="AI41:AN41"/>
    <mergeCell ref="AI43:AN43"/>
    <mergeCell ref="AI65:AN65"/>
    <mergeCell ref="AO2:AT2"/>
    <mergeCell ref="AO3:AT3"/>
    <mergeCell ref="AO4:AT4"/>
    <mergeCell ref="AO5:AT5"/>
    <mergeCell ref="AO6:AT6"/>
    <mergeCell ref="AO7:AT7"/>
    <mergeCell ref="AO8:AT8"/>
    <mergeCell ref="AO9:AT9"/>
    <mergeCell ref="AO10:AT10"/>
    <mergeCell ref="AO11:AT11"/>
    <mergeCell ref="AO12:AT12"/>
    <mergeCell ref="AO13:AT13"/>
    <mergeCell ref="AO14:AT14"/>
    <mergeCell ref="AO15:AT15"/>
    <mergeCell ref="AO28:AT28"/>
    <mergeCell ref="AO29:AT29"/>
    <mergeCell ref="AO30:AT30"/>
    <mergeCell ref="AO31:AT31"/>
    <mergeCell ref="AO32:AT32"/>
    <mergeCell ref="AO34:AT34"/>
    <mergeCell ref="AO35:AT35"/>
    <mergeCell ref="AI46:AN46"/>
    <mergeCell ref="AI47:AN47"/>
    <mergeCell ref="AO57:AT57"/>
    <mergeCell ref="AO58:AT58"/>
    <mergeCell ref="AO59:AT59"/>
    <mergeCell ref="AO47:AT47"/>
    <mergeCell ref="AO49:AT49"/>
    <mergeCell ref="AO50:AT50"/>
    <mergeCell ref="AO52:AT52"/>
    <mergeCell ref="AI63:AN63"/>
    <mergeCell ref="AI64:AN64"/>
    <mergeCell ref="AI49:AN49"/>
    <mergeCell ref="AI50:AN50"/>
    <mergeCell ref="AI52:AN52"/>
    <mergeCell ref="AI60:AN60"/>
    <mergeCell ref="AI62:AN62"/>
    <mergeCell ref="AI53:AN53"/>
    <mergeCell ref="AI54:AN54"/>
    <mergeCell ref="AI56:AN56"/>
    <mergeCell ref="AI57:AN57"/>
    <mergeCell ref="AI58:AN58"/>
    <mergeCell ref="AI59:AN59"/>
    <mergeCell ref="AO36:AT36"/>
    <mergeCell ref="AO38:AT38"/>
    <mergeCell ref="AO39:AT39"/>
    <mergeCell ref="AO40:AT40"/>
    <mergeCell ref="AO41:AT41"/>
    <mergeCell ref="AO43:AT43"/>
    <mergeCell ref="AO44:AT44"/>
    <mergeCell ref="AO45:AT45"/>
    <mergeCell ref="AO46:AT46"/>
    <mergeCell ref="AU13:AZ13"/>
    <mergeCell ref="AU14:AZ14"/>
    <mergeCell ref="AU15:AZ15"/>
    <mergeCell ref="AU28:AZ28"/>
    <mergeCell ref="AU29:AZ29"/>
    <mergeCell ref="AU30:AZ30"/>
    <mergeCell ref="AU31:AZ31"/>
    <mergeCell ref="AU2:AZ2"/>
    <mergeCell ref="AU3:AZ3"/>
    <mergeCell ref="AU4:AZ4"/>
    <mergeCell ref="AU5:AZ5"/>
    <mergeCell ref="AU6:AZ6"/>
    <mergeCell ref="AU7:AZ7"/>
    <mergeCell ref="AU8:AZ8"/>
    <mergeCell ref="AU9:AZ9"/>
    <mergeCell ref="AU10:AZ10"/>
    <mergeCell ref="AU46:AZ46"/>
    <mergeCell ref="AU47:AZ47"/>
    <mergeCell ref="AU49:AZ49"/>
    <mergeCell ref="AU50:AZ50"/>
    <mergeCell ref="AU52:AZ52"/>
    <mergeCell ref="AU32:AZ32"/>
    <mergeCell ref="AU34:AZ34"/>
    <mergeCell ref="AU35:AZ35"/>
    <mergeCell ref="AU36:AZ36"/>
    <mergeCell ref="AU38:AZ38"/>
    <mergeCell ref="AU39:AZ39"/>
    <mergeCell ref="AU40:AZ40"/>
    <mergeCell ref="AU41:AZ41"/>
    <mergeCell ref="AU43:AZ43"/>
    <mergeCell ref="AI44:AN44"/>
    <mergeCell ref="AI45:AN45"/>
    <mergeCell ref="BA2:BF2"/>
    <mergeCell ref="BA3:BF3"/>
    <mergeCell ref="BA4:BF4"/>
    <mergeCell ref="BA5:BF5"/>
    <mergeCell ref="BA6:BF6"/>
    <mergeCell ref="BA7:BF7"/>
    <mergeCell ref="BA8:BF8"/>
    <mergeCell ref="BA9:BF9"/>
    <mergeCell ref="BA10:BF10"/>
    <mergeCell ref="BA11:BF11"/>
    <mergeCell ref="BA12:BF12"/>
    <mergeCell ref="BA13:BF13"/>
    <mergeCell ref="BA14:BF14"/>
    <mergeCell ref="BA15:BF15"/>
    <mergeCell ref="BA28:BF28"/>
    <mergeCell ref="BA29:BF29"/>
    <mergeCell ref="BA30:BF30"/>
    <mergeCell ref="BA31:BF31"/>
    <mergeCell ref="AU44:AZ44"/>
    <mergeCell ref="AU45:AZ45"/>
    <mergeCell ref="AU11:AZ11"/>
    <mergeCell ref="AU12:AZ12"/>
    <mergeCell ref="BA52:BF52"/>
    <mergeCell ref="BA60:BF60"/>
    <mergeCell ref="BA62:BF62"/>
    <mergeCell ref="BA32:BF32"/>
    <mergeCell ref="BA34:BF34"/>
    <mergeCell ref="BA35:BF35"/>
    <mergeCell ref="BA36:BF36"/>
    <mergeCell ref="BA38:BF38"/>
    <mergeCell ref="BA39:BF39"/>
    <mergeCell ref="BA40:BF40"/>
    <mergeCell ref="BA41:BF41"/>
    <mergeCell ref="BA43:BF43"/>
    <mergeCell ref="BG32:BL32"/>
    <mergeCell ref="BG34:BL34"/>
    <mergeCell ref="BG35:BL35"/>
    <mergeCell ref="BA44:BF44"/>
    <mergeCell ref="BA45:BF45"/>
    <mergeCell ref="BA46:BF46"/>
    <mergeCell ref="BA47:BF47"/>
    <mergeCell ref="BA49:BF49"/>
    <mergeCell ref="BA50:BF50"/>
    <mergeCell ref="BG36:BL36"/>
    <mergeCell ref="BG38:BL38"/>
    <mergeCell ref="BG39:BL39"/>
    <mergeCell ref="BG40:BL40"/>
    <mergeCell ref="BG41:BL41"/>
    <mergeCell ref="BG43:BL43"/>
    <mergeCell ref="BG44:BL44"/>
    <mergeCell ref="BG45:BL45"/>
    <mergeCell ref="BG46:BL46"/>
    <mergeCell ref="BG47:BL47"/>
    <mergeCell ref="BG49:BL49"/>
    <mergeCell ref="BG50:BL50"/>
    <mergeCell ref="BG11:BL11"/>
    <mergeCell ref="BG12:BL12"/>
    <mergeCell ref="BG13:BL13"/>
    <mergeCell ref="BG14:BL14"/>
    <mergeCell ref="BG15:BL15"/>
    <mergeCell ref="BG28:BL28"/>
    <mergeCell ref="BG29:BL29"/>
    <mergeCell ref="BG30:BL30"/>
    <mergeCell ref="BG31:BL31"/>
    <mergeCell ref="BG2:BL2"/>
    <mergeCell ref="BG3:BL3"/>
    <mergeCell ref="BG4:BL4"/>
    <mergeCell ref="BG5:BL5"/>
    <mergeCell ref="BG6:BL6"/>
    <mergeCell ref="BG7:BL7"/>
    <mergeCell ref="BG8:BL8"/>
    <mergeCell ref="BG9:BL9"/>
    <mergeCell ref="BG10:BL10"/>
    <mergeCell ref="BG52:BL52"/>
    <mergeCell ref="BG60:BL60"/>
    <mergeCell ref="BG62:BL62"/>
    <mergeCell ref="BG63:BL63"/>
    <mergeCell ref="BG64:BL64"/>
    <mergeCell ref="BG65:BL65"/>
    <mergeCell ref="BG53:BL53"/>
    <mergeCell ref="BG54:BL54"/>
    <mergeCell ref="BG56:BL56"/>
    <mergeCell ref="BG57:BL57"/>
    <mergeCell ref="BG58:BL58"/>
    <mergeCell ref="BG59:BL59"/>
    <mergeCell ref="CK2:CP2"/>
    <mergeCell ref="CK3:CP3"/>
    <mergeCell ref="CK4:CP4"/>
    <mergeCell ref="CK5:CP5"/>
    <mergeCell ref="CK6:CP6"/>
    <mergeCell ref="CK7:CP7"/>
    <mergeCell ref="CK8:CP8"/>
    <mergeCell ref="CK9:CP9"/>
    <mergeCell ref="CK10:CP10"/>
    <mergeCell ref="CK11:CP11"/>
    <mergeCell ref="CK12:CP12"/>
    <mergeCell ref="CK13:CP13"/>
    <mergeCell ref="CK14:CP14"/>
    <mergeCell ref="CK15:CP15"/>
    <mergeCell ref="CK28:CP28"/>
    <mergeCell ref="CK29:CP29"/>
    <mergeCell ref="CK30:CP30"/>
    <mergeCell ref="CK31:CP31"/>
    <mergeCell ref="BS32:BX32"/>
    <mergeCell ref="BS34:BX34"/>
    <mergeCell ref="BS35:BX35"/>
    <mergeCell ref="CK52:CP52"/>
    <mergeCell ref="CK60:CP60"/>
    <mergeCell ref="CK62:CP62"/>
    <mergeCell ref="CK53:CP53"/>
    <mergeCell ref="CK54:CP54"/>
    <mergeCell ref="CK56:CP56"/>
    <mergeCell ref="CK57:CP57"/>
    <mergeCell ref="CK58:CP58"/>
    <mergeCell ref="CK59:CP59"/>
    <mergeCell ref="BS36:BX36"/>
    <mergeCell ref="BS38:BX38"/>
    <mergeCell ref="BS39:BX39"/>
    <mergeCell ref="BS40:BX40"/>
    <mergeCell ref="BS41:BX41"/>
    <mergeCell ref="BS43:BX43"/>
    <mergeCell ref="BS44:BX44"/>
    <mergeCell ref="BS45:BX45"/>
    <mergeCell ref="BS46:BX46"/>
    <mergeCell ref="BS47:BX47"/>
    <mergeCell ref="BS49:BX49"/>
    <mergeCell ref="BS50:BX50"/>
    <mergeCell ref="BS11:BX11"/>
    <mergeCell ref="BS12:BX12"/>
    <mergeCell ref="BS13:BX13"/>
    <mergeCell ref="BS14:BX14"/>
    <mergeCell ref="BS15:BX15"/>
    <mergeCell ref="BS28:BX28"/>
    <mergeCell ref="BS29:BX29"/>
    <mergeCell ref="BS30:BX30"/>
    <mergeCell ref="BS31:BX31"/>
    <mergeCell ref="BS2:BX2"/>
    <mergeCell ref="BS3:BX3"/>
    <mergeCell ref="BS4:BX4"/>
    <mergeCell ref="BS5:BX5"/>
    <mergeCell ref="BS6:BX6"/>
    <mergeCell ref="BS7:BX7"/>
    <mergeCell ref="BS8:BX8"/>
    <mergeCell ref="BS9:BX9"/>
    <mergeCell ref="BS10:BX10"/>
    <mergeCell ref="BS52:BX52"/>
    <mergeCell ref="BS60:BX60"/>
    <mergeCell ref="BS62:BX62"/>
    <mergeCell ref="BS63:BX63"/>
    <mergeCell ref="BS64:BX64"/>
    <mergeCell ref="BS65:BX65"/>
    <mergeCell ref="BS53:BX53"/>
    <mergeCell ref="BS54:BX54"/>
    <mergeCell ref="BS56:BX56"/>
    <mergeCell ref="BS57:BX57"/>
    <mergeCell ref="BS58:BX58"/>
    <mergeCell ref="BS59:BX59"/>
    <mergeCell ref="BM2:BR2"/>
    <mergeCell ref="BM3:BR3"/>
    <mergeCell ref="BM4:BR4"/>
    <mergeCell ref="BM5:BR5"/>
    <mergeCell ref="BM6:BR6"/>
    <mergeCell ref="BM7:BR7"/>
    <mergeCell ref="BM8:BR8"/>
    <mergeCell ref="BM9:BR9"/>
    <mergeCell ref="BM10:BR10"/>
    <mergeCell ref="BM11:BR11"/>
    <mergeCell ref="BM12:BR12"/>
    <mergeCell ref="BM13:BR13"/>
    <mergeCell ref="BM14:BR14"/>
    <mergeCell ref="BM15:BR15"/>
    <mergeCell ref="BM28:BR28"/>
    <mergeCell ref="BM29:BR29"/>
    <mergeCell ref="BM30:BR30"/>
    <mergeCell ref="BM31:BR31"/>
    <mergeCell ref="BM32:BR32"/>
    <mergeCell ref="BM34:BR34"/>
    <mergeCell ref="BM35:BR35"/>
    <mergeCell ref="BM36:BR36"/>
    <mergeCell ref="BM38:BR38"/>
    <mergeCell ref="BM39:BR39"/>
    <mergeCell ref="BM40:BR40"/>
    <mergeCell ref="BM41:BR41"/>
    <mergeCell ref="BM43:BR43"/>
    <mergeCell ref="BM44:BR44"/>
    <mergeCell ref="BM64:BR64"/>
    <mergeCell ref="BM65:BR65"/>
    <mergeCell ref="BM45:BR45"/>
    <mergeCell ref="BM46:BR46"/>
    <mergeCell ref="BM47:BR47"/>
    <mergeCell ref="BM49:BR49"/>
    <mergeCell ref="BM50:BR50"/>
    <mergeCell ref="BM52:BR52"/>
    <mergeCell ref="BM60:BR60"/>
    <mergeCell ref="BM62:BR62"/>
    <mergeCell ref="BM63:BR63"/>
    <mergeCell ref="BM53:BR53"/>
    <mergeCell ref="BM54:BR54"/>
    <mergeCell ref="BM56:BR56"/>
    <mergeCell ref="BM57:BR57"/>
    <mergeCell ref="BM58:BR58"/>
    <mergeCell ref="BM59:BR59"/>
    <mergeCell ref="BY2:CD2"/>
    <mergeCell ref="BY3:CD3"/>
    <mergeCell ref="BY4:CD4"/>
    <mergeCell ref="BY5:CD5"/>
    <mergeCell ref="BY6:CD6"/>
    <mergeCell ref="BY7:CD7"/>
    <mergeCell ref="BY8:CD8"/>
    <mergeCell ref="BY9:CD9"/>
    <mergeCell ref="BY10:CD10"/>
    <mergeCell ref="BY11:CD11"/>
    <mergeCell ref="BY12:CD12"/>
    <mergeCell ref="BY13:CD13"/>
    <mergeCell ref="BY14:CD14"/>
    <mergeCell ref="BY15:CD15"/>
    <mergeCell ref="BY16:BZ16"/>
    <mergeCell ref="BY28:CD28"/>
    <mergeCell ref="BY29:CD29"/>
    <mergeCell ref="BY30:CD30"/>
    <mergeCell ref="BY52:CD52"/>
    <mergeCell ref="BY60:CD60"/>
    <mergeCell ref="BY53:CD53"/>
    <mergeCell ref="BY54:CD54"/>
    <mergeCell ref="BY56:CD56"/>
    <mergeCell ref="BY57:CD57"/>
    <mergeCell ref="BY58:CD58"/>
    <mergeCell ref="BY59:CD59"/>
    <mergeCell ref="BY31:CD31"/>
    <mergeCell ref="BY32:CD32"/>
    <mergeCell ref="BY34:CD34"/>
    <mergeCell ref="BY35:CD35"/>
    <mergeCell ref="BY36:CD36"/>
    <mergeCell ref="BY38:CD38"/>
    <mergeCell ref="BY39:CD39"/>
    <mergeCell ref="BY40:CD40"/>
    <mergeCell ref="BY41:CD41"/>
    <mergeCell ref="DI31:DN31"/>
    <mergeCell ref="DI32:DN32"/>
    <mergeCell ref="BY43:CD43"/>
    <mergeCell ref="BY44:CD44"/>
    <mergeCell ref="BY45:CD45"/>
    <mergeCell ref="BY46:CD46"/>
    <mergeCell ref="BY47:CD47"/>
    <mergeCell ref="BY49:CD49"/>
    <mergeCell ref="BY50:CD50"/>
    <mergeCell ref="CK44:CP44"/>
    <mergeCell ref="CK45:CP45"/>
    <mergeCell ref="CK46:CP46"/>
    <mergeCell ref="CK47:CP47"/>
    <mergeCell ref="CK49:CP49"/>
    <mergeCell ref="CK50:CP50"/>
    <mergeCell ref="CK32:CP32"/>
    <mergeCell ref="CK34:CP34"/>
    <mergeCell ref="CK35:CP35"/>
    <mergeCell ref="CK36:CP36"/>
    <mergeCell ref="CK38:CP38"/>
    <mergeCell ref="CK39:CP39"/>
    <mergeCell ref="CK40:CP40"/>
    <mergeCell ref="CK41:CP41"/>
    <mergeCell ref="CK43:CP43"/>
    <mergeCell ref="DI11:DN11"/>
    <mergeCell ref="DI12:DN12"/>
    <mergeCell ref="DI13:DN13"/>
    <mergeCell ref="DI14:DN14"/>
    <mergeCell ref="DI15:DN15"/>
    <mergeCell ref="DI16:DJ16"/>
    <mergeCell ref="DI28:DN28"/>
    <mergeCell ref="DI29:DN29"/>
    <mergeCell ref="DI30:DN30"/>
    <mergeCell ref="DI2:DN2"/>
    <mergeCell ref="DI3:DN3"/>
    <mergeCell ref="DI4:DN4"/>
    <mergeCell ref="DI5:DN5"/>
    <mergeCell ref="DI6:DN6"/>
    <mergeCell ref="DI7:DN7"/>
    <mergeCell ref="DI8:DN8"/>
    <mergeCell ref="DI9:DN9"/>
    <mergeCell ref="DI10:DN10"/>
    <mergeCell ref="DI34:DN34"/>
    <mergeCell ref="DI35:DN35"/>
    <mergeCell ref="DI36:DN36"/>
    <mergeCell ref="DI38:DN38"/>
    <mergeCell ref="DI39:DN39"/>
    <mergeCell ref="DI40:DN40"/>
    <mergeCell ref="DI41:DN41"/>
    <mergeCell ref="DI43:DN43"/>
    <mergeCell ref="DI44:DN44"/>
    <mergeCell ref="DI64:DN64"/>
    <mergeCell ref="DI65:DN65"/>
    <mergeCell ref="DI45:DN45"/>
    <mergeCell ref="DI46:DN46"/>
    <mergeCell ref="DI47:DN47"/>
    <mergeCell ref="DI49:DN49"/>
    <mergeCell ref="DI50:DN50"/>
    <mergeCell ref="DI52:DN52"/>
    <mergeCell ref="DI60:DN60"/>
    <mergeCell ref="DI62:DN62"/>
    <mergeCell ref="DI63:DN63"/>
    <mergeCell ref="DI53:DN53"/>
    <mergeCell ref="DI54:DN54"/>
    <mergeCell ref="DI56:DN56"/>
    <mergeCell ref="DI57:DN57"/>
    <mergeCell ref="DI58:DN58"/>
    <mergeCell ref="DI59:DN59"/>
    <mergeCell ref="AC10:AH10"/>
    <mergeCell ref="AC11:AH11"/>
    <mergeCell ref="AC12:AH12"/>
    <mergeCell ref="AC13:AH13"/>
    <mergeCell ref="AC14:AH14"/>
    <mergeCell ref="AC15:AH15"/>
    <mergeCell ref="AC16:AE16"/>
    <mergeCell ref="AC28:AH28"/>
    <mergeCell ref="AC29:AH29"/>
    <mergeCell ref="AC52:AH52"/>
    <mergeCell ref="AC60:AH60"/>
    <mergeCell ref="AC62:AH62"/>
    <mergeCell ref="AC63:AH63"/>
    <mergeCell ref="AC64:AH64"/>
    <mergeCell ref="AC65:AH65"/>
    <mergeCell ref="AC40:AH40"/>
    <mergeCell ref="AC41:AH41"/>
    <mergeCell ref="AC43:AH43"/>
    <mergeCell ref="AC44:AH44"/>
    <mergeCell ref="AC45:AH45"/>
    <mergeCell ref="AC46:AH46"/>
    <mergeCell ref="AC47:AH47"/>
    <mergeCell ref="AC49:AH49"/>
    <mergeCell ref="AC50:AH50"/>
    <mergeCell ref="AC53:AH53"/>
    <mergeCell ref="AC54:AH54"/>
    <mergeCell ref="AC56:AH56"/>
    <mergeCell ref="AC57:AH57"/>
    <mergeCell ref="AC58:AH58"/>
    <mergeCell ref="AC59:AH59"/>
    <mergeCell ref="CE2:CJ2"/>
    <mergeCell ref="CE3:CJ3"/>
    <mergeCell ref="CE4:CJ4"/>
    <mergeCell ref="CE5:CJ5"/>
    <mergeCell ref="CE6:CJ6"/>
    <mergeCell ref="CE7:CJ7"/>
    <mergeCell ref="CE8:CJ8"/>
    <mergeCell ref="CE9:CJ9"/>
    <mergeCell ref="CE10:CJ10"/>
    <mergeCell ref="CE11:CJ11"/>
    <mergeCell ref="CE12:CJ12"/>
    <mergeCell ref="CE13:CJ13"/>
    <mergeCell ref="CE14:CJ14"/>
    <mergeCell ref="CE15:CJ15"/>
    <mergeCell ref="CE16:CF16"/>
    <mergeCell ref="CE28:CJ28"/>
    <mergeCell ref="CE29:CJ29"/>
    <mergeCell ref="CE30:CJ30"/>
    <mergeCell ref="CE31:CJ31"/>
    <mergeCell ref="CE32:CJ32"/>
    <mergeCell ref="CE34:CJ34"/>
    <mergeCell ref="CE35:CJ35"/>
    <mergeCell ref="CE36:CJ36"/>
    <mergeCell ref="CE38:CJ38"/>
    <mergeCell ref="CE39:CJ39"/>
    <mergeCell ref="CE40:CJ40"/>
    <mergeCell ref="CE41:CJ41"/>
    <mergeCell ref="CE43:CJ43"/>
    <mergeCell ref="CE44:CJ44"/>
    <mergeCell ref="CE45:CJ45"/>
    <mergeCell ref="CE46:CJ46"/>
    <mergeCell ref="CE47:CJ47"/>
    <mergeCell ref="CE49:CJ49"/>
    <mergeCell ref="CE50:CJ50"/>
    <mergeCell ref="CE52:CJ52"/>
    <mergeCell ref="CE60:CJ60"/>
    <mergeCell ref="CE53:CJ53"/>
    <mergeCell ref="CE54:CJ54"/>
    <mergeCell ref="CE56:CJ56"/>
    <mergeCell ref="CE57:CJ57"/>
    <mergeCell ref="CE58:CJ58"/>
    <mergeCell ref="CE59:CJ59"/>
    <mergeCell ref="Q53:V53"/>
    <mergeCell ref="Q54:V54"/>
    <mergeCell ref="Q56:V56"/>
    <mergeCell ref="Q57:V57"/>
    <mergeCell ref="Q58:V58"/>
    <mergeCell ref="Q59:V59"/>
    <mergeCell ref="Q67:V67"/>
    <mergeCell ref="CE62:CJ62"/>
    <mergeCell ref="CE63:CJ63"/>
    <mergeCell ref="CE64:CJ64"/>
    <mergeCell ref="CE65:CJ65"/>
    <mergeCell ref="BY62:CD62"/>
    <mergeCell ref="BY63:CD63"/>
    <mergeCell ref="BY64:CD64"/>
    <mergeCell ref="BY65:CD65"/>
    <mergeCell ref="BA63:BF63"/>
    <mergeCell ref="BA64:BF64"/>
    <mergeCell ref="BA65:BF65"/>
    <mergeCell ref="AU63:AZ63"/>
    <mergeCell ref="AU64:AZ64"/>
    <mergeCell ref="AU65:AZ65"/>
    <mergeCell ref="AU60:AZ60"/>
    <mergeCell ref="AU62:AZ62"/>
    <mergeCell ref="AO60:AT60"/>
    <mergeCell ref="E67:J67"/>
    <mergeCell ref="K67:P67"/>
    <mergeCell ref="K53:P53"/>
    <mergeCell ref="K54:P54"/>
    <mergeCell ref="K56:P56"/>
    <mergeCell ref="K57:P57"/>
    <mergeCell ref="K58:P58"/>
    <mergeCell ref="K59:P59"/>
    <mergeCell ref="E62:J62"/>
    <mergeCell ref="E64:J64"/>
    <mergeCell ref="E65:J65"/>
    <mergeCell ref="E63:J63"/>
    <mergeCell ref="K62:P62"/>
    <mergeCell ref="K63:P63"/>
    <mergeCell ref="K64:P64"/>
    <mergeCell ref="K65:P65"/>
    <mergeCell ref="AU53:AZ53"/>
    <mergeCell ref="AU54:AZ54"/>
    <mergeCell ref="AU56:AZ56"/>
    <mergeCell ref="AU57:AZ57"/>
    <mergeCell ref="AU58:AZ58"/>
    <mergeCell ref="AU59:AZ59"/>
    <mergeCell ref="BA53:BF53"/>
    <mergeCell ref="BA54:BF54"/>
    <mergeCell ref="BA56:BF56"/>
    <mergeCell ref="BA57:BF57"/>
    <mergeCell ref="BA58:BF58"/>
    <mergeCell ref="BA59:BF59"/>
    <mergeCell ref="W67:AB67"/>
    <mergeCell ref="AC67:AH67"/>
    <mergeCell ref="AI67:AN67"/>
    <mergeCell ref="AO67:AT67"/>
    <mergeCell ref="AU67:AZ67"/>
    <mergeCell ref="BA67:BF67"/>
    <mergeCell ref="BG67:BL67"/>
    <mergeCell ref="BM67:BR67"/>
    <mergeCell ref="CQ53:CV53"/>
    <mergeCell ref="CQ54:CV54"/>
    <mergeCell ref="CQ56:CV56"/>
    <mergeCell ref="CQ57:CV57"/>
    <mergeCell ref="CQ58:CV58"/>
    <mergeCell ref="CQ59:CV59"/>
    <mergeCell ref="CK63:CP63"/>
    <mergeCell ref="CK64:CP64"/>
    <mergeCell ref="CK65:CP65"/>
    <mergeCell ref="AO62:AT62"/>
    <mergeCell ref="AO63:AT63"/>
    <mergeCell ref="AO64:AT64"/>
    <mergeCell ref="AO65:AT65"/>
    <mergeCell ref="AO53:AT53"/>
    <mergeCell ref="AO54:AT54"/>
    <mergeCell ref="AO56:AT56"/>
    <mergeCell ref="CW68:DB68"/>
    <mergeCell ref="BS67:BX67"/>
    <mergeCell ref="BY67:CD67"/>
    <mergeCell ref="CE67:CJ67"/>
    <mergeCell ref="CK67:CP67"/>
    <mergeCell ref="CQ67:CV67"/>
    <mergeCell ref="CW67:DB67"/>
    <mergeCell ref="DC67:DH67"/>
    <mergeCell ref="DI67:DN67"/>
    <mergeCell ref="DO2:DT2"/>
    <mergeCell ref="DO3:DT3"/>
    <mergeCell ref="DO4:DT4"/>
    <mergeCell ref="DO5:DT5"/>
    <mergeCell ref="DO6:DT6"/>
    <mergeCell ref="DO7:DT7"/>
    <mergeCell ref="DO8:DT8"/>
    <mergeCell ref="DO9:DT9"/>
    <mergeCell ref="DO10:DT10"/>
    <mergeCell ref="DO11:DT11"/>
    <mergeCell ref="DO12:DT12"/>
    <mergeCell ref="DO13:DT13"/>
    <mergeCell ref="DO14:DT14"/>
    <mergeCell ref="DO15:DT15"/>
    <mergeCell ref="DO16:DP16"/>
    <mergeCell ref="DO28:DT28"/>
    <mergeCell ref="DO29:DT29"/>
    <mergeCell ref="DO30:DT30"/>
    <mergeCell ref="DO31:DT31"/>
    <mergeCell ref="DO32:DT32"/>
    <mergeCell ref="DO34:DT34"/>
    <mergeCell ref="DO35:DT35"/>
    <mergeCell ref="DO36:DT36"/>
    <mergeCell ref="DO38:DT38"/>
    <mergeCell ref="DO39:DT39"/>
    <mergeCell ref="DO40:DT40"/>
    <mergeCell ref="DO41:DT41"/>
    <mergeCell ref="DO43:DT43"/>
    <mergeCell ref="DO44:DT44"/>
    <mergeCell ref="DO45:DT45"/>
    <mergeCell ref="DO46:DT46"/>
    <mergeCell ref="DO47:DT47"/>
    <mergeCell ref="DO49:DT49"/>
    <mergeCell ref="DO50:DT50"/>
    <mergeCell ref="DO52:DT52"/>
    <mergeCell ref="DO53:DT53"/>
    <mergeCell ref="DO65:DT65"/>
    <mergeCell ref="DO67:DT67"/>
    <mergeCell ref="DO54:DT54"/>
    <mergeCell ref="DO56:DT56"/>
    <mergeCell ref="DO57:DT57"/>
    <mergeCell ref="DO58:DT58"/>
    <mergeCell ref="DO59:DT59"/>
    <mergeCell ref="DO60:DT60"/>
    <mergeCell ref="DO62:DT62"/>
    <mergeCell ref="DO63:DT63"/>
    <mergeCell ref="DO64:DT64"/>
  </mergeCells>
  <phoneticPr fontId="8" type="noConversion"/>
  <dataValidations count="3">
    <dataValidation type="list" allowBlank="1" sqref="E156 K156 CW157 Q156 AC156 AI156 AU156 BG156 BS156 CE156 CQ156 DC156 W156 AO156 BA156 BM156 BY156 CK156 DI156 DO156" xr:uid="{D9B1902B-8350-4DC1-95CD-761813C77CA1}">
      <formula1>$H$154:$H$158</formula1>
    </dataValidation>
    <dataValidation type="list" allowBlank="1" showInputMessage="1" showErrorMessage="1" sqref="E62:DT62" xr:uid="{A1E07543-7115-4782-ABF7-E85332432767}">
      <formula1>Fluid</formula1>
    </dataValidation>
    <dataValidation type="list" allowBlank="1" showInputMessage="1" showErrorMessage="1" sqref="E63:DT63" xr:uid="{8AB40484-0C0D-4FBB-A80B-D415A96ACA60}">
      <formula1>INDIRECT(E62)</formula1>
    </dataValidation>
  </dataValidations>
  <pageMargins left="0.7" right="0.7" top="0.75" bottom="0.75" header="0.3" footer="0.3"/>
  <pageSetup paperSize="8" scale="10" fitToHeight="3" orientation="portrait" horizontalDpi="4294967293" verticalDpi="1200" r:id="rId1"/>
  <headerFooter>
    <oddHeader>&amp;LBIOGAS ENGINEERING&amp;CDIGESTER GAS UPGRADING FACILITY&amp;R&amp;D</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169AA69-6999-4E55-8108-166FF3B41106}">
          <x14:formula1>
            <xm:f>Sheet1!$C$2:$C$6</xm:f>
          </x14:formula1>
          <xm:sqref>F17 L17 X17 AJ17 AP17 AV17 BB17 BH17 CL17 BT17 BN17 CR17 R17 BZ17 DJ17 CX17 DD17 AD17 CF17 DP17</xm:sqref>
        </x14:dataValidation>
        <x14:dataValidation type="list" allowBlank="1" showInputMessage="1" showErrorMessage="1" xr:uid="{44D7944D-7879-4E35-AD00-52FA9EF83B67}">
          <x14:formula1>
            <xm:f>'Calculation Basis'!$F$4:$F$47</xm:f>
          </x14:formula1>
          <xm:sqref>E28:DT28</xm:sqref>
        </x14:dataValidation>
        <x14:dataValidation type="list" allowBlank="1" showInputMessage="1" showErrorMessage="1" xr:uid="{0E2D305E-D553-4565-809E-2A2A24A5DE93}">
          <x14:formula1>
            <xm:f>'Calculation Basis'!$G$3:$T$3</xm:f>
          </x14:formula1>
          <xm:sqref>E29:DT29</xm:sqref>
        </x14:dataValidation>
        <x14:dataValidation type="list" allowBlank="1" showInputMessage="1" showErrorMessage="1" xr:uid="{71950E1B-1EA2-4213-A7BA-16263B00F7C4}">
          <x14:formula1>
            <xm:f>'Calculation Basis'!$X$4:$X$9</xm:f>
          </x14:formula1>
          <xm:sqref>E31:DT31</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3A76F-9EBD-417C-8052-96A59EEA2066}">
  <sheetPr>
    <pageSetUpPr fitToPage="1"/>
  </sheetPr>
  <dimension ref="A1:P95"/>
  <sheetViews>
    <sheetView topLeftCell="A25" zoomScale="85" zoomScaleNormal="85" workbookViewId="0">
      <selection activeCell="A86" sqref="A86:J86"/>
    </sheetView>
  </sheetViews>
  <sheetFormatPr defaultColWidth="8.54296875" defaultRowHeight="13" x14ac:dyDescent="0.3"/>
  <cols>
    <col min="1" max="1" width="3.453125" style="152" customWidth="1"/>
    <col min="2" max="2" width="35" style="104" customWidth="1"/>
    <col min="3" max="3" width="9.54296875" style="104" customWidth="1"/>
    <col min="4" max="4" width="9.81640625" style="104" bestFit="1" customWidth="1"/>
    <col min="5" max="5" width="10.1796875" style="104" customWidth="1"/>
    <col min="6" max="6" width="11.54296875" style="104" customWidth="1"/>
    <col min="7" max="7" width="10.54296875" style="104" customWidth="1"/>
    <col min="8" max="8" width="8.54296875" style="104" bestFit="1" customWidth="1"/>
    <col min="9" max="9" width="6.81640625" style="104" bestFit="1" customWidth="1"/>
    <col min="10" max="10" width="7.453125" style="104" customWidth="1"/>
    <col min="11" max="11" width="5" style="245" customWidth="1"/>
    <col min="12" max="12" width="8.54296875" style="104"/>
    <col min="13" max="13" width="19.453125" style="104" bestFit="1" customWidth="1"/>
    <col min="14" max="14" width="8.54296875" style="104"/>
    <col min="15" max="16" width="28.1796875" style="104" customWidth="1"/>
    <col min="17" max="16384" width="8.54296875" style="104"/>
  </cols>
  <sheetData>
    <row r="1" spans="1:16" ht="13.5" thickBot="1" x14ac:dyDescent="0.35">
      <c r="A1" s="707" t="s">
        <v>224</v>
      </c>
      <c r="B1" s="708"/>
      <c r="C1" s="708"/>
      <c r="D1" s="708"/>
      <c r="E1" s="708"/>
      <c r="F1" s="708"/>
      <c r="G1" s="708"/>
      <c r="H1" s="708"/>
      <c r="I1" s="708"/>
      <c r="J1" s="708"/>
      <c r="K1" s="709"/>
    </row>
    <row r="2" spans="1:16" ht="14.5" customHeight="1" x14ac:dyDescent="0.3">
      <c r="A2" s="731"/>
      <c r="B2" s="732"/>
      <c r="C2" s="354" t="s">
        <v>219</v>
      </c>
      <c r="D2" s="737" t="s">
        <v>524</v>
      </c>
      <c r="E2" s="737"/>
      <c r="F2" s="737"/>
      <c r="G2" s="737"/>
      <c r="H2" s="738" t="s">
        <v>958</v>
      </c>
      <c r="I2" s="738"/>
      <c r="J2" s="738"/>
      <c r="K2" s="739"/>
    </row>
    <row r="3" spans="1:16" ht="14.5" customHeight="1" x14ac:dyDescent="0.3">
      <c r="A3" s="733"/>
      <c r="B3" s="734"/>
      <c r="C3" s="352" t="s">
        <v>210</v>
      </c>
      <c r="D3" s="602" t="s">
        <v>332</v>
      </c>
      <c r="E3" s="602"/>
      <c r="F3" s="602"/>
      <c r="G3" s="602"/>
      <c r="H3" s="593" t="s">
        <v>223</v>
      </c>
      <c r="I3" s="593"/>
      <c r="J3" s="593"/>
      <c r="K3" s="740"/>
    </row>
    <row r="4" spans="1:16" ht="14.5" customHeight="1" x14ac:dyDescent="0.3">
      <c r="A4" s="733"/>
      <c r="B4" s="734"/>
      <c r="C4" s="352" t="s">
        <v>212</v>
      </c>
      <c r="D4" s="602" t="s">
        <v>525</v>
      </c>
      <c r="E4" s="602"/>
      <c r="F4" s="602"/>
      <c r="G4" s="602"/>
      <c r="H4" s="105" t="s">
        <v>231</v>
      </c>
      <c r="I4" s="105" t="s">
        <v>229</v>
      </c>
      <c r="J4" s="105" t="s">
        <v>230</v>
      </c>
      <c r="K4" s="111" t="s">
        <v>235</v>
      </c>
    </row>
    <row r="5" spans="1:16" ht="15" customHeight="1" thickBot="1" x14ac:dyDescent="0.35">
      <c r="A5" s="735"/>
      <c r="B5" s="736"/>
      <c r="C5" s="355" t="s">
        <v>526</v>
      </c>
      <c r="D5" s="741" t="s">
        <v>228</v>
      </c>
      <c r="E5" s="741"/>
      <c r="F5" s="741"/>
      <c r="G5" s="741"/>
      <c r="H5" s="102" t="s">
        <v>232</v>
      </c>
      <c r="I5" s="102" t="s">
        <v>234</v>
      </c>
      <c r="J5" s="102" t="s">
        <v>233</v>
      </c>
      <c r="K5" s="103" t="s">
        <v>46</v>
      </c>
    </row>
    <row r="6" spans="1:16" ht="8.15" customHeight="1" thickBot="1" x14ac:dyDescent="0.35">
      <c r="A6" s="742"/>
      <c r="B6" s="743"/>
      <c r="C6" s="743"/>
      <c r="D6" s="743"/>
      <c r="E6" s="743"/>
      <c r="F6" s="743"/>
      <c r="G6" s="743"/>
      <c r="H6" s="743"/>
      <c r="I6" s="743"/>
      <c r="J6" s="743"/>
      <c r="K6" s="744"/>
    </row>
    <row r="7" spans="1:16" ht="13.5" thickBot="1" x14ac:dyDescent="0.35">
      <c r="A7" s="707" t="s">
        <v>236</v>
      </c>
      <c r="B7" s="708"/>
      <c r="C7" s="708"/>
      <c r="D7" s="708"/>
      <c r="E7" s="708"/>
      <c r="F7" s="708"/>
      <c r="G7" s="708"/>
      <c r="H7" s="708"/>
      <c r="I7" s="708"/>
      <c r="J7" s="709"/>
      <c r="K7" s="228" t="s">
        <v>235</v>
      </c>
      <c r="M7" s="104" t="s">
        <v>6</v>
      </c>
      <c r="O7" s="137">
        <v>1</v>
      </c>
      <c r="P7" s="137">
        <v>2</v>
      </c>
    </row>
    <row r="8" spans="1:16" x14ac:dyDescent="0.3">
      <c r="A8" s="151">
        <v>1</v>
      </c>
      <c r="B8" s="358" t="s">
        <v>277</v>
      </c>
      <c r="C8" s="775" t="s">
        <v>725</v>
      </c>
      <c r="D8" s="775"/>
      <c r="E8" s="775"/>
      <c r="F8" s="775"/>
      <c r="G8" s="775"/>
      <c r="H8" s="775"/>
      <c r="I8" s="775"/>
      <c r="J8" s="776"/>
      <c r="K8" s="230"/>
      <c r="M8" s="104" t="s">
        <v>14</v>
      </c>
      <c r="O8" s="104" t="str">
        <f>HLOOKUP(O7,'Property Calc_Design Flow'!$E$2:$ED$3,2,FALSE)</f>
        <v>RAW GAS TO H2S GUARD BEDS</v>
      </c>
      <c r="P8" s="104" t="str">
        <f>HLOOKUP(P7,'Property Calc_Design Flow'!$E$2:$ED$3,2,FALSE)</f>
        <v xml:space="preserve">RAW FEED TO LOW PRESSURE SEPARATOR </v>
      </c>
    </row>
    <row r="9" spans="1:16" ht="14.5" x14ac:dyDescent="0.35">
      <c r="A9" s="148">
        <f>A8+1</f>
        <v>2</v>
      </c>
      <c r="B9" s="352" t="s">
        <v>275</v>
      </c>
      <c r="C9" s="602" t="s">
        <v>849</v>
      </c>
      <c r="D9" s="602"/>
      <c r="E9" s="602"/>
      <c r="F9" s="602"/>
      <c r="G9" s="602"/>
      <c r="H9" s="602"/>
      <c r="I9" s="602"/>
      <c r="J9" s="749"/>
      <c r="K9" s="108"/>
      <c r="M9" s="19" t="s">
        <v>1</v>
      </c>
      <c r="N9" s="347" t="s">
        <v>5</v>
      </c>
      <c r="O9" s="347">
        <f>HLOOKUP(O$8,'Property Calc_Design Flow'!$E$3:$EJ$25,MATCH(M9,'Property Calc_Design Flow'!$C$3:$C$24,0),FALSE)</f>
        <v>65</v>
      </c>
      <c r="P9" s="347">
        <f>HLOOKUP(P$8,'Property Calc_Design Flow'!$E$3:$EJ$25,MATCH(M9,'Property Calc_Design Flow'!$C$3:$C$24,0),FALSE)</f>
        <v>63</v>
      </c>
    </row>
    <row r="10" spans="1:16" ht="14.5" x14ac:dyDescent="0.35">
      <c r="A10" s="149">
        <f>A9+1</f>
        <v>3</v>
      </c>
      <c r="B10" s="361" t="s">
        <v>279</v>
      </c>
      <c r="C10" s="602" t="s">
        <v>280</v>
      </c>
      <c r="D10" s="602"/>
      <c r="E10" s="602"/>
      <c r="F10" s="602"/>
      <c r="G10" s="602"/>
      <c r="H10" s="602"/>
      <c r="I10" s="602"/>
      <c r="J10" s="749"/>
      <c r="K10" s="108"/>
      <c r="M10" s="19" t="s">
        <v>0</v>
      </c>
      <c r="N10" s="347" t="s">
        <v>4</v>
      </c>
      <c r="O10" s="347">
        <f>HLOOKUP(O$8,'Property Calc_Design Flow'!$E$3:$EJ$25,MATCH(M10,'Property Calc_Design Flow'!$C$3:$C$24,0),FALSE)</f>
        <v>70</v>
      </c>
      <c r="P10" s="347">
        <f>HLOOKUP(P$8,'Property Calc_Design Flow'!$E$3:$EJ$25,MATCH(M10,'Property Calc_Design Flow'!$C$3:$C$24,0),FALSE)</f>
        <v>70</v>
      </c>
    </row>
    <row r="11" spans="1:16" ht="14.5" x14ac:dyDescent="0.35">
      <c r="A11" s="148">
        <f>A10+1</f>
        <v>4</v>
      </c>
      <c r="B11" s="352" t="s">
        <v>225</v>
      </c>
      <c r="C11" s="602" t="s">
        <v>726</v>
      </c>
      <c r="D11" s="602"/>
      <c r="E11" s="602"/>
      <c r="F11" s="602"/>
      <c r="G11" s="602"/>
      <c r="H11" s="602"/>
      <c r="I11" s="602"/>
      <c r="J11" s="749"/>
      <c r="K11" s="247"/>
      <c r="M11" s="19" t="s">
        <v>26</v>
      </c>
      <c r="N11" s="347" t="s">
        <v>27</v>
      </c>
      <c r="O11" s="347">
        <f>HLOOKUP(O$8,'Property Calc_Design Flow'!$E$3:$EJ$25,MATCH(M11,'Property Calc_Design Flow'!$C$3:$C$24,0),FALSE)</f>
        <v>2300.2759999999994</v>
      </c>
      <c r="P11" s="347">
        <f>HLOOKUP(P$8,'Property Calc_Design Flow'!$E$3:$EJ$25,MATCH(M11,'Property Calc_Design Flow'!$C$3:$C$24,0),FALSE)</f>
        <v>2300.1702011039997</v>
      </c>
    </row>
    <row r="12" spans="1:16" ht="15" thickBot="1" x14ac:dyDescent="0.4">
      <c r="A12" s="231">
        <f>A11+1</f>
        <v>5</v>
      </c>
      <c r="B12" s="232" t="s">
        <v>392</v>
      </c>
      <c r="C12" s="233" t="s">
        <v>393</v>
      </c>
      <c r="D12" s="234"/>
      <c r="E12" s="235"/>
      <c r="F12" s="234" t="s">
        <v>394</v>
      </c>
      <c r="G12" s="234"/>
      <c r="H12" s="236" t="s">
        <v>395</v>
      </c>
      <c r="I12" s="234"/>
      <c r="J12" s="237"/>
      <c r="K12" s="248"/>
      <c r="M12" s="19"/>
      <c r="N12" s="347"/>
      <c r="O12" s="347"/>
      <c r="P12" s="347"/>
    </row>
    <row r="13" spans="1:16" ht="15" thickBot="1" x14ac:dyDescent="0.4">
      <c r="A13" s="707" t="s">
        <v>850</v>
      </c>
      <c r="B13" s="708"/>
      <c r="C13" s="708"/>
      <c r="D13" s="708"/>
      <c r="E13" s="708"/>
      <c r="F13" s="708"/>
      <c r="G13" s="708"/>
      <c r="H13" s="708"/>
      <c r="I13" s="708"/>
      <c r="J13" s="709"/>
      <c r="K13" s="228"/>
      <c r="M13" s="19" t="s">
        <v>28</v>
      </c>
      <c r="N13" s="347" t="s">
        <v>29</v>
      </c>
      <c r="O13" s="347">
        <f>HLOOKUP(O$8,'Property Calc_Design Flow'!$E$3:$EJ$25,MATCH(M13,'Property Calc_Design Flow'!$C$3:$C$24,0),FALSE)</f>
        <v>432.42569047389247</v>
      </c>
      <c r="P13" s="347">
        <f>HLOOKUP(P$8,'Property Calc_Design Flow'!$E$3:$EJ$25,MATCH(M13,'Property Calc_Design Flow'!$C$3:$C$24,0),FALSE)</f>
        <v>443.5359379467692</v>
      </c>
    </row>
    <row r="14" spans="1:16" ht="14.5" x14ac:dyDescent="0.35">
      <c r="A14" s="151">
        <f>A12+1</f>
        <v>6</v>
      </c>
      <c r="B14" s="239" t="s">
        <v>248</v>
      </c>
      <c r="C14" s="345" t="s">
        <v>222</v>
      </c>
      <c r="D14" s="345" t="s">
        <v>215</v>
      </c>
      <c r="E14" s="345" t="s">
        <v>218</v>
      </c>
      <c r="F14" s="345" t="s">
        <v>214</v>
      </c>
      <c r="G14" s="430" t="s">
        <v>221</v>
      </c>
      <c r="H14" s="430"/>
      <c r="I14" s="430"/>
      <c r="J14" s="750"/>
      <c r="K14" s="240"/>
      <c r="M14" s="19" t="s">
        <v>2</v>
      </c>
      <c r="N14" s="347" t="s">
        <v>3</v>
      </c>
      <c r="O14" s="347">
        <f>HLOOKUP(O$8,'Property Calc_Design Flow'!$E$3:$EJ$25,MATCH(M14,'Property Calc_Design Flow'!$C$3:$C$24,0),FALSE)</f>
        <v>9802.0804711586607</v>
      </c>
      <c r="P14" s="347">
        <f>HLOOKUP(P$8,'Property Calc_Design Flow'!$E$3:$EJ$25,MATCH(M14,'Property Calc_Design Flow'!$C$3:$C$24,0),FALSE)</f>
        <v>9801.510396630898</v>
      </c>
    </row>
    <row r="15" spans="1:16" ht="14.5" x14ac:dyDescent="0.35">
      <c r="A15" s="148">
        <f>A14+1</f>
        <v>7</v>
      </c>
      <c r="B15" s="352" t="s">
        <v>728</v>
      </c>
      <c r="C15" s="100" t="s">
        <v>27</v>
      </c>
      <c r="D15" s="346">
        <f>O11</f>
        <v>2300.2759999999994</v>
      </c>
      <c r="E15" s="346">
        <f>D15</f>
        <v>2300.2759999999994</v>
      </c>
      <c r="F15" s="100">
        <v>250</v>
      </c>
      <c r="G15" s="687" t="s">
        <v>853</v>
      </c>
      <c r="H15" s="687"/>
      <c r="I15" s="687"/>
      <c r="J15" s="688"/>
      <c r="K15" s="357"/>
      <c r="M15" s="19" t="s">
        <v>30</v>
      </c>
      <c r="N15" s="347" t="s">
        <v>31</v>
      </c>
      <c r="O15" s="347">
        <f>HLOOKUP(O$8,'Property Calc_Design Flow'!$E$3:$EJ$25,MATCH(M15,'Property Calc_Design Flow'!$C$3:$C$24,0),FALSE)</f>
        <v>363.6895833882316</v>
      </c>
      <c r="P15" s="347">
        <f>HLOOKUP(P$8,'Property Calc_Design Flow'!$E$3:$EJ$25,MATCH(M15,'Property Calc_Design Flow'!$C$3:$C$24,0),FALSE)</f>
        <v>363.67285584927146</v>
      </c>
    </row>
    <row r="16" spans="1:16" ht="14.5" x14ac:dyDescent="0.35">
      <c r="A16" s="148">
        <f>A15+1</f>
        <v>8</v>
      </c>
      <c r="B16" s="99" t="s">
        <v>288</v>
      </c>
      <c r="C16" s="100" t="s">
        <v>237</v>
      </c>
      <c r="D16" s="366">
        <v>125</v>
      </c>
      <c r="E16" s="366">
        <f>O9</f>
        <v>65</v>
      </c>
      <c r="F16" s="351">
        <v>40</v>
      </c>
      <c r="G16" s="687"/>
      <c r="H16" s="687"/>
      <c r="I16" s="687"/>
      <c r="J16" s="688"/>
      <c r="K16" s="357"/>
      <c r="M16" s="19" t="s">
        <v>18</v>
      </c>
      <c r="N16" s="347"/>
      <c r="O16" s="347">
        <f>HLOOKUP(O$8,'Property Calc_Design Flow'!$E$3:$EJ$25,MATCH(M16,'Property Calc_Design Flow'!$C$3:$C$24,0),FALSE)</f>
        <v>26.951776786785587</v>
      </c>
      <c r="P16" s="347">
        <f>HLOOKUP(P$8,'Property Calc_Design Flow'!$E$3:$EJ$25,MATCH(M16,'Property Calc_Design Flow'!$C$3:$C$24,0),FALSE)</f>
        <v>26.951448916201901</v>
      </c>
    </row>
    <row r="17" spans="1:16" ht="14.5" x14ac:dyDescent="0.35">
      <c r="A17" s="148">
        <f t="shared" ref="A17:A26" si="0">A16+1</f>
        <v>9</v>
      </c>
      <c r="B17" s="99" t="s">
        <v>0</v>
      </c>
      <c r="C17" s="100" t="s">
        <v>238</v>
      </c>
      <c r="D17" s="360">
        <f>O10</f>
        <v>70</v>
      </c>
      <c r="E17" s="360">
        <f>D17</f>
        <v>70</v>
      </c>
      <c r="F17" s="360">
        <f>E17</f>
        <v>70</v>
      </c>
      <c r="G17" s="687"/>
      <c r="H17" s="687"/>
      <c r="I17" s="687"/>
      <c r="J17" s="688"/>
      <c r="K17" s="357"/>
      <c r="M17" s="19" t="s">
        <v>22</v>
      </c>
      <c r="N17" s="347" t="s">
        <v>23</v>
      </c>
      <c r="O17" s="347">
        <f>HLOOKUP(O$8,'Property Calc_Design Flow'!$E$3:$EJ$25,MATCH(M17,'Property Calc_Design Flow'!$C$3:$C$24,0),FALSE)</f>
        <v>0.99980339092408055</v>
      </c>
      <c r="P17" s="347">
        <f>HLOOKUP(P$8,'Property Calc_Design Flow'!$E$3:$EJ$25,MATCH(M17,'Property Calc_Design Flow'!$C$3:$C$24,0),FALSE)</f>
        <v>0.99980339092408033</v>
      </c>
    </row>
    <row r="18" spans="1:16" ht="14.5" x14ac:dyDescent="0.35">
      <c r="A18" s="148">
        <f t="shared" si="0"/>
        <v>10</v>
      </c>
      <c r="B18" s="99" t="s">
        <v>852</v>
      </c>
      <c r="C18" s="100"/>
      <c r="D18" s="366">
        <f>E18*1.1</f>
        <v>29.646954465464148</v>
      </c>
      <c r="E18" s="366">
        <f>O16</f>
        <v>26.951776786785587</v>
      </c>
      <c r="F18" s="366">
        <f>E18*0.9</f>
        <v>24.256599108107029</v>
      </c>
      <c r="G18" s="687"/>
      <c r="H18" s="687"/>
      <c r="I18" s="687"/>
      <c r="J18" s="688"/>
      <c r="K18" s="357"/>
      <c r="M18" s="19" t="s">
        <v>20</v>
      </c>
      <c r="N18" s="347" t="s">
        <v>21</v>
      </c>
      <c r="O18" s="347"/>
      <c r="P18" s="347"/>
    </row>
    <row r="19" spans="1:16" ht="14.5" x14ac:dyDescent="0.35">
      <c r="A19" s="148">
        <f t="shared" si="0"/>
        <v>11</v>
      </c>
      <c r="B19" s="729" t="s">
        <v>195</v>
      </c>
      <c r="C19" s="729"/>
      <c r="D19" s="729"/>
      <c r="E19" s="729"/>
      <c r="F19" s="729"/>
      <c r="G19" s="687"/>
      <c r="H19" s="687"/>
      <c r="I19" s="687"/>
      <c r="J19" s="688"/>
      <c r="K19" s="357"/>
      <c r="M19" s="139"/>
      <c r="N19" s="350"/>
      <c r="O19" s="347"/>
      <c r="P19" s="347"/>
    </row>
    <row r="20" spans="1:16" ht="15" x14ac:dyDescent="0.4">
      <c r="A20" s="148">
        <f t="shared" si="0"/>
        <v>12</v>
      </c>
      <c r="B20" s="99" t="s">
        <v>240</v>
      </c>
      <c r="C20" s="100" t="s">
        <v>122</v>
      </c>
      <c r="D20" s="803">
        <f>O21</f>
        <v>60.132784065912091</v>
      </c>
      <c r="E20" s="803"/>
      <c r="F20" s="803"/>
      <c r="G20" s="687"/>
      <c r="H20" s="687"/>
      <c r="I20" s="687"/>
      <c r="J20" s="688"/>
      <c r="K20" s="357"/>
      <c r="M20" s="353" t="s">
        <v>159</v>
      </c>
      <c r="N20" s="349" t="s">
        <v>3</v>
      </c>
      <c r="O20" s="347">
        <f>HLOOKUP(O$8,'Property Calc_Design Flow'!$E$3:$EJ$25,MATCH(M20,'Property Calc_Design Flow'!$C$3:$C$24,0),FALSE)</f>
        <v>0</v>
      </c>
      <c r="P20" s="347" t="str">
        <f>HLOOKUP(P$8,'[2]Property Calculation'!$E$3:$EV$25,MATCH(M20,'[2]Property Calculation'!$C$3:$C$24,0),FALSE)</f>
        <v/>
      </c>
    </row>
    <row r="21" spans="1:16" ht="15" x14ac:dyDescent="0.4">
      <c r="A21" s="148">
        <f t="shared" si="0"/>
        <v>13</v>
      </c>
      <c r="B21" s="99" t="s">
        <v>241</v>
      </c>
      <c r="C21" s="100" t="s">
        <v>122</v>
      </c>
      <c r="D21" s="803">
        <f>O22</f>
        <v>38.335399752029765</v>
      </c>
      <c r="E21" s="803"/>
      <c r="F21" s="803"/>
      <c r="G21" s="687"/>
      <c r="H21" s="687"/>
      <c r="I21" s="687"/>
      <c r="J21" s="688"/>
      <c r="K21" s="357"/>
      <c r="M21" s="19" t="s">
        <v>7</v>
      </c>
      <c r="N21" s="347" t="s">
        <v>122</v>
      </c>
      <c r="O21" s="348">
        <f>HLOOKUP(O$8,'Property Calc_Design Flow'!$E$3:$EJ$25,MATCH(M21,'Property Calc_Design Flow'!$C$3:$C$24,0),FALSE)</f>
        <v>60.132784065912091</v>
      </c>
      <c r="P21" s="348">
        <f>HLOOKUP(P$8,'Property Calc_Design Flow'!$E$3:$EJ$25,MATCH(M21,'Property Calc_Design Flow'!$C$3:$C$24,0),FALSE)</f>
        <v>60.13554994043934</v>
      </c>
    </row>
    <row r="22" spans="1:16" ht="15" x14ac:dyDescent="0.4">
      <c r="A22" s="148">
        <f t="shared" si="0"/>
        <v>14</v>
      </c>
      <c r="B22" s="99" t="s">
        <v>243</v>
      </c>
      <c r="C22" s="100" t="s">
        <v>122</v>
      </c>
      <c r="D22" s="803">
        <f>O23</f>
        <v>0.93988721353437588</v>
      </c>
      <c r="E22" s="803"/>
      <c r="F22" s="803"/>
      <c r="G22" s="687"/>
      <c r="H22" s="687"/>
      <c r="I22" s="687"/>
      <c r="J22" s="688"/>
      <c r="K22" s="357"/>
      <c r="M22" s="19" t="s">
        <v>8</v>
      </c>
      <c r="N22" s="347" t="s">
        <v>122</v>
      </c>
      <c r="O22" s="348">
        <f>HLOOKUP(O$8,'Property Calc_Design Flow'!$E$3:$EJ$25,MATCH(M22,'Property Calc_Design Flow'!$C$3:$C$24,0),FALSE)</f>
        <v>38.335399752029765</v>
      </c>
      <c r="P22" s="348">
        <f>HLOOKUP(P$8,'Property Calc_Design Flow'!$E$3:$EJ$25,MATCH(M22,'Property Calc_Design Flow'!$C$3:$C$24,0),FALSE)</f>
        <v>38.337163031533834</v>
      </c>
    </row>
    <row r="23" spans="1:16" ht="15" x14ac:dyDescent="0.4">
      <c r="A23" s="148">
        <f t="shared" si="0"/>
        <v>15</v>
      </c>
      <c r="B23" s="99" t="s">
        <v>242</v>
      </c>
      <c r="C23" s="100" t="s">
        <v>122</v>
      </c>
      <c r="D23" s="803">
        <f>O24</f>
        <v>0.45994480662320536</v>
      </c>
      <c r="E23" s="803"/>
      <c r="F23" s="803"/>
      <c r="G23" s="687"/>
      <c r="H23" s="687"/>
      <c r="I23" s="687"/>
      <c r="J23" s="688"/>
      <c r="K23" s="357"/>
      <c r="M23" s="19" t="s">
        <v>9</v>
      </c>
      <c r="N23" s="347" t="s">
        <v>122</v>
      </c>
      <c r="O23" s="348">
        <f>HLOOKUP(O$8,'Property Calc_Design Flow'!$E$3:$EJ$25,MATCH(M23,'Property Calc_Design Flow'!$C$3:$C$24,0),FALSE)</f>
        <v>0.93988721353437588</v>
      </c>
      <c r="P23" s="348">
        <f>HLOOKUP(P$8,'Property Calc_Design Flow'!$E$3:$EJ$25,MATCH(M23,'Property Calc_Design Flow'!$C$3:$C$24,0),FALSE)</f>
        <v>0.93993044469592579</v>
      </c>
    </row>
    <row r="24" spans="1:16" ht="15" x14ac:dyDescent="0.4">
      <c r="A24" s="148">
        <f t="shared" si="0"/>
        <v>16</v>
      </c>
      <c r="B24" s="99" t="s">
        <v>851</v>
      </c>
      <c r="C24" s="100" t="s">
        <v>239</v>
      </c>
      <c r="D24" s="804">
        <v>50</v>
      </c>
      <c r="E24" s="804"/>
      <c r="F24" s="804"/>
      <c r="G24" s="687"/>
      <c r="H24" s="687"/>
      <c r="I24" s="687"/>
      <c r="J24" s="688"/>
      <c r="K24" s="357"/>
      <c r="M24" s="19" t="s">
        <v>10</v>
      </c>
      <c r="N24" s="347" t="s">
        <v>122</v>
      </c>
      <c r="O24" s="348">
        <f>HLOOKUP(O$8,'Property Calc_Design Flow'!$E$3:$EJ$25,MATCH(M24,'Property Calc_Design Flow'!$C$3:$C$24,0),FALSE)</f>
        <v>0.45994480662320536</v>
      </c>
      <c r="P24" s="348">
        <f>HLOOKUP(P$8,'Property Calc_Design Flow'!$E$3:$EJ$25,MATCH(M24,'Property Calc_Design Flow'!$C$3:$C$24,0),FALSE)</f>
        <v>0.45996596229800635</v>
      </c>
    </row>
    <row r="25" spans="1:16" ht="15" x14ac:dyDescent="0.4">
      <c r="A25" s="148">
        <f t="shared" si="0"/>
        <v>17</v>
      </c>
      <c r="B25" s="99" t="s">
        <v>245</v>
      </c>
      <c r="C25" s="100" t="s">
        <v>122</v>
      </c>
      <c r="D25" s="803">
        <f>O26</f>
        <v>0.12698476182858062</v>
      </c>
      <c r="E25" s="803"/>
      <c r="F25" s="803"/>
      <c r="G25" s="687"/>
      <c r="H25" s="687"/>
      <c r="I25" s="687"/>
      <c r="J25" s="688"/>
      <c r="K25" s="357"/>
      <c r="M25" s="19" t="s">
        <v>11</v>
      </c>
      <c r="N25" s="347" t="s">
        <v>122</v>
      </c>
      <c r="O25" s="348">
        <f>HLOOKUP(O$8,'Property Calc_Design Flow'!$E$3:$EJ$25,MATCH(M25,'Property Calc_Design Flow'!$C$3:$C$24,0),FALSE)</f>
        <v>4.9994000719913627E-3</v>
      </c>
      <c r="P25" s="348">
        <f>HLOOKUP(P$8,'Property Calc_Design Flow'!$E$3:$EJ$25,MATCH(M25,'Property Calc_Design Flow'!$C$3:$C$24,0),FALSE)</f>
        <v>4.0001839844650607E-4</v>
      </c>
    </row>
    <row r="26" spans="1:16" ht="15" thickBot="1" x14ac:dyDescent="0.4">
      <c r="A26" s="149">
        <f t="shared" si="0"/>
        <v>18</v>
      </c>
      <c r="B26" s="141" t="s">
        <v>216</v>
      </c>
      <c r="C26" s="359" t="s">
        <v>239</v>
      </c>
      <c r="D26" s="768" t="s">
        <v>217</v>
      </c>
      <c r="E26" s="768"/>
      <c r="F26" s="768"/>
      <c r="G26" s="726"/>
      <c r="H26" s="726"/>
      <c r="I26" s="726"/>
      <c r="J26" s="727"/>
      <c r="K26" s="241"/>
      <c r="M26" s="19" t="s">
        <v>12</v>
      </c>
      <c r="N26" s="347" t="s">
        <v>122</v>
      </c>
      <c r="O26" s="348">
        <f>HLOOKUP(O$8,'Property Calc_Design Flow'!$E$3:$EJ$25,MATCH(M26,'Property Calc_Design Flow'!$C$3:$C$24,0),FALSE)</f>
        <v>0.12698476182858062</v>
      </c>
      <c r="P26" s="348">
        <f>HLOOKUP(P$8,'Property Calc_Design Flow'!$E$3:$EJ$25,MATCH(M26,'Property Calc_Design Flow'!$C$3:$C$24,0),FALSE)</f>
        <v>0.12699060263444958</v>
      </c>
    </row>
    <row r="27" spans="1:16" ht="13.5" thickBot="1" x14ac:dyDescent="0.35">
      <c r="A27" s="707" t="s">
        <v>859</v>
      </c>
      <c r="B27" s="708"/>
      <c r="C27" s="708"/>
      <c r="D27" s="708"/>
      <c r="E27" s="708"/>
      <c r="F27" s="708"/>
      <c r="G27" s="708"/>
      <c r="H27" s="708"/>
      <c r="I27" s="708"/>
      <c r="J27" s="709"/>
      <c r="K27" s="238"/>
    </row>
    <row r="28" spans="1:16" x14ac:dyDescent="0.3">
      <c r="A28" s="151">
        <f>A26+1</f>
        <v>19</v>
      </c>
      <c r="B28" s="239" t="s">
        <v>248</v>
      </c>
      <c r="C28" s="345" t="s">
        <v>222</v>
      </c>
      <c r="D28" s="792" t="s">
        <v>251</v>
      </c>
      <c r="E28" s="793"/>
      <c r="F28" s="814"/>
      <c r="G28" s="430" t="s">
        <v>221</v>
      </c>
      <c r="H28" s="430"/>
      <c r="I28" s="430"/>
      <c r="J28" s="750"/>
      <c r="K28" s="240"/>
    </row>
    <row r="29" spans="1:16" ht="13" customHeight="1" x14ac:dyDescent="0.3">
      <c r="A29" s="148">
        <f t="shared" ref="A29:A39" si="1">A28+1</f>
        <v>20</v>
      </c>
      <c r="B29" s="352" t="s">
        <v>794</v>
      </c>
      <c r="C29" s="100"/>
      <c r="D29" s="704" t="s">
        <v>856</v>
      </c>
      <c r="E29" s="705"/>
      <c r="F29" s="706"/>
      <c r="G29" s="755" t="s">
        <v>931</v>
      </c>
      <c r="H29" s="756"/>
      <c r="I29" s="756"/>
      <c r="J29" s="786"/>
      <c r="K29" s="357"/>
    </row>
    <row r="30" spans="1:16" ht="13" customHeight="1" x14ac:dyDescent="0.3">
      <c r="A30" s="148">
        <f t="shared" si="1"/>
        <v>21</v>
      </c>
      <c r="B30" s="352" t="s">
        <v>797</v>
      </c>
      <c r="C30" s="100" t="s">
        <v>21</v>
      </c>
      <c r="D30" s="704">
        <v>28</v>
      </c>
      <c r="E30" s="705"/>
      <c r="F30" s="706"/>
      <c r="G30" s="758"/>
      <c r="H30" s="787"/>
      <c r="I30" s="787"/>
      <c r="J30" s="788"/>
      <c r="K30" s="357"/>
    </row>
    <row r="31" spans="1:16" ht="13" customHeight="1" x14ac:dyDescent="0.3">
      <c r="A31" s="148">
        <f t="shared" si="1"/>
        <v>22</v>
      </c>
      <c r="B31" s="352" t="s">
        <v>854</v>
      </c>
      <c r="C31" s="100" t="s">
        <v>831</v>
      </c>
      <c r="D31" s="704">
        <f>521/2</f>
        <v>260.5</v>
      </c>
      <c r="E31" s="705"/>
      <c r="F31" s="706"/>
      <c r="G31" s="758"/>
      <c r="H31" s="787"/>
      <c r="I31" s="787"/>
      <c r="J31" s="788"/>
      <c r="K31" s="357"/>
    </row>
    <row r="32" spans="1:16" ht="13" customHeight="1" x14ac:dyDescent="0.3">
      <c r="A32" s="148">
        <f t="shared" si="1"/>
        <v>23</v>
      </c>
      <c r="B32" s="352" t="s">
        <v>914</v>
      </c>
      <c r="C32" s="100" t="s">
        <v>855</v>
      </c>
      <c r="D32" s="704">
        <f>(D31*D30+1900)*1.05</f>
        <v>9653.7000000000007</v>
      </c>
      <c r="E32" s="705"/>
      <c r="F32" s="706"/>
      <c r="G32" s="758"/>
      <c r="H32" s="787"/>
      <c r="I32" s="787"/>
      <c r="J32" s="788"/>
      <c r="K32" s="357"/>
    </row>
    <row r="33" spans="1:11" ht="13" customHeight="1" x14ac:dyDescent="0.3">
      <c r="A33" s="148">
        <f t="shared" si="1"/>
        <v>24</v>
      </c>
      <c r="B33" s="352" t="s">
        <v>857</v>
      </c>
      <c r="C33" s="100" t="s">
        <v>829</v>
      </c>
      <c r="D33" s="704">
        <v>30</v>
      </c>
      <c r="E33" s="705"/>
      <c r="F33" s="706"/>
      <c r="G33" s="758"/>
      <c r="H33" s="787"/>
      <c r="I33" s="787"/>
      <c r="J33" s="788"/>
      <c r="K33" s="357"/>
    </row>
    <row r="34" spans="1:11" x14ac:dyDescent="0.3">
      <c r="A34" s="148">
        <f t="shared" si="1"/>
        <v>25</v>
      </c>
      <c r="B34" s="352" t="s">
        <v>913</v>
      </c>
      <c r="C34" s="100"/>
      <c r="D34" s="704">
        <v>2</v>
      </c>
      <c r="E34" s="705"/>
      <c r="F34" s="706"/>
      <c r="G34" s="758"/>
      <c r="H34" s="759"/>
      <c r="I34" s="759"/>
      <c r="J34" s="788"/>
      <c r="K34" s="357"/>
    </row>
    <row r="35" spans="1:11" x14ac:dyDescent="0.3">
      <c r="A35" s="148">
        <f t="shared" si="1"/>
        <v>26</v>
      </c>
      <c r="B35" s="352" t="s">
        <v>858</v>
      </c>
      <c r="C35" s="100"/>
      <c r="D35" s="704" t="s">
        <v>915</v>
      </c>
      <c r="E35" s="705"/>
      <c r="F35" s="706"/>
      <c r="G35" s="758"/>
      <c r="H35" s="759"/>
      <c r="I35" s="759"/>
      <c r="J35" s="788"/>
      <c r="K35" s="357"/>
    </row>
    <row r="36" spans="1:11" x14ac:dyDescent="0.3">
      <c r="A36" s="148">
        <f t="shared" si="1"/>
        <v>27</v>
      </c>
      <c r="B36" s="352" t="s">
        <v>916</v>
      </c>
      <c r="C36" s="100" t="s">
        <v>63</v>
      </c>
      <c r="D36" s="704">
        <v>6</v>
      </c>
      <c r="E36" s="705"/>
      <c r="F36" s="706"/>
      <c r="G36" s="758"/>
      <c r="H36" s="759"/>
      <c r="I36" s="759"/>
      <c r="J36" s="788"/>
      <c r="K36" s="357"/>
    </row>
    <row r="37" spans="1:11" x14ac:dyDescent="0.3">
      <c r="A37" s="148">
        <f t="shared" si="1"/>
        <v>28</v>
      </c>
      <c r="B37" s="352" t="s">
        <v>743</v>
      </c>
      <c r="C37" s="100" t="s">
        <v>63</v>
      </c>
      <c r="D37" s="704">
        <v>11</v>
      </c>
      <c r="E37" s="705"/>
      <c r="F37" s="706"/>
      <c r="G37" s="758"/>
      <c r="H37" s="759"/>
      <c r="I37" s="759"/>
      <c r="J37" s="788"/>
      <c r="K37" s="357"/>
    </row>
    <row r="38" spans="1:11" ht="15" customHeight="1" x14ac:dyDescent="0.3">
      <c r="A38" s="148">
        <f t="shared" si="1"/>
        <v>29</v>
      </c>
      <c r="B38" s="352" t="s">
        <v>744</v>
      </c>
      <c r="C38" s="100" t="s">
        <v>63</v>
      </c>
      <c r="D38" s="820">
        <v>9.1999999999999993</v>
      </c>
      <c r="E38" s="821"/>
      <c r="F38" s="822"/>
      <c r="G38" s="758"/>
      <c r="H38" s="759"/>
      <c r="I38" s="759"/>
      <c r="J38" s="788"/>
      <c r="K38" s="357"/>
    </row>
    <row r="39" spans="1:11" ht="13.5" thickBot="1" x14ac:dyDescent="0.35">
      <c r="A39" s="148">
        <f t="shared" si="1"/>
        <v>30</v>
      </c>
      <c r="B39" s="352" t="s">
        <v>860</v>
      </c>
      <c r="C39" s="100"/>
      <c r="D39" s="704" t="s">
        <v>792</v>
      </c>
      <c r="E39" s="705"/>
      <c r="F39" s="706"/>
      <c r="G39" s="758"/>
      <c r="H39" s="759"/>
      <c r="I39" s="759"/>
      <c r="J39" s="788"/>
      <c r="K39" s="357"/>
    </row>
    <row r="40" spans="1:11" ht="15" customHeight="1" thickBot="1" x14ac:dyDescent="0.35">
      <c r="A40" s="707" t="s">
        <v>313</v>
      </c>
      <c r="B40" s="708"/>
      <c r="C40" s="708"/>
      <c r="D40" s="708"/>
      <c r="E40" s="708"/>
      <c r="F40" s="708"/>
      <c r="G40" s="708"/>
      <c r="H40" s="708"/>
      <c r="I40" s="708"/>
      <c r="J40" s="709"/>
      <c r="K40" s="238"/>
    </row>
    <row r="41" spans="1:11" x14ac:dyDescent="0.3">
      <c r="A41" s="151">
        <f>A39+1</f>
        <v>31</v>
      </c>
      <c r="B41" s="239" t="s">
        <v>248</v>
      </c>
      <c r="C41" s="345" t="s">
        <v>222</v>
      </c>
      <c r="D41" s="430" t="s">
        <v>251</v>
      </c>
      <c r="E41" s="430"/>
      <c r="F41" s="430"/>
      <c r="G41" s="430" t="s">
        <v>221</v>
      </c>
      <c r="H41" s="430"/>
      <c r="I41" s="430"/>
      <c r="J41" s="750"/>
      <c r="K41" s="240"/>
    </row>
    <row r="42" spans="1:11" ht="14.5" customHeight="1" x14ac:dyDescent="0.3">
      <c r="A42" s="148">
        <f>A41+1</f>
        <v>32</v>
      </c>
      <c r="B42" s="358" t="s">
        <v>804</v>
      </c>
      <c r="C42" s="345"/>
      <c r="D42" s="772" t="s">
        <v>805</v>
      </c>
      <c r="E42" s="773"/>
      <c r="F42" s="808"/>
      <c r="G42" s="755" t="s">
        <v>885</v>
      </c>
      <c r="H42" s="756"/>
      <c r="I42" s="756"/>
      <c r="J42" s="786"/>
      <c r="K42" s="240"/>
    </row>
    <row r="43" spans="1:11" ht="13" customHeight="1" x14ac:dyDescent="0.3">
      <c r="A43" s="148">
        <f t="shared" ref="A43:A52" si="2">A42+1</f>
        <v>33</v>
      </c>
      <c r="B43" s="352" t="s">
        <v>315</v>
      </c>
      <c r="C43" s="100" t="s">
        <v>5</v>
      </c>
      <c r="D43" s="431">
        <v>125</v>
      </c>
      <c r="E43" s="431"/>
      <c r="F43" s="431"/>
      <c r="G43" s="758"/>
      <c r="H43" s="787"/>
      <c r="I43" s="787"/>
      <c r="J43" s="788"/>
      <c r="K43" s="357"/>
    </row>
    <row r="44" spans="1:11" x14ac:dyDescent="0.3">
      <c r="A44" s="148">
        <f t="shared" si="2"/>
        <v>34</v>
      </c>
      <c r="B44" s="352" t="s">
        <v>745</v>
      </c>
      <c r="C44" s="100" t="s">
        <v>238</v>
      </c>
      <c r="D44" s="431">
        <v>150</v>
      </c>
      <c r="E44" s="431"/>
      <c r="F44" s="431"/>
      <c r="G44" s="758"/>
      <c r="H44" s="787"/>
      <c r="I44" s="787"/>
      <c r="J44" s="788"/>
      <c r="K44" s="357"/>
    </row>
    <row r="45" spans="1:11" x14ac:dyDescent="0.3">
      <c r="A45" s="148">
        <f t="shared" si="2"/>
        <v>35</v>
      </c>
      <c r="B45" s="99" t="s">
        <v>249</v>
      </c>
      <c r="C45" s="100"/>
      <c r="D45" s="431" t="s">
        <v>250</v>
      </c>
      <c r="E45" s="431"/>
      <c r="F45" s="431"/>
      <c r="G45" s="758"/>
      <c r="H45" s="787"/>
      <c r="I45" s="787"/>
      <c r="J45" s="788"/>
      <c r="K45" s="357"/>
    </row>
    <row r="46" spans="1:11" x14ac:dyDescent="0.3">
      <c r="A46" s="148">
        <f t="shared" si="2"/>
        <v>36</v>
      </c>
      <c r="B46" s="99" t="s">
        <v>806</v>
      </c>
      <c r="C46" s="100" t="s">
        <v>807</v>
      </c>
      <c r="D46" s="815">
        <v>6.25E-2</v>
      </c>
      <c r="E46" s="816"/>
      <c r="F46" s="817"/>
      <c r="G46" s="758"/>
      <c r="H46" s="787"/>
      <c r="I46" s="787"/>
      <c r="J46" s="788"/>
      <c r="K46" s="357"/>
    </row>
    <row r="47" spans="1:11" x14ac:dyDescent="0.3">
      <c r="A47" s="148">
        <f t="shared" si="2"/>
        <v>37</v>
      </c>
      <c r="B47" s="99" t="s">
        <v>873</v>
      </c>
      <c r="C47" s="100" t="s">
        <v>330</v>
      </c>
      <c r="D47" s="144" t="s">
        <v>262</v>
      </c>
      <c r="E47" s="144" t="s">
        <v>263</v>
      </c>
      <c r="F47" s="367"/>
      <c r="G47" s="758"/>
      <c r="H47" s="787"/>
      <c r="I47" s="787"/>
      <c r="J47" s="788"/>
      <c r="K47" s="357"/>
    </row>
    <row r="48" spans="1:11" x14ac:dyDescent="0.3">
      <c r="A48" s="148">
        <f t="shared" si="2"/>
        <v>38</v>
      </c>
      <c r="B48" s="99" t="s">
        <v>808</v>
      </c>
      <c r="C48" s="100"/>
      <c r="D48" s="818" t="s">
        <v>809</v>
      </c>
      <c r="E48" s="719"/>
      <c r="F48" s="819"/>
      <c r="G48" s="758"/>
      <c r="H48" s="787"/>
      <c r="I48" s="787"/>
      <c r="J48" s="788"/>
      <c r="K48" s="357"/>
    </row>
    <row r="49" spans="1:11" x14ac:dyDescent="0.3">
      <c r="A49" s="148">
        <f t="shared" si="2"/>
        <v>39</v>
      </c>
      <c r="B49" s="99" t="s">
        <v>327</v>
      </c>
      <c r="C49" s="100"/>
      <c r="D49" s="593" t="s">
        <v>961</v>
      </c>
      <c r="E49" s="593"/>
      <c r="F49" s="593"/>
      <c r="G49" s="758"/>
      <c r="H49" s="787"/>
      <c r="I49" s="787"/>
      <c r="J49" s="788"/>
      <c r="K49" s="357"/>
    </row>
    <row r="50" spans="1:11" x14ac:dyDescent="0.3">
      <c r="A50" s="148">
        <f t="shared" si="2"/>
        <v>40</v>
      </c>
      <c r="B50" s="141" t="s">
        <v>821</v>
      </c>
      <c r="C50" s="359"/>
      <c r="D50" s="795" t="s">
        <v>822</v>
      </c>
      <c r="E50" s="796"/>
      <c r="F50" s="797"/>
      <c r="G50" s="758"/>
      <c r="H50" s="787"/>
      <c r="I50" s="787"/>
      <c r="J50" s="788"/>
      <c r="K50" s="241"/>
    </row>
    <row r="51" spans="1:11" x14ac:dyDescent="0.3">
      <c r="A51" s="148">
        <f t="shared" si="2"/>
        <v>41</v>
      </c>
      <c r="B51" s="141" t="s">
        <v>823</v>
      </c>
      <c r="C51" s="359"/>
      <c r="D51" s="795" t="s">
        <v>822</v>
      </c>
      <c r="E51" s="796"/>
      <c r="F51" s="797"/>
      <c r="G51" s="758"/>
      <c r="H51" s="787"/>
      <c r="I51" s="787"/>
      <c r="J51" s="788"/>
      <c r="K51" s="241"/>
    </row>
    <row r="52" spans="1:11" ht="13.5" thickBot="1" x14ac:dyDescent="0.35">
      <c r="A52" s="148">
        <f t="shared" si="2"/>
        <v>42</v>
      </c>
      <c r="B52" s="141" t="s">
        <v>254</v>
      </c>
      <c r="C52" s="359"/>
      <c r="D52" s="767" t="s">
        <v>213</v>
      </c>
      <c r="E52" s="767"/>
      <c r="F52" s="767"/>
      <c r="G52" s="789"/>
      <c r="H52" s="790"/>
      <c r="I52" s="790"/>
      <c r="J52" s="791"/>
      <c r="K52" s="241"/>
    </row>
    <row r="53" spans="1:11" ht="13.5" thickBot="1" x14ac:dyDescent="0.35">
      <c r="A53" s="707" t="s">
        <v>861</v>
      </c>
      <c r="B53" s="708"/>
      <c r="C53" s="752"/>
      <c r="D53" s="752"/>
      <c r="E53" s="708"/>
      <c r="F53" s="708"/>
      <c r="G53" s="708"/>
      <c r="H53" s="708"/>
      <c r="I53" s="708"/>
      <c r="J53" s="709"/>
      <c r="K53" s="365"/>
    </row>
    <row r="54" spans="1:11" x14ac:dyDescent="0.3">
      <c r="A54" s="151">
        <f>A52+1</f>
        <v>43</v>
      </c>
      <c r="B54" s="239" t="s">
        <v>248</v>
      </c>
      <c r="C54" s="772" t="s">
        <v>811</v>
      </c>
      <c r="D54" s="808"/>
      <c r="E54" s="772" t="s">
        <v>812</v>
      </c>
      <c r="F54" s="808"/>
      <c r="G54" s="430" t="s">
        <v>221</v>
      </c>
      <c r="H54" s="430"/>
      <c r="I54" s="430"/>
      <c r="J54" s="750"/>
      <c r="K54" s="365"/>
    </row>
    <row r="55" spans="1:11" ht="14.5" customHeight="1" x14ac:dyDescent="0.3">
      <c r="A55" s="148">
        <f>A54+1</f>
        <v>44</v>
      </c>
      <c r="B55" s="358" t="s">
        <v>862</v>
      </c>
      <c r="C55" s="818" t="s">
        <v>815</v>
      </c>
      <c r="D55" s="819"/>
      <c r="E55" s="818" t="s">
        <v>962</v>
      </c>
      <c r="F55" s="819"/>
      <c r="G55" s="755" t="s">
        <v>925</v>
      </c>
      <c r="H55" s="756"/>
      <c r="I55" s="756"/>
      <c r="J55" s="786"/>
      <c r="K55" s="365"/>
    </row>
    <row r="56" spans="1:11" ht="13" customHeight="1" x14ac:dyDescent="0.3">
      <c r="A56" s="148">
        <f t="shared" ref="A56:A66" si="3">A55+1</f>
        <v>45</v>
      </c>
      <c r="B56" s="352" t="s">
        <v>863</v>
      </c>
      <c r="C56" s="818" t="s">
        <v>815</v>
      </c>
      <c r="D56" s="819"/>
      <c r="E56" s="818" t="s">
        <v>962</v>
      </c>
      <c r="F56" s="819"/>
      <c r="G56" s="758"/>
      <c r="H56" s="787"/>
      <c r="I56" s="787"/>
      <c r="J56" s="788"/>
      <c r="K56" s="365"/>
    </row>
    <row r="57" spans="1:11" x14ac:dyDescent="0.3">
      <c r="A57" s="148">
        <f t="shared" si="3"/>
        <v>46</v>
      </c>
      <c r="B57" s="352" t="s">
        <v>864</v>
      </c>
      <c r="C57" s="818" t="s">
        <v>816</v>
      </c>
      <c r="D57" s="819"/>
      <c r="E57" s="818" t="s">
        <v>408</v>
      </c>
      <c r="F57" s="819"/>
      <c r="G57" s="758"/>
      <c r="H57" s="787"/>
      <c r="I57" s="787"/>
      <c r="J57" s="788"/>
      <c r="K57" s="365"/>
    </row>
    <row r="58" spans="1:11" x14ac:dyDescent="0.3">
      <c r="A58" s="148">
        <f t="shared" si="3"/>
        <v>47</v>
      </c>
      <c r="B58" s="99" t="s">
        <v>865</v>
      </c>
      <c r="C58" s="818" t="s">
        <v>816</v>
      </c>
      <c r="D58" s="819"/>
      <c r="E58" s="818" t="s">
        <v>408</v>
      </c>
      <c r="F58" s="819"/>
      <c r="G58" s="758"/>
      <c r="H58" s="787"/>
      <c r="I58" s="787"/>
      <c r="J58" s="788"/>
      <c r="K58" s="365"/>
    </row>
    <row r="59" spans="1:11" x14ac:dyDescent="0.3">
      <c r="A59" s="148">
        <f t="shared" si="3"/>
        <v>48</v>
      </c>
      <c r="B59" s="99" t="s">
        <v>866</v>
      </c>
      <c r="C59" s="818" t="s">
        <v>816</v>
      </c>
      <c r="D59" s="819"/>
      <c r="E59" s="818" t="s">
        <v>408</v>
      </c>
      <c r="F59" s="819"/>
      <c r="G59" s="758"/>
      <c r="H59" s="787"/>
      <c r="I59" s="787"/>
      <c r="J59" s="788"/>
      <c r="K59" s="365"/>
    </row>
    <row r="60" spans="1:11" x14ac:dyDescent="0.3">
      <c r="A60" s="148">
        <f t="shared" si="3"/>
        <v>49</v>
      </c>
      <c r="B60" s="99" t="s">
        <v>867</v>
      </c>
      <c r="C60" s="823" t="s">
        <v>818</v>
      </c>
      <c r="D60" s="819"/>
      <c r="E60" s="818" t="s">
        <v>817</v>
      </c>
      <c r="F60" s="819"/>
      <c r="G60" s="758"/>
      <c r="H60" s="787"/>
      <c r="I60" s="787"/>
      <c r="J60" s="788"/>
      <c r="K60" s="365"/>
    </row>
    <row r="61" spans="1:11" x14ac:dyDescent="0.3">
      <c r="A61" s="148">
        <f t="shared" si="3"/>
        <v>50</v>
      </c>
      <c r="B61" s="99" t="s">
        <v>868</v>
      </c>
      <c r="C61" s="823" t="s">
        <v>818</v>
      </c>
      <c r="D61" s="819"/>
      <c r="E61" s="818" t="s">
        <v>819</v>
      </c>
      <c r="F61" s="819"/>
      <c r="G61" s="758"/>
      <c r="H61" s="787"/>
      <c r="I61" s="787"/>
      <c r="J61" s="788"/>
      <c r="K61" s="365"/>
    </row>
    <row r="62" spans="1:11" x14ac:dyDescent="0.3">
      <c r="A62" s="148">
        <f t="shared" si="3"/>
        <v>51</v>
      </c>
      <c r="B62" s="99" t="s">
        <v>949</v>
      </c>
      <c r="C62" s="823" t="s">
        <v>818</v>
      </c>
      <c r="D62" s="819"/>
      <c r="E62" s="818" t="s">
        <v>820</v>
      </c>
      <c r="F62" s="819"/>
      <c r="G62" s="758"/>
      <c r="H62" s="787"/>
      <c r="I62" s="787"/>
      <c r="J62" s="788"/>
      <c r="K62" s="365"/>
    </row>
    <row r="63" spans="1:11" x14ac:dyDescent="0.3">
      <c r="A63" s="148">
        <f t="shared" si="3"/>
        <v>52</v>
      </c>
      <c r="B63" s="99" t="s">
        <v>950</v>
      </c>
      <c r="C63" s="823" t="s">
        <v>818</v>
      </c>
      <c r="D63" s="819"/>
      <c r="E63" s="818" t="s">
        <v>820</v>
      </c>
      <c r="F63" s="819"/>
      <c r="G63" s="758"/>
      <c r="H63" s="787"/>
      <c r="I63" s="787"/>
      <c r="J63" s="788"/>
      <c r="K63" s="365"/>
    </row>
    <row r="64" spans="1:11" x14ac:dyDescent="0.3">
      <c r="A64" s="148">
        <f t="shared" si="3"/>
        <v>53</v>
      </c>
      <c r="B64" s="99" t="s">
        <v>917</v>
      </c>
      <c r="C64" s="823" t="s">
        <v>818</v>
      </c>
      <c r="D64" s="819"/>
      <c r="E64" s="824" t="s">
        <v>818</v>
      </c>
      <c r="F64" s="825"/>
      <c r="G64" s="758"/>
      <c r="H64" s="787"/>
      <c r="I64" s="787"/>
      <c r="J64" s="788"/>
      <c r="K64" s="365"/>
    </row>
    <row r="65" spans="1:11" x14ac:dyDescent="0.3">
      <c r="A65" s="148">
        <f t="shared" si="3"/>
        <v>54</v>
      </c>
      <c r="B65" s="99" t="s">
        <v>813</v>
      </c>
      <c r="C65" s="818" t="s">
        <v>816</v>
      </c>
      <c r="D65" s="819"/>
      <c r="E65" s="818"/>
      <c r="F65" s="819"/>
      <c r="G65" s="758"/>
      <c r="H65" s="787"/>
      <c r="I65" s="787"/>
      <c r="J65" s="788"/>
      <c r="K65" s="365"/>
    </row>
    <row r="66" spans="1:11" ht="13.5" thickBot="1" x14ac:dyDescent="0.35">
      <c r="A66" s="148">
        <f t="shared" si="3"/>
        <v>55</v>
      </c>
      <c r="B66" s="99" t="s">
        <v>814</v>
      </c>
      <c r="C66" s="818" t="s">
        <v>816</v>
      </c>
      <c r="D66" s="819"/>
      <c r="E66" s="818"/>
      <c r="F66" s="819"/>
      <c r="G66" s="789"/>
      <c r="H66" s="790"/>
      <c r="I66" s="790"/>
      <c r="J66" s="791"/>
      <c r="K66" s="365"/>
    </row>
    <row r="67" spans="1:11" ht="13.5" thickBot="1" x14ac:dyDescent="0.35">
      <c r="A67" s="707" t="s">
        <v>253</v>
      </c>
      <c r="B67" s="708"/>
      <c r="C67" s="708"/>
      <c r="D67" s="708"/>
      <c r="E67" s="708"/>
      <c r="F67" s="708"/>
      <c r="G67" s="708"/>
      <c r="H67" s="708"/>
      <c r="I67" s="708"/>
      <c r="J67" s="709"/>
      <c r="K67" s="238"/>
    </row>
    <row r="68" spans="1:11" x14ac:dyDescent="0.3">
      <c r="A68" s="151">
        <f>A66+1</f>
        <v>56</v>
      </c>
      <c r="B68" s="239" t="s">
        <v>248</v>
      </c>
      <c r="C68" s="345" t="s">
        <v>222</v>
      </c>
      <c r="D68" s="430" t="s">
        <v>251</v>
      </c>
      <c r="E68" s="430"/>
      <c r="F68" s="430"/>
      <c r="G68" s="430" t="s">
        <v>221</v>
      </c>
      <c r="H68" s="430"/>
      <c r="I68" s="430"/>
      <c r="J68" s="750"/>
      <c r="K68" s="240"/>
    </row>
    <row r="69" spans="1:11" x14ac:dyDescent="0.3">
      <c r="A69" s="148">
        <f>A68+1</f>
        <v>57</v>
      </c>
      <c r="B69" s="352" t="s">
        <v>256</v>
      </c>
      <c r="C69" s="100" t="s">
        <v>63</v>
      </c>
      <c r="D69" s="431">
        <f>'[2]Input Sheet'!F22</f>
        <v>95</v>
      </c>
      <c r="E69" s="431"/>
      <c r="F69" s="431"/>
      <c r="G69" s="687"/>
      <c r="H69" s="687"/>
      <c r="I69" s="687"/>
      <c r="J69" s="688"/>
      <c r="K69" s="357"/>
    </row>
    <row r="70" spans="1:11" x14ac:dyDescent="0.3">
      <c r="A70" s="148">
        <f>A69+1</f>
        <v>58</v>
      </c>
      <c r="B70" s="352" t="s">
        <v>257</v>
      </c>
      <c r="C70" s="100" t="s">
        <v>238</v>
      </c>
      <c r="D70" s="431">
        <f>'[2]Input Sheet'!F23</f>
        <v>24</v>
      </c>
      <c r="E70" s="431"/>
      <c r="F70" s="431"/>
      <c r="G70" s="687"/>
      <c r="H70" s="687"/>
      <c r="I70" s="687"/>
      <c r="J70" s="688"/>
      <c r="K70" s="357"/>
    </row>
    <row r="71" spans="1:11" x14ac:dyDescent="0.3">
      <c r="A71" s="148">
        <f>A70+1</f>
        <v>59</v>
      </c>
      <c r="B71" s="99" t="s">
        <v>258</v>
      </c>
      <c r="C71" s="100" t="s">
        <v>238</v>
      </c>
      <c r="D71" s="431">
        <f>'[2]Input Sheet'!F24</f>
        <v>101</v>
      </c>
      <c r="E71" s="431"/>
      <c r="F71" s="431"/>
      <c r="G71" s="687"/>
      <c r="H71" s="687"/>
      <c r="I71" s="687"/>
      <c r="J71" s="688"/>
      <c r="K71" s="357"/>
    </row>
    <row r="72" spans="1:11" x14ac:dyDescent="0.3">
      <c r="A72" s="148">
        <f>A71+1</f>
        <v>60</v>
      </c>
      <c r="B72" s="99" t="s">
        <v>259</v>
      </c>
      <c r="C72" s="100"/>
      <c r="D72" s="593" t="s">
        <v>255</v>
      </c>
      <c r="E72" s="593"/>
      <c r="F72" s="593"/>
      <c r="G72" s="687"/>
      <c r="H72" s="687"/>
      <c r="I72" s="687"/>
      <c r="J72" s="688"/>
      <c r="K72" s="357"/>
    </row>
    <row r="73" spans="1:11" ht="13.5" thickBot="1" x14ac:dyDescent="0.35">
      <c r="A73" s="149">
        <f>A72+1</f>
        <v>61</v>
      </c>
      <c r="B73" s="141" t="s">
        <v>260</v>
      </c>
      <c r="C73" s="359"/>
      <c r="D73" s="751" t="s">
        <v>335</v>
      </c>
      <c r="E73" s="751"/>
      <c r="F73" s="751"/>
      <c r="G73" s="726"/>
      <c r="H73" s="726"/>
      <c r="I73" s="726"/>
      <c r="J73" s="727"/>
      <c r="K73" s="241"/>
    </row>
    <row r="74" spans="1:11" ht="13.5" thickBot="1" x14ac:dyDescent="0.35">
      <c r="A74" s="707" t="s">
        <v>918</v>
      </c>
      <c r="B74" s="708"/>
      <c r="C74" s="708"/>
      <c r="D74" s="708"/>
      <c r="E74" s="708"/>
      <c r="F74" s="752"/>
      <c r="G74" s="752"/>
      <c r="H74" s="752"/>
      <c r="I74" s="752"/>
      <c r="J74" s="753"/>
      <c r="K74" s="238"/>
    </row>
    <row r="75" spans="1:11" x14ac:dyDescent="0.3">
      <c r="A75" s="151">
        <f>A73+1</f>
        <v>62</v>
      </c>
      <c r="B75" s="239" t="s">
        <v>545</v>
      </c>
      <c r="C75" s="345" t="s">
        <v>222</v>
      </c>
      <c r="D75" s="345" t="s">
        <v>262</v>
      </c>
      <c r="E75" s="345" t="s">
        <v>263</v>
      </c>
      <c r="F75" s="320" t="s">
        <v>746</v>
      </c>
      <c r="G75" s="772" t="s">
        <v>221</v>
      </c>
      <c r="H75" s="773"/>
      <c r="I75" s="773"/>
      <c r="J75" s="808"/>
      <c r="K75" s="240"/>
    </row>
    <row r="76" spans="1:11" ht="12.65" customHeight="1" x14ac:dyDescent="0.3">
      <c r="A76" s="151">
        <f>A75+1</f>
        <v>63</v>
      </c>
      <c r="B76" s="358" t="s">
        <v>747</v>
      </c>
      <c r="C76" s="144" t="s">
        <v>330</v>
      </c>
      <c r="D76" s="345"/>
      <c r="E76" s="345"/>
      <c r="F76" s="321" t="s">
        <v>748</v>
      </c>
      <c r="G76" s="756" t="s">
        <v>926</v>
      </c>
      <c r="H76" s="756"/>
      <c r="I76" s="756"/>
      <c r="J76" s="757"/>
      <c r="K76" s="357"/>
    </row>
    <row r="77" spans="1:11" ht="12.65" customHeight="1" x14ac:dyDescent="0.3">
      <c r="A77" s="151">
        <f t="shared" ref="A77:A79" si="4">A76+1</f>
        <v>64</v>
      </c>
      <c r="B77" s="352" t="s">
        <v>749</v>
      </c>
      <c r="C77" s="144" t="s">
        <v>330</v>
      </c>
      <c r="D77" s="345"/>
      <c r="E77" s="345"/>
      <c r="F77" s="321" t="s">
        <v>748</v>
      </c>
      <c r="G77" s="759"/>
      <c r="H77" s="759"/>
      <c r="I77" s="759"/>
      <c r="J77" s="760"/>
      <c r="K77" s="357"/>
    </row>
    <row r="78" spans="1:11" ht="14.15" customHeight="1" x14ac:dyDescent="0.3">
      <c r="A78" s="151">
        <f t="shared" si="4"/>
        <v>65</v>
      </c>
      <c r="B78" s="352" t="s">
        <v>750</v>
      </c>
      <c r="C78" s="144" t="s">
        <v>330</v>
      </c>
      <c r="D78" s="345"/>
      <c r="E78" s="345"/>
      <c r="F78" s="321" t="s">
        <v>751</v>
      </c>
      <c r="G78" s="759"/>
      <c r="H78" s="759"/>
      <c r="I78" s="759"/>
      <c r="J78" s="760"/>
      <c r="K78" s="357"/>
    </row>
    <row r="79" spans="1:11" ht="12.65" customHeight="1" x14ac:dyDescent="0.3">
      <c r="A79" s="151">
        <f t="shared" si="4"/>
        <v>66</v>
      </c>
      <c r="B79" s="352" t="s">
        <v>752</v>
      </c>
      <c r="C79" s="144" t="s">
        <v>330</v>
      </c>
      <c r="D79" s="345"/>
      <c r="E79" s="345"/>
      <c r="F79" s="321" t="s">
        <v>753</v>
      </c>
      <c r="G79" s="759"/>
      <c r="H79" s="759"/>
      <c r="I79" s="759"/>
      <c r="J79" s="760"/>
      <c r="K79" s="357"/>
    </row>
    <row r="80" spans="1:11" ht="14.15" customHeight="1" x14ac:dyDescent="0.3">
      <c r="A80" s="151">
        <f>A79+1</f>
        <v>67</v>
      </c>
      <c r="B80" s="352" t="s">
        <v>919</v>
      </c>
      <c r="C80" s="100" t="s">
        <v>330</v>
      </c>
      <c r="D80" s="100"/>
      <c r="E80" s="113"/>
      <c r="F80" s="321" t="s">
        <v>761</v>
      </c>
      <c r="G80" s="759"/>
      <c r="H80" s="759"/>
      <c r="I80" s="759"/>
      <c r="J80" s="760"/>
      <c r="K80" s="357"/>
    </row>
    <row r="81" spans="1:16" ht="14.15" customHeight="1" x14ac:dyDescent="0.3">
      <c r="A81" s="151">
        <f>A80+1</f>
        <v>68</v>
      </c>
      <c r="B81" s="361" t="s">
        <v>964</v>
      </c>
      <c r="C81" s="100" t="s">
        <v>330</v>
      </c>
      <c r="D81" s="100"/>
      <c r="E81" s="113"/>
      <c r="F81" s="321" t="s">
        <v>824</v>
      </c>
      <c r="G81" s="759"/>
      <c r="H81" s="759"/>
      <c r="I81" s="759"/>
      <c r="J81" s="760"/>
      <c r="K81" s="357"/>
    </row>
    <row r="82" spans="1:16" ht="14.15" customHeight="1" thickBot="1" x14ac:dyDescent="0.35">
      <c r="A82" s="151">
        <f>A81+1</f>
        <v>69</v>
      </c>
      <c r="B82" s="361" t="s">
        <v>959</v>
      </c>
      <c r="C82" s="100" t="s">
        <v>330</v>
      </c>
      <c r="D82" s="100"/>
      <c r="E82" s="113"/>
      <c r="F82" s="321"/>
      <c r="G82" s="759"/>
      <c r="H82" s="759"/>
      <c r="I82" s="759"/>
      <c r="J82" s="760"/>
      <c r="K82" s="357"/>
    </row>
    <row r="83" spans="1:16" ht="13.5" thickBot="1" x14ac:dyDescent="0.35">
      <c r="A83" s="707" t="s">
        <v>760</v>
      </c>
      <c r="B83" s="708"/>
      <c r="C83" s="708"/>
      <c r="D83" s="708"/>
      <c r="E83" s="708"/>
      <c r="F83" s="708"/>
      <c r="G83" s="708"/>
      <c r="H83" s="708"/>
      <c r="I83" s="708"/>
      <c r="J83" s="709"/>
      <c r="K83" s="238"/>
    </row>
    <row r="84" spans="1:16" x14ac:dyDescent="0.3">
      <c r="A84" s="800" t="s">
        <v>963</v>
      </c>
      <c r="B84" s="801"/>
      <c r="C84" s="801"/>
      <c r="D84" s="801"/>
      <c r="E84" s="801"/>
      <c r="F84" s="801"/>
      <c r="G84" s="801"/>
      <c r="H84" s="801"/>
      <c r="I84" s="801"/>
      <c r="J84" s="802"/>
      <c r="K84" s="240"/>
    </row>
    <row r="85" spans="1:16" x14ac:dyDescent="0.3">
      <c r="A85" s="805" t="s">
        <v>922</v>
      </c>
      <c r="B85" s="806"/>
      <c r="C85" s="806"/>
      <c r="D85" s="806"/>
      <c r="E85" s="806"/>
      <c r="F85" s="806"/>
      <c r="G85" s="806"/>
      <c r="H85" s="806"/>
      <c r="I85" s="806"/>
      <c r="J85" s="807"/>
      <c r="K85" s="357"/>
    </row>
    <row r="86" spans="1:16" x14ac:dyDescent="0.3">
      <c r="A86" s="805" t="s">
        <v>920</v>
      </c>
      <c r="B86" s="806"/>
      <c r="C86" s="806"/>
      <c r="D86" s="806"/>
      <c r="E86" s="806"/>
      <c r="F86" s="806"/>
      <c r="G86" s="806"/>
      <c r="H86" s="806"/>
      <c r="I86" s="806"/>
      <c r="J86" s="807"/>
      <c r="K86" s="357"/>
    </row>
    <row r="87" spans="1:16" x14ac:dyDescent="0.3">
      <c r="A87" s="407" t="s">
        <v>921</v>
      </c>
      <c r="B87" s="408"/>
      <c r="C87" s="408"/>
      <c r="D87" s="408"/>
      <c r="E87" s="408"/>
      <c r="F87" s="408"/>
      <c r="G87" s="408"/>
      <c r="H87" s="408"/>
      <c r="I87" s="408"/>
      <c r="J87" s="409"/>
      <c r="K87" s="357"/>
    </row>
    <row r="88" spans="1:16" x14ac:dyDescent="0.3">
      <c r="A88" s="407" t="s">
        <v>923</v>
      </c>
      <c r="B88" s="408"/>
      <c r="C88" s="408"/>
      <c r="D88" s="408"/>
      <c r="E88" s="408"/>
      <c r="F88" s="408"/>
      <c r="G88" s="408"/>
      <c r="H88" s="408"/>
      <c r="I88" s="408"/>
      <c r="J88" s="409"/>
      <c r="K88" s="357"/>
    </row>
    <row r="89" spans="1:16" x14ac:dyDescent="0.3">
      <c r="A89" s="362"/>
      <c r="B89" s="363"/>
      <c r="C89" s="363"/>
      <c r="D89" s="363"/>
      <c r="E89" s="363"/>
      <c r="F89" s="363"/>
      <c r="G89" s="363"/>
      <c r="H89" s="363"/>
      <c r="I89" s="363"/>
      <c r="J89" s="364"/>
      <c r="K89" s="357"/>
    </row>
    <row r="90" spans="1:16" x14ac:dyDescent="0.3">
      <c r="A90" s="805"/>
      <c r="B90" s="806"/>
      <c r="C90" s="806"/>
      <c r="D90" s="806"/>
      <c r="E90" s="806"/>
      <c r="F90" s="806"/>
      <c r="G90" s="806"/>
      <c r="H90" s="806"/>
      <c r="I90" s="806"/>
      <c r="J90" s="807"/>
      <c r="K90" s="357"/>
    </row>
    <row r="91" spans="1:16" x14ac:dyDescent="0.3">
      <c r="A91" s="805"/>
      <c r="B91" s="806"/>
      <c r="C91" s="806"/>
      <c r="D91" s="806"/>
      <c r="E91" s="806"/>
      <c r="F91" s="806"/>
      <c r="G91" s="806"/>
      <c r="H91" s="806"/>
      <c r="I91" s="806"/>
      <c r="J91" s="807"/>
      <c r="K91" s="357"/>
    </row>
    <row r="92" spans="1:16" ht="15" customHeight="1" x14ac:dyDescent="0.3">
      <c r="A92" s="809"/>
      <c r="B92" s="433"/>
      <c r="C92" s="433"/>
      <c r="D92" s="433"/>
      <c r="E92" s="433"/>
      <c r="F92" s="433"/>
      <c r="G92" s="433"/>
      <c r="H92" s="433"/>
      <c r="I92" s="433"/>
      <c r="J92" s="810"/>
      <c r="K92" s="357"/>
    </row>
    <row r="93" spans="1:16" ht="15" customHeight="1" thickBot="1" x14ac:dyDescent="0.35">
      <c r="A93" s="811"/>
      <c r="B93" s="812"/>
      <c r="C93" s="812"/>
      <c r="D93" s="812"/>
      <c r="E93" s="812"/>
      <c r="F93" s="812"/>
      <c r="G93" s="812"/>
      <c r="H93" s="812"/>
      <c r="I93" s="812"/>
      <c r="J93" s="813"/>
      <c r="K93" s="356"/>
    </row>
    <row r="94" spans="1:16" ht="15" customHeight="1" thickBot="1" x14ac:dyDescent="0.35">
      <c r="A94" s="715" t="s">
        <v>269</v>
      </c>
      <c r="B94" s="716"/>
      <c r="C94" s="716"/>
      <c r="D94" s="716"/>
      <c r="E94" s="716"/>
      <c r="F94" s="716"/>
      <c r="G94" s="716"/>
      <c r="H94" s="716"/>
      <c r="I94" s="716"/>
      <c r="J94" s="716"/>
      <c r="K94" s="717"/>
    </row>
    <row r="95" spans="1:16" s="152" customFormat="1" ht="14.5" customHeight="1" x14ac:dyDescent="0.3">
      <c r="B95" s="104"/>
      <c r="C95" s="104"/>
      <c r="D95" s="104"/>
      <c r="E95" s="104"/>
      <c r="F95" s="104"/>
      <c r="G95" s="104"/>
      <c r="H95" s="104"/>
      <c r="I95" s="104"/>
      <c r="J95" s="104"/>
      <c r="K95" s="245"/>
      <c r="L95" s="104"/>
      <c r="M95" s="104"/>
      <c r="N95" s="104"/>
      <c r="O95" s="104"/>
      <c r="P95" s="104"/>
    </row>
  </sheetData>
  <mergeCells count="104">
    <mergeCell ref="A90:J90"/>
    <mergeCell ref="A91:J91"/>
    <mergeCell ref="A92:J92"/>
    <mergeCell ref="A93:J93"/>
    <mergeCell ref="A94:K94"/>
    <mergeCell ref="A86:J86"/>
    <mergeCell ref="A84:J84"/>
    <mergeCell ref="A85:J85"/>
    <mergeCell ref="A67:J67"/>
    <mergeCell ref="D68:F68"/>
    <mergeCell ref="G68:J68"/>
    <mergeCell ref="D69:F69"/>
    <mergeCell ref="G69:J73"/>
    <mergeCell ref="D70:F70"/>
    <mergeCell ref="D71:F71"/>
    <mergeCell ref="D72:F72"/>
    <mergeCell ref="D73:F73"/>
    <mergeCell ref="E61:F61"/>
    <mergeCell ref="C62:D62"/>
    <mergeCell ref="E62:F62"/>
    <mergeCell ref="C63:D63"/>
    <mergeCell ref="E63:F63"/>
    <mergeCell ref="A74:J74"/>
    <mergeCell ref="G75:J75"/>
    <mergeCell ref="G76:J82"/>
    <mergeCell ref="A83:J83"/>
    <mergeCell ref="E57:F57"/>
    <mergeCell ref="C58:D58"/>
    <mergeCell ref="E58:F58"/>
    <mergeCell ref="C59:D59"/>
    <mergeCell ref="E59:F59"/>
    <mergeCell ref="C60:D60"/>
    <mergeCell ref="E60:F60"/>
    <mergeCell ref="A53:J53"/>
    <mergeCell ref="C54:D54"/>
    <mergeCell ref="E54:F54"/>
    <mergeCell ref="G54:J54"/>
    <mergeCell ref="C55:D55"/>
    <mergeCell ref="E55:F55"/>
    <mergeCell ref="G55:J66"/>
    <mergeCell ref="C56:D56"/>
    <mergeCell ref="E56:F56"/>
    <mergeCell ref="C57:D57"/>
    <mergeCell ref="C64:D64"/>
    <mergeCell ref="E64:F64"/>
    <mergeCell ref="C65:D65"/>
    <mergeCell ref="E65:F65"/>
    <mergeCell ref="C66:D66"/>
    <mergeCell ref="E66:F66"/>
    <mergeCell ref="C61:D61"/>
    <mergeCell ref="D46:F46"/>
    <mergeCell ref="D48:F48"/>
    <mergeCell ref="D49:F49"/>
    <mergeCell ref="D50:F50"/>
    <mergeCell ref="D51:F51"/>
    <mergeCell ref="D52:F52"/>
    <mergeCell ref="D38:F38"/>
    <mergeCell ref="D39:F39"/>
    <mergeCell ref="A40:J40"/>
    <mergeCell ref="D41:F41"/>
    <mergeCell ref="G41:J41"/>
    <mergeCell ref="D42:F42"/>
    <mergeCell ref="G42:J52"/>
    <mergeCell ref="D43:F43"/>
    <mergeCell ref="D44:F44"/>
    <mergeCell ref="D45:F45"/>
    <mergeCell ref="D33:F33"/>
    <mergeCell ref="D34:F34"/>
    <mergeCell ref="D35:F35"/>
    <mergeCell ref="D36:F36"/>
    <mergeCell ref="D37:F37"/>
    <mergeCell ref="A27:J27"/>
    <mergeCell ref="G28:J28"/>
    <mergeCell ref="D29:F29"/>
    <mergeCell ref="G29:J39"/>
    <mergeCell ref="D30:F30"/>
    <mergeCell ref="D31:F31"/>
    <mergeCell ref="D32:F32"/>
    <mergeCell ref="D28:F28"/>
    <mergeCell ref="D26:F26"/>
    <mergeCell ref="A13:J13"/>
    <mergeCell ref="G14:J14"/>
    <mergeCell ref="G15:J26"/>
    <mergeCell ref="B19:F19"/>
    <mergeCell ref="D20:F20"/>
    <mergeCell ref="D21:F21"/>
    <mergeCell ref="D22:F22"/>
    <mergeCell ref="D23:F23"/>
    <mergeCell ref="D24:F24"/>
    <mergeCell ref="D25:F25"/>
    <mergeCell ref="A6:K6"/>
    <mergeCell ref="A7:J7"/>
    <mergeCell ref="C8:J8"/>
    <mergeCell ref="C9:J9"/>
    <mergeCell ref="C10:J10"/>
    <mergeCell ref="C11:J11"/>
    <mergeCell ref="A1:K1"/>
    <mergeCell ref="A2:B5"/>
    <mergeCell ref="D2:G2"/>
    <mergeCell ref="H2:K2"/>
    <mergeCell ref="D3:G3"/>
    <mergeCell ref="H3:K3"/>
    <mergeCell ref="D4:G4"/>
    <mergeCell ref="D5:G5"/>
  </mergeCells>
  <pageMargins left="0.70865923009623799" right="0.20865923009623796" top="0.5699989063867017" bottom="0.49802930883639546" header="6.4959536307961502E-2" footer="0.31496062992125984"/>
  <pageSetup scale="83" fitToHeight="0" orientation="portrait" horizontalDpi="1200" verticalDpi="1200" r:id="rId1"/>
  <headerFooter>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2769" r:id="rId4" name="Check Box 1">
              <controlPr defaultSize="0" autoFill="0" autoLine="0" autoPict="0">
                <anchor moveWithCells="1">
                  <from>
                    <xdr:col>3</xdr:col>
                    <xdr:colOff>260350</xdr:colOff>
                    <xdr:row>74</xdr:row>
                    <xdr:rowOff>146050</xdr:rowOff>
                  </from>
                  <to>
                    <xdr:col>4</xdr:col>
                    <xdr:colOff>0</xdr:colOff>
                    <xdr:row>76</xdr:row>
                    <xdr:rowOff>38100</xdr:rowOff>
                  </to>
                </anchor>
              </controlPr>
            </control>
          </mc:Choice>
        </mc:AlternateContent>
        <mc:AlternateContent xmlns:mc="http://schemas.openxmlformats.org/markup-compatibility/2006">
          <mc:Choice Requires="x14">
            <control shapeId="32770" r:id="rId5" name="Check Box 2">
              <controlPr defaultSize="0" autoFill="0" autoLine="0" autoPict="0">
                <anchor moveWithCells="1">
                  <from>
                    <xdr:col>3</xdr:col>
                    <xdr:colOff>260350</xdr:colOff>
                    <xdr:row>79</xdr:row>
                    <xdr:rowOff>0</xdr:rowOff>
                  </from>
                  <to>
                    <xdr:col>4</xdr:col>
                    <xdr:colOff>0</xdr:colOff>
                    <xdr:row>80</xdr:row>
                    <xdr:rowOff>25400</xdr:rowOff>
                  </to>
                </anchor>
              </controlPr>
            </control>
          </mc:Choice>
        </mc:AlternateContent>
        <mc:AlternateContent xmlns:mc="http://schemas.openxmlformats.org/markup-compatibility/2006">
          <mc:Choice Requires="x14">
            <control shapeId="32771" r:id="rId6" name="Check Box 3">
              <controlPr defaultSize="0" autoFill="0" autoLine="0" autoPict="0">
                <anchor moveWithCells="1">
                  <from>
                    <xdr:col>3</xdr:col>
                    <xdr:colOff>260350</xdr:colOff>
                    <xdr:row>77</xdr:row>
                    <xdr:rowOff>146050</xdr:rowOff>
                  </from>
                  <to>
                    <xdr:col>4</xdr:col>
                    <xdr:colOff>0</xdr:colOff>
                    <xdr:row>79</xdr:row>
                    <xdr:rowOff>12700</xdr:rowOff>
                  </to>
                </anchor>
              </controlPr>
            </control>
          </mc:Choice>
        </mc:AlternateContent>
        <mc:AlternateContent xmlns:mc="http://schemas.openxmlformats.org/markup-compatibility/2006">
          <mc:Choice Requires="x14">
            <control shapeId="32772" r:id="rId7" name="Check Box 4">
              <controlPr defaultSize="0" autoFill="0" autoLine="0" autoPict="0">
                <anchor moveWithCells="1">
                  <from>
                    <xdr:col>3</xdr:col>
                    <xdr:colOff>260350</xdr:colOff>
                    <xdr:row>76</xdr:row>
                    <xdr:rowOff>146050</xdr:rowOff>
                  </from>
                  <to>
                    <xdr:col>4</xdr:col>
                    <xdr:colOff>0</xdr:colOff>
                    <xdr:row>78</xdr:row>
                    <xdr:rowOff>12700</xdr:rowOff>
                  </to>
                </anchor>
              </controlPr>
            </control>
          </mc:Choice>
        </mc:AlternateContent>
        <mc:AlternateContent xmlns:mc="http://schemas.openxmlformats.org/markup-compatibility/2006">
          <mc:Choice Requires="x14">
            <control shapeId="32773" r:id="rId8" name="Check Box 5">
              <controlPr defaultSize="0" autoFill="0" autoLine="0" autoPict="0">
                <anchor moveWithCells="1">
                  <from>
                    <xdr:col>2</xdr:col>
                    <xdr:colOff>12700</xdr:colOff>
                    <xdr:row>10</xdr:row>
                    <xdr:rowOff>165100</xdr:rowOff>
                  </from>
                  <to>
                    <xdr:col>2</xdr:col>
                    <xdr:colOff>450850</xdr:colOff>
                    <xdr:row>12</xdr:row>
                    <xdr:rowOff>12700</xdr:rowOff>
                  </to>
                </anchor>
              </controlPr>
            </control>
          </mc:Choice>
        </mc:AlternateContent>
        <mc:AlternateContent xmlns:mc="http://schemas.openxmlformats.org/markup-compatibility/2006">
          <mc:Choice Requires="x14">
            <control shapeId="32774" r:id="rId9" name="Check Box 6">
              <controlPr defaultSize="0" autoFill="0" autoLine="0" autoPict="0">
                <anchor moveWithCells="1">
                  <from>
                    <xdr:col>6</xdr:col>
                    <xdr:colOff>755650</xdr:colOff>
                    <xdr:row>10</xdr:row>
                    <xdr:rowOff>184150</xdr:rowOff>
                  </from>
                  <to>
                    <xdr:col>7</xdr:col>
                    <xdr:colOff>419100</xdr:colOff>
                    <xdr:row>12</xdr:row>
                    <xdr:rowOff>38100</xdr:rowOff>
                  </to>
                </anchor>
              </controlPr>
            </control>
          </mc:Choice>
        </mc:AlternateContent>
        <mc:AlternateContent xmlns:mc="http://schemas.openxmlformats.org/markup-compatibility/2006">
          <mc:Choice Requires="x14">
            <control shapeId="32775" r:id="rId10" name="Check Box 7">
              <controlPr defaultSize="0" autoFill="0" autoLine="0" autoPict="0">
                <anchor moveWithCells="1">
                  <from>
                    <xdr:col>4</xdr:col>
                    <xdr:colOff>431800</xdr:colOff>
                    <xdr:row>10</xdr:row>
                    <xdr:rowOff>165100</xdr:rowOff>
                  </from>
                  <to>
                    <xdr:col>5</xdr:col>
                    <xdr:colOff>146050</xdr:colOff>
                    <xdr:row>12</xdr:row>
                    <xdr:rowOff>38100</xdr:rowOff>
                  </to>
                </anchor>
              </controlPr>
            </control>
          </mc:Choice>
        </mc:AlternateContent>
        <mc:AlternateContent xmlns:mc="http://schemas.openxmlformats.org/markup-compatibility/2006">
          <mc:Choice Requires="x14">
            <control shapeId="32776" r:id="rId11" name="Check Box 8">
              <controlPr defaultSize="0" autoFill="0" autoLine="0" autoPict="0">
                <anchor moveWithCells="1">
                  <from>
                    <xdr:col>3</xdr:col>
                    <xdr:colOff>260350</xdr:colOff>
                    <xdr:row>75</xdr:row>
                    <xdr:rowOff>146050</xdr:rowOff>
                  </from>
                  <to>
                    <xdr:col>4</xdr:col>
                    <xdr:colOff>0</xdr:colOff>
                    <xdr:row>77</xdr:row>
                    <xdr:rowOff>38100</xdr:rowOff>
                  </to>
                </anchor>
              </controlPr>
            </control>
          </mc:Choice>
        </mc:AlternateContent>
        <mc:AlternateContent xmlns:mc="http://schemas.openxmlformats.org/markup-compatibility/2006">
          <mc:Choice Requires="x14">
            <control shapeId="32777" r:id="rId12" name="Check Box 9">
              <controlPr defaultSize="0" autoFill="0" autoLine="0" autoPict="0">
                <anchor moveWithCells="1">
                  <from>
                    <xdr:col>4</xdr:col>
                    <xdr:colOff>241300</xdr:colOff>
                    <xdr:row>74</xdr:row>
                    <xdr:rowOff>146050</xdr:rowOff>
                  </from>
                  <to>
                    <xdr:col>4</xdr:col>
                    <xdr:colOff>666750</xdr:colOff>
                    <xdr:row>76</xdr:row>
                    <xdr:rowOff>38100</xdr:rowOff>
                  </to>
                </anchor>
              </controlPr>
            </control>
          </mc:Choice>
        </mc:AlternateContent>
        <mc:AlternateContent xmlns:mc="http://schemas.openxmlformats.org/markup-compatibility/2006">
          <mc:Choice Requires="x14">
            <control shapeId="32778" r:id="rId13" name="Check Box 10">
              <controlPr defaultSize="0" autoFill="0" autoLine="0" autoPict="0">
                <anchor moveWithCells="1">
                  <from>
                    <xdr:col>4</xdr:col>
                    <xdr:colOff>241300</xdr:colOff>
                    <xdr:row>79</xdr:row>
                    <xdr:rowOff>0</xdr:rowOff>
                  </from>
                  <to>
                    <xdr:col>4</xdr:col>
                    <xdr:colOff>666750</xdr:colOff>
                    <xdr:row>80</xdr:row>
                    <xdr:rowOff>31750</xdr:rowOff>
                  </to>
                </anchor>
              </controlPr>
            </control>
          </mc:Choice>
        </mc:AlternateContent>
        <mc:AlternateContent xmlns:mc="http://schemas.openxmlformats.org/markup-compatibility/2006">
          <mc:Choice Requires="x14">
            <control shapeId="32779" r:id="rId14" name="Check Box 11">
              <controlPr defaultSize="0" autoFill="0" autoLine="0" autoPict="0">
                <anchor moveWithCells="1">
                  <from>
                    <xdr:col>4</xdr:col>
                    <xdr:colOff>241300</xdr:colOff>
                    <xdr:row>77</xdr:row>
                    <xdr:rowOff>146050</xdr:rowOff>
                  </from>
                  <to>
                    <xdr:col>4</xdr:col>
                    <xdr:colOff>666750</xdr:colOff>
                    <xdr:row>79</xdr:row>
                    <xdr:rowOff>12700</xdr:rowOff>
                  </to>
                </anchor>
              </controlPr>
            </control>
          </mc:Choice>
        </mc:AlternateContent>
        <mc:AlternateContent xmlns:mc="http://schemas.openxmlformats.org/markup-compatibility/2006">
          <mc:Choice Requires="x14">
            <control shapeId="32780" r:id="rId15" name="Check Box 12">
              <controlPr defaultSize="0" autoFill="0" autoLine="0" autoPict="0">
                <anchor moveWithCells="1">
                  <from>
                    <xdr:col>4</xdr:col>
                    <xdr:colOff>241300</xdr:colOff>
                    <xdr:row>76</xdr:row>
                    <xdr:rowOff>146050</xdr:rowOff>
                  </from>
                  <to>
                    <xdr:col>4</xdr:col>
                    <xdr:colOff>666750</xdr:colOff>
                    <xdr:row>78</xdr:row>
                    <xdr:rowOff>12700</xdr:rowOff>
                  </to>
                </anchor>
              </controlPr>
            </control>
          </mc:Choice>
        </mc:AlternateContent>
        <mc:AlternateContent xmlns:mc="http://schemas.openxmlformats.org/markup-compatibility/2006">
          <mc:Choice Requires="x14">
            <control shapeId="32781" r:id="rId16" name="Check Box 13">
              <controlPr defaultSize="0" autoFill="0" autoLine="0" autoPict="0">
                <anchor moveWithCells="1">
                  <from>
                    <xdr:col>4</xdr:col>
                    <xdr:colOff>241300</xdr:colOff>
                    <xdr:row>75</xdr:row>
                    <xdr:rowOff>146050</xdr:rowOff>
                  </from>
                  <to>
                    <xdr:col>4</xdr:col>
                    <xdr:colOff>666750</xdr:colOff>
                    <xdr:row>77</xdr:row>
                    <xdr:rowOff>38100</xdr:rowOff>
                  </to>
                </anchor>
              </controlPr>
            </control>
          </mc:Choice>
        </mc:AlternateContent>
        <mc:AlternateContent xmlns:mc="http://schemas.openxmlformats.org/markup-compatibility/2006">
          <mc:Choice Requires="x14">
            <control shapeId="32784" r:id="rId17" name="Check Box 16">
              <controlPr defaultSize="0" autoFill="0" autoLine="0" autoPict="0">
                <anchor moveWithCells="1">
                  <from>
                    <xdr:col>3</xdr:col>
                    <xdr:colOff>260350</xdr:colOff>
                    <xdr:row>79</xdr:row>
                    <xdr:rowOff>152400</xdr:rowOff>
                  </from>
                  <to>
                    <xdr:col>4</xdr:col>
                    <xdr:colOff>0</xdr:colOff>
                    <xdr:row>81</xdr:row>
                    <xdr:rowOff>0</xdr:rowOff>
                  </to>
                </anchor>
              </controlPr>
            </control>
          </mc:Choice>
        </mc:AlternateContent>
        <mc:AlternateContent xmlns:mc="http://schemas.openxmlformats.org/markup-compatibility/2006">
          <mc:Choice Requires="x14">
            <control shapeId="32785" r:id="rId18" name="Check Box 17">
              <controlPr defaultSize="0" autoFill="0" autoLine="0" autoPict="0">
                <anchor moveWithCells="1">
                  <from>
                    <xdr:col>4</xdr:col>
                    <xdr:colOff>241300</xdr:colOff>
                    <xdr:row>79</xdr:row>
                    <xdr:rowOff>146050</xdr:rowOff>
                  </from>
                  <to>
                    <xdr:col>4</xdr:col>
                    <xdr:colOff>666750</xdr:colOff>
                    <xdr:row>81</xdr:row>
                    <xdr:rowOff>0</xdr:rowOff>
                  </to>
                </anchor>
              </controlPr>
            </control>
          </mc:Choice>
        </mc:AlternateContent>
        <mc:AlternateContent xmlns:mc="http://schemas.openxmlformats.org/markup-compatibility/2006">
          <mc:Choice Requires="x14">
            <control shapeId="32786" r:id="rId19" name="Check Box 18">
              <controlPr defaultSize="0" autoFill="0" autoLine="0" autoPict="0">
                <anchor moveWithCells="1">
                  <from>
                    <xdr:col>3</xdr:col>
                    <xdr:colOff>260350</xdr:colOff>
                    <xdr:row>81</xdr:row>
                    <xdr:rowOff>0</xdr:rowOff>
                  </from>
                  <to>
                    <xdr:col>4</xdr:col>
                    <xdr:colOff>0</xdr:colOff>
                    <xdr:row>82</xdr:row>
                    <xdr:rowOff>31750</xdr:rowOff>
                  </to>
                </anchor>
              </controlPr>
            </control>
          </mc:Choice>
        </mc:AlternateContent>
        <mc:AlternateContent xmlns:mc="http://schemas.openxmlformats.org/markup-compatibility/2006">
          <mc:Choice Requires="x14">
            <control shapeId="32787" r:id="rId20" name="Check Box 19">
              <controlPr defaultSize="0" autoFill="0" autoLine="0" autoPict="0">
                <anchor moveWithCells="1">
                  <from>
                    <xdr:col>4</xdr:col>
                    <xdr:colOff>241300</xdr:colOff>
                    <xdr:row>81</xdr:row>
                    <xdr:rowOff>0</xdr:rowOff>
                  </from>
                  <to>
                    <xdr:col>4</xdr:col>
                    <xdr:colOff>666750</xdr:colOff>
                    <xdr:row>82</xdr:row>
                    <xdr:rowOff>31750</xdr:rowOff>
                  </to>
                </anchor>
              </controlPr>
            </control>
          </mc:Choice>
        </mc:AlternateContent>
        <mc:AlternateContent xmlns:mc="http://schemas.openxmlformats.org/markup-compatibility/2006">
          <mc:Choice Requires="x14">
            <control shapeId="32788" r:id="rId21" name="Check Box 20">
              <controlPr defaultSize="0" autoFill="0" autoLine="0" autoPict="0">
                <anchor moveWithCells="1">
                  <from>
                    <xdr:col>3</xdr:col>
                    <xdr:colOff>19050</xdr:colOff>
                    <xdr:row>45</xdr:row>
                    <xdr:rowOff>146050</xdr:rowOff>
                  </from>
                  <to>
                    <xdr:col>3</xdr:col>
                    <xdr:colOff>438150</xdr:colOff>
                    <xdr:row>47</xdr:row>
                    <xdr:rowOff>12700</xdr:rowOff>
                  </to>
                </anchor>
              </controlPr>
            </control>
          </mc:Choice>
        </mc:AlternateContent>
        <mc:AlternateContent xmlns:mc="http://schemas.openxmlformats.org/markup-compatibility/2006">
          <mc:Choice Requires="x14">
            <control shapeId="32789" r:id="rId22" name="Check Box 21">
              <controlPr defaultSize="0" autoFill="0" autoLine="0" autoPict="0">
                <anchor moveWithCells="1">
                  <from>
                    <xdr:col>4</xdr:col>
                    <xdr:colOff>63500</xdr:colOff>
                    <xdr:row>45</xdr:row>
                    <xdr:rowOff>139700</xdr:rowOff>
                  </from>
                  <to>
                    <xdr:col>4</xdr:col>
                    <xdr:colOff>488950</xdr:colOff>
                    <xdr:row>47</xdr:row>
                    <xdr:rowOff>6350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E095-9009-4E4E-BFA1-D13A1912C114}">
  <sheetPr>
    <pageSetUpPr fitToPage="1"/>
  </sheetPr>
  <dimension ref="A1:P103"/>
  <sheetViews>
    <sheetView topLeftCell="A35" zoomScale="85" zoomScaleNormal="85" workbookViewId="0">
      <selection activeCell="O48" sqref="O48"/>
    </sheetView>
  </sheetViews>
  <sheetFormatPr defaultColWidth="8.54296875" defaultRowHeight="13" x14ac:dyDescent="0.3"/>
  <cols>
    <col min="1" max="1" width="3.453125" style="152" customWidth="1"/>
    <col min="2" max="2" width="35" style="104" customWidth="1"/>
    <col min="3" max="3" width="9.54296875" style="104" customWidth="1"/>
    <col min="4" max="4" width="9.81640625" style="104" bestFit="1" customWidth="1"/>
    <col min="5" max="5" width="9.54296875" style="104" bestFit="1" customWidth="1"/>
    <col min="6" max="6" width="11.54296875" style="104" customWidth="1"/>
    <col min="7" max="7" width="10.54296875" style="104" customWidth="1"/>
    <col min="8" max="8" width="8.54296875" style="104" bestFit="1" customWidth="1"/>
    <col min="9" max="9" width="6.81640625" style="104" bestFit="1" customWidth="1"/>
    <col min="10" max="10" width="7.453125" style="104" customWidth="1"/>
    <col min="11" max="11" width="5" style="245" customWidth="1"/>
    <col min="12" max="12" width="8.54296875" style="104"/>
    <col min="13" max="13" width="19.453125" style="104" bestFit="1" customWidth="1"/>
    <col min="14" max="14" width="8.54296875" style="104"/>
    <col min="15" max="16" width="28.1796875" style="104" customWidth="1"/>
    <col min="17" max="16384" width="8.54296875" style="104"/>
  </cols>
  <sheetData>
    <row r="1" spans="1:16" ht="13.5" thickBot="1" x14ac:dyDescent="0.35">
      <c r="A1" s="707" t="s">
        <v>224</v>
      </c>
      <c r="B1" s="708"/>
      <c r="C1" s="708"/>
      <c r="D1" s="708"/>
      <c r="E1" s="708"/>
      <c r="F1" s="708"/>
      <c r="G1" s="708"/>
      <c r="H1" s="708"/>
      <c r="I1" s="708"/>
      <c r="J1" s="708"/>
      <c r="K1" s="709"/>
    </row>
    <row r="2" spans="1:16" ht="14.5" customHeight="1" x14ac:dyDescent="0.3">
      <c r="A2" s="731"/>
      <c r="B2" s="732"/>
      <c r="C2" s="380" t="s">
        <v>219</v>
      </c>
      <c r="D2" s="737" t="s">
        <v>524</v>
      </c>
      <c r="E2" s="737"/>
      <c r="F2" s="737"/>
      <c r="G2" s="737"/>
      <c r="H2" s="738" t="s">
        <v>841</v>
      </c>
      <c r="I2" s="738"/>
      <c r="J2" s="738"/>
      <c r="K2" s="739"/>
    </row>
    <row r="3" spans="1:16" ht="14.5" customHeight="1" x14ac:dyDescent="0.3">
      <c r="A3" s="733"/>
      <c r="B3" s="734"/>
      <c r="C3" s="377" t="s">
        <v>210</v>
      </c>
      <c r="D3" s="602" t="s">
        <v>332</v>
      </c>
      <c r="E3" s="602"/>
      <c r="F3" s="602"/>
      <c r="G3" s="602"/>
      <c r="H3" s="593" t="s">
        <v>223</v>
      </c>
      <c r="I3" s="593"/>
      <c r="J3" s="593"/>
      <c r="K3" s="740"/>
    </row>
    <row r="4" spans="1:16" ht="14.5" customHeight="1" x14ac:dyDescent="0.3">
      <c r="A4" s="733"/>
      <c r="B4" s="734"/>
      <c r="C4" s="377" t="s">
        <v>212</v>
      </c>
      <c r="D4" s="602" t="s">
        <v>525</v>
      </c>
      <c r="E4" s="602"/>
      <c r="F4" s="602"/>
      <c r="G4" s="602"/>
      <c r="H4" s="105" t="s">
        <v>231</v>
      </c>
      <c r="I4" s="105" t="s">
        <v>229</v>
      </c>
      <c r="J4" s="105" t="s">
        <v>230</v>
      </c>
      <c r="K4" s="111" t="s">
        <v>235</v>
      </c>
    </row>
    <row r="5" spans="1:16" ht="15" customHeight="1" thickBot="1" x14ac:dyDescent="0.35">
      <c r="A5" s="735"/>
      <c r="B5" s="736"/>
      <c r="C5" s="381" t="s">
        <v>526</v>
      </c>
      <c r="D5" s="741" t="s">
        <v>228</v>
      </c>
      <c r="E5" s="741"/>
      <c r="F5" s="741"/>
      <c r="G5" s="741"/>
      <c r="H5" s="102" t="s">
        <v>232</v>
      </c>
      <c r="I5" s="102" t="s">
        <v>234</v>
      </c>
      <c r="J5" s="102" t="s">
        <v>233</v>
      </c>
      <c r="K5" s="103" t="s">
        <v>46</v>
      </c>
    </row>
    <row r="6" spans="1:16" ht="8.15" customHeight="1" thickBot="1" x14ac:dyDescent="0.35">
      <c r="A6" s="742"/>
      <c r="B6" s="743"/>
      <c r="C6" s="743"/>
      <c r="D6" s="743"/>
      <c r="E6" s="743"/>
      <c r="F6" s="743"/>
      <c r="G6" s="743"/>
      <c r="H6" s="743"/>
      <c r="I6" s="743"/>
      <c r="J6" s="743"/>
      <c r="K6" s="744"/>
    </row>
    <row r="7" spans="1:16" ht="13.5" thickBot="1" x14ac:dyDescent="0.35">
      <c r="A7" s="707" t="s">
        <v>236</v>
      </c>
      <c r="B7" s="708"/>
      <c r="C7" s="708"/>
      <c r="D7" s="708"/>
      <c r="E7" s="708"/>
      <c r="F7" s="708"/>
      <c r="G7" s="708"/>
      <c r="H7" s="708"/>
      <c r="I7" s="708"/>
      <c r="J7" s="709"/>
      <c r="K7" s="228" t="s">
        <v>235</v>
      </c>
      <c r="M7" s="104" t="s">
        <v>6</v>
      </c>
      <c r="O7" s="137">
        <v>18</v>
      </c>
      <c r="P7" s="137">
        <v>19</v>
      </c>
    </row>
    <row r="8" spans="1:16" x14ac:dyDescent="0.3">
      <c r="A8" s="151">
        <v>1</v>
      </c>
      <c r="B8" s="383" t="s">
        <v>277</v>
      </c>
      <c r="C8" s="775" t="s">
        <v>891</v>
      </c>
      <c r="D8" s="775"/>
      <c r="E8" s="775"/>
      <c r="F8" s="775"/>
      <c r="G8" s="775"/>
      <c r="H8" s="775"/>
      <c r="I8" s="775"/>
      <c r="J8" s="776"/>
      <c r="K8" s="230"/>
      <c r="M8" s="104" t="s">
        <v>14</v>
      </c>
      <c r="O8" s="104" t="str">
        <f>HLOOKUP(O7,'Property Calc_Design Flow'!$E$2:$ED$3,2,FALSE)</f>
        <v>PRODUCT GAS TO POLISHING VESSELS</v>
      </c>
      <c r="P8" s="104" t="str">
        <f>HLOOKUP(P7,'Property Calc_Design Flow'!$E$2:$ED$3,2,FALSE)</f>
        <v>COMPRESSED PRODUCT GAS TO B/L (PG&amp;E SKID)</v>
      </c>
    </row>
    <row r="9" spans="1:16" ht="14.5" x14ac:dyDescent="0.35">
      <c r="A9" s="148">
        <f>A8+1</f>
        <v>2</v>
      </c>
      <c r="B9" s="377" t="s">
        <v>275</v>
      </c>
      <c r="C9" s="602" t="s">
        <v>875</v>
      </c>
      <c r="D9" s="602"/>
      <c r="E9" s="602"/>
      <c r="F9" s="602"/>
      <c r="G9" s="602"/>
      <c r="H9" s="602"/>
      <c r="I9" s="602"/>
      <c r="J9" s="749"/>
      <c r="K9" s="108"/>
      <c r="M9" s="19" t="s">
        <v>1</v>
      </c>
      <c r="N9" s="370" t="s">
        <v>5</v>
      </c>
      <c r="O9" s="370">
        <f>HLOOKUP(O$8,'Property Calc_Design Flow'!$E$3:$EJ$25,MATCH(M9,'Property Calc_Design Flow'!$C$3:$C$24,0),FALSE)</f>
        <v>266</v>
      </c>
      <c r="P9" s="370">
        <f>HLOOKUP(P$8,'Property Calc_Design Flow'!$E$3:$EJ$25,MATCH(M9,'Property Calc_Design Flow'!$C$3:$C$24,0),FALSE)</f>
        <v>265</v>
      </c>
    </row>
    <row r="10" spans="1:16" ht="14.5" x14ac:dyDescent="0.35">
      <c r="A10" s="149">
        <f>A9+1</f>
        <v>3</v>
      </c>
      <c r="B10" s="385" t="s">
        <v>279</v>
      </c>
      <c r="C10" s="602" t="s">
        <v>876</v>
      </c>
      <c r="D10" s="602"/>
      <c r="E10" s="602"/>
      <c r="F10" s="602"/>
      <c r="G10" s="602"/>
      <c r="H10" s="602"/>
      <c r="I10" s="602"/>
      <c r="J10" s="749"/>
      <c r="K10" s="108"/>
      <c r="M10" s="19" t="s">
        <v>0</v>
      </c>
      <c r="N10" s="370" t="s">
        <v>4</v>
      </c>
      <c r="O10" s="370">
        <f>HLOOKUP(O$8,'Property Calc_Design Flow'!$E$3:$EJ$25,MATCH(M10,'Property Calc_Design Flow'!$C$3:$C$24,0),FALSE)</f>
        <v>95</v>
      </c>
      <c r="P10" s="370">
        <f>HLOOKUP(P$8,'Property Calc_Design Flow'!$E$3:$EJ$25,MATCH(M10,'Property Calc_Design Flow'!$C$3:$C$24,0),FALSE)</f>
        <v>95</v>
      </c>
    </row>
    <row r="11" spans="1:16" ht="14.5" x14ac:dyDescent="0.35">
      <c r="A11" s="148">
        <f>A10+1</f>
        <v>4</v>
      </c>
      <c r="B11" s="377" t="s">
        <v>225</v>
      </c>
      <c r="C11" s="602" t="s">
        <v>889</v>
      </c>
      <c r="D11" s="602"/>
      <c r="E11" s="602"/>
      <c r="F11" s="602"/>
      <c r="G11" s="602"/>
      <c r="H11" s="602"/>
      <c r="I11" s="602"/>
      <c r="J11" s="749"/>
      <c r="K11" s="247"/>
      <c r="M11" s="19" t="s">
        <v>26</v>
      </c>
      <c r="N11" s="370" t="s">
        <v>27</v>
      </c>
      <c r="O11" s="370">
        <f>HLOOKUP(O$8,'Property Calc_Design Flow'!$E$3:$EJ$25,MATCH(M11,'Property Calc_Design Flow'!$C$3:$C$24,0),FALSE)</f>
        <v>1393.8650566569991</v>
      </c>
      <c r="P11" s="370">
        <f>HLOOKUP(P$8,'Property Calc_Design Flow'!$E$3:$EJ$25,MATCH(M11,'Property Calc_Design Flow'!$C$3:$C$24,0),FALSE)</f>
        <v>1393.8650566569991</v>
      </c>
    </row>
    <row r="12" spans="1:16" ht="15" thickBot="1" x14ac:dyDescent="0.4">
      <c r="A12" s="231">
        <f>A11+1</f>
        <v>5</v>
      </c>
      <c r="B12" s="232" t="s">
        <v>392</v>
      </c>
      <c r="C12" s="233" t="s">
        <v>393</v>
      </c>
      <c r="D12" s="234"/>
      <c r="E12" s="235"/>
      <c r="F12" s="234" t="s">
        <v>394</v>
      </c>
      <c r="G12" s="234"/>
      <c r="H12" s="236" t="s">
        <v>395</v>
      </c>
      <c r="I12" s="234"/>
      <c r="J12" s="237"/>
      <c r="K12" s="248"/>
      <c r="M12" s="19"/>
      <c r="N12" s="370"/>
      <c r="O12" s="370"/>
      <c r="P12" s="370"/>
    </row>
    <row r="13" spans="1:16" ht="15" thickBot="1" x14ac:dyDescent="0.4">
      <c r="A13" s="707" t="s">
        <v>880</v>
      </c>
      <c r="B13" s="708"/>
      <c r="C13" s="708"/>
      <c r="D13" s="708"/>
      <c r="E13" s="708"/>
      <c r="F13" s="708"/>
      <c r="G13" s="708"/>
      <c r="H13" s="708"/>
      <c r="I13" s="708"/>
      <c r="J13" s="709"/>
      <c r="K13" s="228"/>
      <c r="M13" s="19" t="s">
        <v>28</v>
      </c>
      <c r="N13" s="370" t="s">
        <v>29</v>
      </c>
      <c r="O13" s="370">
        <f>HLOOKUP(O$8,'Property Calc_Design Flow'!$E$3:$EJ$25,MATCH(M13,'Property Calc_Design Flow'!$C$3:$C$24,0),FALSE)</f>
        <v>77.908580641364495</v>
      </c>
      <c r="P13" s="370">
        <f>HLOOKUP(P$8,'Property Calc_Design Flow'!$E$3:$EJ$25,MATCH(M13,'Property Calc_Design Flow'!$C$3:$C$24,0),FALSE)</f>
        <v>78.187124011551688</v>
      </c>
    </row>
    <row r="14" spans="1:16" ht="14.5" x14ac:dyDescent="0.35">
      <c r="A14" s="151">
        <f>A12+1</f>
        <v>6</v>
      </c>
      <c r="B14" s="239" t="s">
        <v>248</v>
      </c>
      <c r="C14" s="368" t="s">
        <v>222</v>
      </c>
      <c r="D14" s="368" t="s">
        <v>215</v>
      </c>
      <c r="E14" s="368" t="s">
        <v>218</v>
      </c>
      <c r="F14" s="368" t="s">
        <v>214</v>
      </c>
      <c r="G14" s="430" t="s">
        <v>221</v>
      </c>
      <c r="H14" s="430"/>
      <c r="I14" s="430"/>
      <c r="J14" s="750"/>
      <c r="K14" s="240"/>
      <c r="M14" s="19" t="s">
        <v>2</v>
      </c>
      <c r="N14" s="370" t="s">
        <v>3</v>
      </c>
      <c r="O14" s="370">
        <f>HLOOKUP(O$8,'Property Calc_Design Flow'!$E$3:$EJ$25,MATCH(M14,'Property Calc_Design Flow'!$C$3:$C$24,0),FALSE)</f>
        <v>3587.0764912074692</v>
      </c>
      <c r="P14" s="370">
        <f>HLOOKUP(P$8,'Property Calc_Design Flow'!$E$3:$EJ$25,MATCH(M14,'Property Calc_Design Flow'!$C$3:$C$24,0),FALSE)</f>
        <v>3587.0764912074692</v>
      </c>
    </row>
    <row r="15" spans="1:16" ht="14.5" x14ac:dyDescent="0.35">
      <c r="A15" s="148">
        <f>A14+1</f>
        <v>7</v>
      </c>
      <c r="B15" s="377" t="s">
        <v>728</v>
      </c>
      <c r="C15" s="100" t="s">
        <v>27</v>
      </c>
      <c r="D15" s="369">
        <f>O11</f>
        <v>1393.8650566569991</v>
      </c>
      <c r="E15" s="369">
        <f>D15</f>
        <v>1393.8650566569991</v>
      </c>
      <c r="F15" s="100">
        <v>175</v>
      </c>
      <c r="G15" s="687" t="s">
        <v>877</v>
      </c>
      <c r="H15" s="687"/>
      <c r="I15" s="687"/>
      <c r="J15" s="688"/>
      <c r="K15" s="379"/>
      <c r="M15" s="19" t="s">
        <v>30</v>
      </c>
      <c r="N15" s="370" t="s">
        <v>31</v>
      </c>
      <c r="O15" s="370">
        <f>HLOOKUP(O$8,'Property Calc_Design Flow'!$E$3:$EJ$25,MATCH(M15,'Property Calc_Design Flow'!$C$3:$C$24,0),FALSE)</f>
        <v>220.37972910859295</v>
      </c>
      <c r="P15" s="370">
        <f>HLOOKUP(P$8,'Property Calc_Design Flow'!$E$3:$EJ$25,MATCH(M15,'Property Calc_Design Flow'!$C$3:$C$24,0),FALSE)</f>
        <v>220.37972910859295</v>
      </c>
    </row>
    <row r="16" spans="1:16" ht="14.5" x14ac:dyDescent="0.35">
      <c r="A16" s="148">
        <f>A15+1</f>
        <v>8</v>
      </c>
      <c r="B16" s="99" t="s">
        <v>288</v>
      </c>
      <c r="C16" s="100" t="s">
        <v>237</v>
      </c>
      <c r="D16" s="390">
        <v>350</v>
      </c>
      <c r="E16" s="390">
        <f>O9</f>
        <v>266</v>
      </c>
      <c r="F16" s="376">
        <v>260</v>
      </c>
      <c r="G16" s="687"/>
      <c r="H16" s="687"/>
      <c r="I16" s="687"/>
      <c r="J16" s="688"/>
      <c r="K16" s="379"/>
      <c r="M16" s="19" t="s">
        <v>18</v>
      </c>
      <c r="N16" s="370"/>
      <c r="O16" s="370">
        <f>HLOOKUP(O$8,'Property Calc_Design Flow'!$E$3:$EJ$25,MATCH(M16,'Property Calc_Design Flow'!$C$3:$C$24,0),FALSE)</f>
        <v>16.276798713369519</v>
      </c>
      <c r="P16" s="370">
        <f>HLOOKUP(P$8,'Property Calc_Design Flow'!$E$3:$EJ$25,MATCH(M16,'Property Calc_Design Flow'!$C$3:$C$24,0),FALSE)</f>
        <v>16.276798713369519</v>
      </c>
    </row>
    <row r="17" spans="1:16" ht="14.5" x14ac:dyDescent="0.35">
      <c r="A17" s="148">
        <f t="shared" ref="A17:A26" si="0">A16+1</f>
        <v>9</v>
      </c>
      <c r="B17" s="99" t="s">
        <v>0</v>
      </c>
      <c r="C17" s="100" t="s">
        <v>238</v>
      </c>
      <c r="D17" s="384">
        <f>O10</f>
        <v>95</v>
      </c>
      <c r="E17" s="384">
        <f>D17</f>
        <v>95</v>
      </c>
      <c r="F17" s="384">
        <f>E17</f>
        <v>95</v>
      </c>
      <c r="G17" s="687"/>
      <c r="H17" s="687"/>
      <c r="I17" s="687"/>
      <c r="J17" s="688"/>
      <c r="K17" s="379"/>
      <c r="M17" s="19" t="s">
        <v>22</v>
      </c>
      <c r="N17" s="370" t="s">
        <v>23</v>
      </c>
      <c r="O17" s="370">
        <f>HLOOKUP(O$8,'Property Calc_Design Flow'!$E$3:$EJ$25,MATCH(M17,'Property Calc_Design Flow'!$C$3:$C$24,0),FALSE)</f>
        <v>0.99980339092408055</v>
      </c>
      <c r="P17" s="370">
        <f>HLOOKUP(P$8,'Property Calc_Design Flow'!$E$3:$EJ$25,MATCH(M17,'Property Calc_Design Flow'!$C$3:$C$24,0),FALSE)</f>
        <v>0.99980339092408022</v>
      </c>
    </row>
    <row r="18" spans="1:16" ht="14.5" x14ac:dyDescent="0.35">
      <c r="A18" s="148">
        <f t="shared" si="0"/>
        <v>10</v>
      </c>
      <c r="B18" s="99" t="s">
        <v>286</v>
      </c>
      <c r="C18" s="100"/>
      <c r="D18" s="390">
        <f>E18*1.1</f>
        <v>17.904478584706474</v>
      </c>
      <c r="E18" s="390">
        <f>O16</f>
        <v>16.276798713369519</v>
      </c>
      <c r="F18" s="390">
        <f>E18*0.9</f>
        <v>14.649118842032568</v>
      </c>
      <c r="G18" s="687"/>
      <c r="H18" s="687"/>
      <c r="I18" s="687"/>
      <c r="J18" s="688"/>
      <c r="K18" s="379"/>
      <c r="M18" s="19" t="s">
        <v>20</v>
      </c>
      <c r="N18" s="370" t="s">
        <v>21</v>
      </c>
      <c r="O18" s="370"/>
      <c r="P18" s="370"/>
    </row>
    <row r="19" spans="1:16" ht="14.5" x14ac:dyDescent="0.35">
      <c r="A19" s="148">
        <f t="shared" si="0"/>
        <v>11</v>
      </c>
      <c r="B19" s="729" t="s">
        <v>287</v>
      </c>
      <c r="C19" s="729"/>
      <c r="D19" s="729"/>
      <c r="E19" s="729"/>
      <c r="F19" s="729"/>
      <c r="G19" s="687"/>
      <c r="H19" s="687"/>
      <c r="I19" s="687"/>
      <c r="J19" s="688"/>
      <c r="K19" s="379"/>
      <c r="M19" s="139"/>
      <c r="N19" s="372"/>
      <c r="O19" s="370"/>
      <c r="P19" s="370"/>
    </row>
    <row r="20" spans="1:16" ht="15" x14ac:dyDescent="0.4">
      <c r="A20" s="148">
        <f t="shared" si="0"/>
        <v>12</v>
      </c>
      <c r="B20" s="99" t="s">
        <v>240</v>
      </c>
      <c r="C20" s="100" t="s">
        <v>122</v>
      </c>
      <c r="D20" s="803">
        <f>O21</f>
        <v>98.243929242641002</v>
      </c>
      <c r="E20" s="803"/>
      <c r="F20" s="803"/>
      <c r="G20" s="687"/>
      <c r="H20" s="687"/>
      <c r="I20" s="687"/>
      <c r="J20" s="688"/>
      <c r="K20" s="379"/>
      <c r="M20" s="375" t="s">
        <v>159</v>
      </c>
      <c r="N20" s="374" t="s">
        <v>3</v>
      </c>
      <c r="O20" s="370" t="str">
        <f>HLOOKUP(O$8,'Property Calc_Design Flow'!$E$3:$EJ$25,MATCH(M20,'Property Calc_Design Flow'!$C$3:$C$24,0),FALSE)</f>
        <v/>
      </c>
      <c r="P20" s="370" t="e">
        <f>HLOOKUP(P$8,'[2]Property Calculation'!$E$3:$EV$25,MATCH(M20,'[2]Property Calculation'!$C$3:$C$24,0),FALSE)</f>
        <v>#N/A</v>
      </c>
    </row>
    <row r="21" spans="1:16" ht="15" x14ac:dyDescent="0.4">
      <c r="A21" s="148">
        <f t="shared" si="0"/>
        <v>13</v>
      </c>
      <c r="B21" s="99" t="s">
        <v>241</v>
      </c>
      <c r="C21" s="100" t="s">
        <v>122</v>
      </c>
      <c r="D21" s="803">
        <f>O22</f>
        <v>0.15006586543830169</v>
      </c>
      <c r="E21" s="803"/>
      <c r="F21" s="803"/>
      <c r="G21" s="687"/>
      <c r="H21" s="687"/>
      <c r="I21" s="687"/>
      <c r="J21" s="688"/>
      <c r="K21" s="379"/>
      <c r="M21" s="19" t="s">
        <v>7</v>
      </c>
      <c r="N21" s="370" t="s">
        <v>122</v>
      </c>
      <c r="O21" s="371">
        <f>HLOOKUP(O$8,'Property Calc_Design Flow'!$E$3:$EJ$25,MATCH(M21,'Property Calc_Design Flow'!$C$3:$C$24,0),FALSE)</f>
        <v>98.243929242641002</v>
      </c>
      <c r="P21" s="371">
        <f>HLOOKUP(P$8,'Property Calc_Design Flow'!$E$3:$EJ$25,MATCH(M21,'Property Calc_Design Flow'!$C$3:$C$24,0),FALSE)</f>
        <v>98.243929242641002</v>
      </c>
    </row>
    <row r="22" spans="1:16" ht="15" x14ac:dyDescent="0.4">
      <c r="A22" s="148">
        <f t="shared" si="0"/>
        <v>14</v>
      </c>
      <c r="B22" s="99" t="s">
        <v>243</v>
      </c>
      <c r="C22" s="100" t="s">
        <v>122</v>
      </c>
      <c r="D22" s="803">
        <f>O23</f>
        <v>1.4906542633537971</v>
      </c>
      <c r="E22" s="803"/>
      <c r="F22" s="803"/>
      <c r="G22" s="687"/>
      <c r="H22" s="687"/>
      <c r="I22" s="687"/>
      <c r="J22" s="688"/>
      <c r="K22" s="379"/>
      <c r="M22" s="19" t="s">
        <v>8</v>
      </c>
      <c r="N22" s="370" t="s">
        <v>122</v>
      </c>
      <c r="O22" s="371">
        <f>HLOOKUP(O$8,'Property Calc_Design Flow'!$E$3:$EJ$25,MATCH(M22,'Property Calc_Design Flow'!$C$3:$C$24,0),FALSE)</f>
        <v>0.15006586543830169</v>
      </c>
      <c r="P22" s="371">
        <f>HLOOKUP(P$8,'Property Calc_Design Flow'!$E$3:$EJ$25,MATCH(M22,'Property Calc_Design Flow'!$C$3:$C$24,0),FALSE)</f>
        <v>0.15006586543830169</v>
      </c>
    </row>
    <row r="23" spans="1:16" ht="15" x14ac:dyDescent="0.4">
      <c r="A23" s="148">
        <f t="shared" si="0"/>
        <v>15</v>
      </c>
      <c r="B23" s="99" t="s">
        <v>242</v>
      </c>
      <c r="C23" s="100" t="s">
        <v>122</v>
      </c>
      <c r="D23" s="803">
        <f>O24</f>
        <v>0.10004391029220111</v>
      </c>
      <c r="E23" s="803"/>
      <c r="F23" s="803"/>
      <c r="G23" s="687"/>
      <c r="H23" s="687"/>
      <c r="I23" s="687"/>
      <c r="J23" s="688"/>
      <c r="K23" s="379"/>
      <c r="M23" s="19" t="s">
        <v>9</v>
      </c>
      <c r="N23" s="370" t="s">
        <v>122</v>
      </c>
      <c r="O23" s="371">
        <f>HLOOKUP(O$8,'Property Calc_Design Flow'!$E$3:$EJ$25,MATCH(M23,'Property Calc_Design Flow'!$C$3:$C$24,0),FALSE)</f>
        <v>1.4906542633537971</v>
      </c>
      <c r="P23" s="371">
        <f>HLOOKUP(P$8,'Property Calc_Design Flow'!$E$3:$EJ$25,MATCH(M23,'Property Calc_Design Flow'!$C$3:$C$24,0),FALSE)</f>
        <v>1.4906542633537971</v>
      </c>
    </row>
    <row r="24" spans="1:16" ht="15" x14ac:dyDescent="0.4">
      <c r="A24" s="148">
        <f t="shared" si="0"/>
        <v>16</v>
      </c>
      <c r="B24" s="99" t="s">
        <v>730</v>
      </c>
      <c r="C24" s="100" t="s">
        <v>239</v>
      </c>
      <c r="D24" s="804">
        <v>8</v>
      </c>
      <c r="E24" s="804"/>
      <c r="F24" s="804"/>
      <c r="G24" s="687"/>
      <c r="H24" s="687"/>
      <c r="I24" s="687"/>
      <c r="J24" s="688"/>
      <c r="K24" s="379"/>
      <c r="M24" s="19" t="s">
        <v>10</v>
      </c>
      <c r="N24" s="370" t="s">
        <v>122</v>
      </c>
      <c r="O24" s="371">
        <f>HLOOKUP(O$8,'Property Calc_Design Flow'!$E$3:$EJ$25,MATCH(M24,'Property Calc_Design Flow'!$C$3:$C$24,0),FALSE)</f>
        <v>0.10004391029220111</v>
      </c>
      <c r="P24" s="371">
        <f>HLOOKUP(P$8,'Property Calc_Design Flow'!$E$3:$EJ$25,MATCH(M24,'Property Calc_Design Flow'!$C$3:$C$24,0),FALSE)</f>
        <v>0.10004391029220111</v>
      </c>
    </row>
    <row r="25" spans="1:16" ht="15" x14ac:dyDescent="0.4">
      <c r="A25" s="148">
        <f t="shared" si="0"/>
        <v>17</v>
      </c>
      <c r="B25" s="99" t="s">
        <v>245</v>
      </c>
      <c r="C25" s="100" t="s">
        <v>122</v>
      </c>
      <c r="D25" s="803">
        <f>O26</f>
        <v>1.4906542633537967E-2</v>
      </c>
      <c r="E25" s="803"/>
      <c r="F25" s="803"/>
      <c r="G25" s="687"/>
      <c r="H25" s="687"/>
      <c r="I25" s="687"/>
      <c r="J25" s="688"/>
      <c r="K25" s="379"/>
      <c r="M25" s="19" t="s">
        <v>11</v>
      </c>
      <c r="N25" s="370" t="s">
        <v>122</v>
      </c>
      <c r="O25" s="371">
        <f>HLOOKUP(O$8,'Property Calc_Design Flow'!$E$3:$EJ$25,MATCH(M25,'Property Calc_Design Flow'!$C$3:$C$24,0),FALSE)</f>
        <v>4.0017564116880447E-4</v>
      </c>
      <c r="P25" s="371">
        <f>HLOOKUP(P$8,'Property Calc_Design Flow'!$E$3:$EJ$25,MATCH(M25,'Property Calc_Design Flow'!$C$3:$C$24,0),FALSE)</f>
        <v>4.0017564116880447E-4</v>
      </c>
    </row>
    <row r="26" spans="1:16" ht="15" thickBot="1" x14ac:dyDescent="0.4">
      <c r="A26" s="149">
        <f t="shared" si="0"/>
        <v>18</v>
      </c>
      <c r="B26" s="141" t="s">
        <v>878</v>
      </c>
      <c r="C26" s="382" t="s">
        <v>239</v>
      </c>
      <c r="D26" s="768">
        <v>5</v>
      </c>
      <c r="E26" s="768"/>
      <c r="F26" s="768"/>
      <c r="G26" s="726"/>
      <c r="H26" s="726"/>
      <c r="I26" s="726"/>
      <c r="J26" s="727"/>
      <c r="K26" s="241"/>
      <c r="M26" s="19" t="s">
        <v>12</v>
      </c>
      <c r="N26" s="370" t="s">
        <v>122</v>
      </c>
      <c r="O26" s="371">
        <f>HLOOKUP(O$8,'Property Calc_Design Flow'!$E$3:$EJ$25,MATCH(M26,'Property Calc_Design Flow'!$C$3:$C$24,0),FALSE)</f>
        <v>1.4906542633537967E-2</v>
      </c>
      <c r="P26" s="371">
        <f>HLOOKUP(P$8,'Property Calc_Design Flow'!$E$3:$EJ$25,MATCH(M26,'Property Calc_Design Flow'!$C$3:$C$24,0),FALSE)</f>
        <v>1.4906542633537967E-2</v>
      </c>
    </row>
    <row r="27" spans="1:16" ht="15" thickBot="1" x14ac:dyDescent="0.4">
      <c r="A27" s="707" t="s">
        <v>879</v>
      </c>
      <c r="B27" s="708"/>
      <c r="C27" s="708"/>
      <c r="D27" s="708"/>
      <c r="E27" s="708"/>
      <c r="F27" s="708"/>
      <c r="G27" s="708"/>
      <c r="H27" s="708"/>
      <c r="I27" s="708"/>
      <c r="J27" s="709"/>
      <c r="K27" s="238"/>
      <c r="M27" s="19" t="s">
        <v>32</v>
      </c>
      <c r="N27" s="370" t="s">
        <v>122</v>
      </c>
      <c r="O27" s="371">
        <f>HLOOKUP(O$8,'Property Calc_Design Flow'!$E$3:$EJ$25,MATCH(M27,'Property Calc_Design Flow'!$C$3:$C$24,0),FALSE)</f>
        <v>0</v>
      </c>
      <c r="P27" s="371">
        <f>HLOOKUP(P$8,'Property Calc_Design Flow'!$E$3:$EJ$25,MATCH(M27,'Property Calc_Design Flow'!$C$3:$C$24,0),FALSE)</f>
        <v>0</v>
      </c>
    </row>
    <row r="28" spans="1:16" x14ac:dyDescent="0.3">
      <c r="A28" s="151">
        <f>A26+1</f>
        <v>19</v>
      </c>
      <c r="B28" s="239" t="s">
        <v>248</v>
      </c>
      <c r="C28" s="368" t="s">
        <v>222</v>
      </c>
      <c r="D28" s="368" t="s">
        <v>215</v>
      </c>
      <c r="E28" s="368" t="s">
        <v>218</v>
      </c>
      <c r="F28" s="368" t="s">
        <v>214</v>
      </c>
      <c r="G28" s="430" t="s">
        <v>221</v>
      </c>
      <c r="H28" s="430"/>
      <c r="I28" s="430"/>
      <c r="J28" s="750"/>
      <c r="K28" s="240"/>
    </row>
    <row r="29" spans="1:16" ht="14.5" x14ac:dyDescent="0.35">
      <c r="A29" s="148">
        <f>A28+1</f>
        <v>20</v>
      </c>
      <c r="B29" s="377" t="s">
        <v>728</v>
      </c>
      <c r="C29" s="100" t="s">
        <v>27</v>
      </c>
      <c r="D29" s="369">
        <f>D15</f>
        <v>1393.8650566569991</v>
      </c>
      <c r="E29" s="369">
        <f>D29</f>
        <v>1393.8650566569991</v>
      </c>
      <c r="F29" s="100">
        <v>250</v>
      </c>
      <c r="G29" s="687" t="s">
        <v>896</v>
      </c>
      <c r="H29" s="687"/>
      <c r="I29" s="687"/>
      <c r="J29" s="688"/>
      <c r="K29" s="379"/>
      <c r="M29" s="35"/>
      <c r="N29" s="372"/>
      <c r="O29" s="372"/>
      <c r="P29" s="372"/>
    </row>
    <row r="30" spans="1:16" ht="14.5" x14ac:dyDescent="0.35">
      <c r="A30" s="148">
        <f>A29+1</f>
        <v>21</v>
      </c>
      <c r="B30" s="99" t="s">
        <v>732</v>
      </c>
      <c r="C30" s="100" t="s">
        <v>237</v>
      </c>
      <c r="D30" s="390">
        <f>D16-1</f>
        <v>349</v>
      </c>
      <c r="E30" s="390">
        <f>E16-1</f>
        <v>265</v>
      </c>
      <c r="F30" s="390">
        <f>F16-1</f>
        <v>259</v>
      </c>
      <c r="G30" s="687"/>
      <c r="H30" s="687"/>
      <c r="I30" s="687"/>
      <c r="J30" s="688"/>
      <c r="K30" s="379"/>
      <c r="M30" s="35"/>
      <c r="N30" s="372"/>
      <c r="O30" s="372"/>
      <c r="P30" s="372"/>
    </row>
    <row r="31" spans="1:16" ht="14.5" x14ac:dyDescent="0.35">
      <c r="A31" s="148">
        <f t="shared" ref="A31:A40" si="1">A30+1</f>
        <v>22</v>
      </c>
      <c r="B31" s="99" t="s">
        <v>0</v>
      </c>
      <c r="C31" s="100" t="s">
        <v>238</v>
      </c>
      <c r="D31" s="384">
        <f>D17</f>
        <v>95</v>
      </c>
      <c r="E31" s="384">
        <f>D31</f>
        <v>95</v>
      </c>
      <c r="F31" s="384">
        <f>E31</f>
        <v>95</v>
      </c>
      <c r="G31" s="687"/>
      <c r="H31" s="687"/>
      <c r="I31" s="687"/>
      <c r="J31" s="688"/>
      <c r="K31" s="379"/>
      <c r="M31" s="35"/>
      <c r="N31" s="372"/>
      <c r="O31" s="372"/>
      <c r="P31" s="372"/>
    </row>
    <row r="32" spans="1:16" ht="14.5" x14ac:dyDescent="0.35">
      <c r="A32" s="148">
        <f>A31+1</f>
        <v>23</v>
      </c>
      <c r="B32" s="99" t="s">
        <v>733</v>
      </c>
      <c r="C32" s="100"/>
      <c r="D32" s="390">
        <f>E32*1.1</f>
        <v>17.904478584706474</v>
      </c>
      <c r="E32" s="390">
        <f>E18</f>
        <v>16.276798713369519</v>
      </c>
      <c r="F32" s="390">
        <f>E32*0.9</f>
        <v>14.649118842032568</v>
      </c>
      <c r="G32" s="687"/>
      <c r="H32" s="687"/>
      <c r="I32" s="687"/>
      <c r="J32" s="688"/>
      <c r="K32" s="379"/>
      <c r="M32" s="35"/>
      <c r="N32" s="372"/>
      <c r="O32" s="372"/>
      <c r="P32" s="372"/>
    </row>
    <row r="33" spans="1:16" ht="14.5" x14ac:dyDescent="0.35">
      <c r="A33" s="148">
        <f t="shared" si="1"/>
        <v>24</v>
      </c>
      <c r="B33" s="729" t="s">
        <v>734</v>
      </c>
      <c r="C33" s="729"/>
      <c r="D33" s="729"/>
      <c r="E33" s="729"/>
      <c r="F33" s="729"/>
      <c r="G33" s="687"/>
      <c r="H33" s="687"/>
      <c r="I33" s="687"/>
      <c r="J33" s="688"/>
      <c r="K33" s="379"/>
      <c r="M33" s="35"/>
      <c r="N33" s="372"/>
      <c r="O33" s="372"/>
      <c r="P33" s="372"/>
    </row>
    <row r="34" spans="1:16" ht="15" x14ac:dyDescent="0.4">
      <c r="A34" s="148">
        <f t="shared" si="1"/>
        <v>25</v>
      </c>
      <c r="B34" s="99" t="s">
        <v>240</v>
      </c>
      <c r="C34" s="100" t="s">
        <v>122</v>
      </c>
      <c r="D34" s="803">
        <f>D20</f>
        <v>98.243929242641002</v>
      </c>
      <c r="E34" s="803"/>
      <c r="F34" s="803"/>
      <c r="G34" s="687"/>
      <c r="H34" s="687"/>
      <c r="I34" s="687"/>
      <c r="J34" s="688"/>
      <c r="K34" s="379"/>
      <c r="M34" s="11"/>
      <c r="N34" s="374"/>
      <c r="O34" s="372"/>
      <c r="P34" s="372"/>
    </row>
    <row r="35" spans="1:16" ht="15" x14ac:dyDescent="0.4">
      <c r="A35" s="148">
        <f t="shared" si="1"/>
        <v>26</v>
      </c>
      <c r="B35" s="99" t="s">
        <v>241</v>
      </c>
      <c r="C35" s="100" t="s">
        <v>122</v>
      </c>
      <c r="D35" s="803">
        <f>D21</f>
        <v>0.15006586543830169</v>
      </c>
      <c r="E35" s="803"/>
      <c r="F35" s="803"/>
      <c r="G35" s="687"/>
      <c r="H35" s="687"/>
      <c r="I35" s="687"/>
      <c r="J35" s="688"/>
      <c r="K35" s="379"/>
      <c r="M35" s="35"/>
      <c r="N35" s="372"/>
      <c r="O35" s="373"/>
      <c r="P35" s="373"/>
    </row>
    <row r="36" spans="1:16" ht="15" x14ac:dyDescent="0.4">
      <c r="A36" s="148">
        <f t="shared" si="1"/>
        <v>27</v>
      </c>
      <c r="B36" s="99" t="s">
        <v>243</v>
      </c>
      <c r="C36" s="100" t="s">
        <v>122</v>
      </c>
      <c r="D36" s="803">
        <f>D22</f>
        <v>1.4906542633537971</v>
      </c>
      <c r="E36" s="803"/>
      <c r="F36" s="803"/>
      <c r="G36" s="687"/>
      <c r="H36" s="687"/>
      <c r="I36" s="687"/>
      <c r="J36" s="688"/>
      <c r="K36" s="379"/>
      <c r="M36" s="35"/>
      <c r="N36" s="372"/>
      <c r="O36" s="373"/>
      <c r="P36" s="373"/>
    </row>
    <row r="37" spans="1:16" ht="15" x14ac:dyDescent="0.4">
      <c r="A37" s="148">
        <f t="shared" si="1"/>
        <v>28</v>
      </c>
      <c r="B37" s="99" t="s">
        <v>242</v>
      </c>
      <c r="C37" s="100" t="s">
        <v>122</v>
      </c>
      <c r="D37" s="803">
        <f>D23</f>
        <v>0.10004391029220111</v>
      </c>
      <c r="E37" s="803"/>
      <c r="F37" s="803"/>
      <c r="G37" s="687"/>
      <c r="H37" s="687"/>
      <c r="I37" s="687"/>
      <c r="J37" s="688"/>
      <c r="K37" s="379"/>
      <c r="M37" s="35"/>
      <c r="N37" s="372"/>
      <c r="O37" s="373"/>
      <c r="P37" s="373"/>
    </row>
    <row r="38" spans="1:16" ht="15" x14ac:dyDescent="0.4">
      <c r="A38" s="148">
        <f t="shared" si="1"/>
        <v>29</v>
      </c>
      <c r="B38" s="99" t="s">
        <v>735</v>
      </c>
      <c r="C38" s="100" t="s">
        <v>239</v>
      </c>
      <c r="D38" s="804" t="s">
        <v>736</v>
      </c>
      <c r="E38" s="804"/>
      <c r="F38" s="804"/>
      <c r="G38" s="687"/>
      <c r="H38" s="687"/>
      <c r="I38" s="687"/>
      <c r="J38" s="688"/>
      <c r="K38" s="379"/>
      <c r="M38" s="35"/>
      <c r="N38" s="372"/>
      <c r="O38" s="373"/>
      <c r="P38" s="373"/>
    </row>
    <row r="39" spans="1:16" ht="15" x14ac:dyDescent="0.4">
      <c r="A39" s="148">
        <f t="shared" si="1"/>
        <v>30</v>
      </c>
      <c r="B39" s="99" t="s">
        <v>737</v>
      </c>
      <c r="C39" s="100" t="s">
        <v>122</v>
      </c>
      <c r="D39" s="803">
        <f>D25</f>
        <v>1.4906542633537967E-2</v>
      </c>
      <c r="E39" s="803"/>
      <c r="F39" s="803"/>
      <c r="G39" s="687"/>
      <c r="H39" s="687"/>
      <c r="I39" s="687"/>
      <c r="J39" s="688"/>
      <c r="K39" s="379"/>
      <c r="M39" s="35"/>
      <c r="N39" s="372"/>
      <c r="O39" s="373"/>
      <c r="P39" s="373"/>
    </row>
    <row r="40" spans="1:16" ht="15" thickBot="1" x14ac:dyDescent="0.4">
      <c r="A40" s="149">
        <f t="shared" si="1"/>
        <v>31</v>
      </c>
      <c r="B40" s="141" t="s">
        <v>881</v>
      </c>
      <c r="C40" s="382" t="s">
        <v>239</v>
      </c>
      <c r="D40" s="768" t="s">
        <v>217</v>
      </c>
      <c r="E40" s="768"/>
      <c r="F40" s="768"/>
      <c r="G40" s="726"/>
      <c r="H40" s="726"/>
      <c r="I40" s="726"/>
      <c r="J40" s="727"/>
      <c r="K40" s="241"/>
      <c r="M40" s="35"/>
      <c r="N40" s="372"/>
      <c r="O40" s="373"/>
      <c r="P40" s="373"/>
    </row>
    <row r="41" spans="1:16" ht="13.5" thickBot="1" x14ac:dyDescent="0.35">
      <c r="A41" s="707" t="s">
        <v>738</v>
      </c>
      <c r="B41" s="708"/>
      <c r="C41" s="708"/>
      <c r="D41" s="708"/>
      <c r="E41" s="708"/>
      <c r="F41" s="708"/>
      <c r="G41" s="708"/>
      <c r="H41" s="708"/>
      <c r="I41" s="708"/>
      <c r="J41" s="709"/>
      <c r="K41" s="238"/>
    </row>
    <row r="42" spans="1:16" x14ac:dyDescent="0.3">
      <c r="A42" s="151">
        <f>A40+1</f>
        <v>32</v>
      </c>
      <c r="B42" s="239" t="s">
        <v>248</v>
      </c>
      <c r="C42" s="368" t="s">
        <v>222</v>
      </c>
      <c r="D42" s="792" t="s">
        <v>251</v>
      </c>
      <c r="E42" s="793"/>
      <c r="F42" s="814"/>
      <c r="G42" s="430" t="s">
        <v>221</v>
      </c>
      <c r="H42" s="430"/>
      <c r="I42" s="430"/>
      <c r="J42" s="750"/>
      <c r="K42" s="240"/>
    </row>
    <row r="43" spans="1:16" ht="13" customHeight="1" x14ac:dyDescent="0.3">
      <c r="A43" s="148">
        <f t="shared" ref="A43:A58" si="2">A42+1</f>
        <v>33</v>
      </c>
      <c r="B43" s="377" t="s">
        <v>794</v>
      </c>
      <c r="C43" s="100"/>
      <c r="D43" s="704" t="s">
        <v>246</v>
      </c>
      <c r="E43" s="705"/>
      <c r="F43" s="706"/>
      <c r="G43" s="755" t="s">
        <v>902</v>
      </c>
      <c r="H43" s="756"/>
      <c r="I43" s="756"/>
      <c r="J43" s="786"/>
      <c r="K43" s="379"/>
    </row>
    <row r="44" spans="1:16" ht="13" customHeight="1" x14ac:dyDescent="0.3">
      <c r="A44" s="148">
        <f t="shared" si="2"/>
        <v>34</v>
      </c>
      <c r="B44" s="377" t="s">
        <v>795</v>
      </c>
      <c r="C44" s="100" t="s">
        <v>796</v>
      </c>
      <c r="D44" s="704" t="s">
        <v>246</v>
      </c>
      <c r="E44" s="705"/>
      <c r="F44" s="706"/>
      <c r="G44" s="758"/>
      <c r="H44" s="787"/>
      <c r="I44" s="787"/>
      <c r="J44" s="788"/>
      <c r="K44" s="379"/>
    </row>
    <row r="45" spans="1:16" ht="13" customHeight="1" x14ac:dyDescent="0.3">
      <c r="A45" s="148">
        <f t="shared" si="2"/>
        <v>35</v>
      </c>
      <c r="B45" s="377" t="s">
        <v>882</v>
      </c>
      <c r="C45" s="100" t="s">
        <v>838</v>
      </c>
      <c r="D45" s="704" t="s">
        <v>246</v>
      </c>
      <c r="E45" s="705"/>
      <c r="F45" s="706"/>
      <c r="G45" s="758"/>
      <c r="H45" s="787"/>
      <c r="I45" s="787"/>
      <c r="J45" s="788"/>
      <c r="K45" s="379"/>
    </row>
    <row r="46" spans="1:16" ht="13" customHeight="1" x14ac:dyDescent="0.3">
      <c r="A46" s="148">
        <f t="shared" si="2"/>
        <v>36</v>
      </c>
      <c r="B46" s="377" t="s">
        <v>839</v>
      </c>
      <c r="C46" s="100" t="s">
        <v>838</v>
      </c>
      <c r="D46" s="704" t="s">
        <v>246</v>
      </c>
      <c r="E46" s="705"/>
      <c r="F46" s="706"/>
      <c r="G46" s="758"/>
      <c r="H46" s="787"/>
      <c r="I46" s="787"/>
      <c r="J46" s="788"/>
      <c r="K46" s="379"/>
    </row>
    <row r="47" spans="1:16" ht="13" customHeight="1" x14ac:dyDescent="0.3">
      <c r="A47" s="148">
        <f t="shared" si="2"/>
        <v>37</v>
      </c>
      <c r="B47" s="377" t="s">
        <v>739</v>
      </c>
      <c r="C47" s="100" t="s">
        <v>740</v>
      </c>
      <c r="D47" s="704">
        <v>12</v>
      </c>
      <c r="E47" s="705"/>
      <c r="F47" s="706"/>
      <c r="G47" s="758"/>
      <c r="H47" s="787"/>
      <c r="I47" s="787"/>
      <c r="J47" s="788"/>
      <c r="K47" s="379"/>
    </row>
    <row r="48" spans="1:16" ht="13" customHeight="1" x14ac:dyDescent="0.3">
      <c r="A48" s="148">
        <f t="shared" si="2"/>
        <v>38</v>
      </c>
      <c r="B48" s="377" t="s">
        <v>903</v>
      </c>
      <c r="C48" s="100" t="s">
        <v>832</v>
      </c>
      <c r="D48" s="704" t="s">
        <v>246</v>
      </c>
      <c r="E48" s="705"/>
      <c r="F48" s="706"/>
      <c r="G48" s="758"/>
      <c r="H48" s="787"/>
      <c r="I48" s="787"/>
      <c r="J48" s="788"/>
      <c r="K48" s="379"/>
    </row>
    <row r="49" spans="1:11" ht="13.5" customHeight="1" x14ac:dyDescent="0.3">
      <c r="A49" s="148">
        <f t="shared" si="2"/>
        <v>39</v>
      </c>
      <c r="B49" s="377" t="s">
        <v>797</v>
      </c>
      <c r="C49" s="100" t="s">
        <v>833</v>
      </c>
      <c r="D49" s="704" t="s">
        <v>246</v>
      </c>
      <c r="E49" s="705"/>
      <c r="F49" s="706"/>
      <c r="G49" s="758"/>
      <c r="H49" s="787"/>
      <c r="I49" s="787"/>
      <c r="J49" s="788"/>
      <c r="K49" s="379"/>
    </row>
    <row r="50" spans="1:11" ht="13" customHeight="1" x14ac:dyDescent="0.3">
      <c r="A50" s="148">
        <f t="shared" si="2"/>
        <v>40</v>
      </c>
      <c r="B50" s="377" t="s">
        <v>798</v>
      </c>
      <c r="C50" s="100" t="s">
        <v>842</v>
      </c>
      <c r="D50" s="704" t="s">
        <v>246</v>
      </c>
      <c r="E50" s="705"/>
      <c r="F50" s="706"/>
      <c r="G50" s="758"/>
      <c r="H50" s="787"/>
      <c r="I50" s="787"/>
      <c r="J50" s="788"/>
      <c r="K50" s="379"/>
    </row>
    <row r="51" spans="1:11" ht="13" customHeight="1" x14ac:dyDescent="0.3">
      <c r="A51" s="148">
        <f t="shared" si="2"/>
        <v>41</v>
      </c>
      <c r="B51" s="377" t="s">
        <v>834</v>
      </c>
      <c r="C51" s="100" t="s">
        <v>63</v>
      </c>
      <c r="D51" s="704" t="s">
        <v>246</v>
      </c>
      <c r="E51" s="705"/>
      <c r="F51" s="706"/>
      <c r="G51" s="758"/>
      <c r="H51" s="787"/>
      <c r="I51" s="787"/>
      <c r="J51" s="788"/>
      <c r="K51" s="379"/>
    </row>
    <row r="52" spans="1:11" ht="13" customHeight="1" x14ac:dyDescent="0.3">
      <c r="A52" s="148">
        <f t="shared" si="2"/>
        <v>42</v>
      </c>
      <c r="B52" s="377" t="s">
        <v>840</v>
      </c>
      <c r="C52" s="100" t="s">
        <v>63</v>
      </c>
      <c r="D52" s="704" t="s">
        <v>246</v>
      </c>
      <c r="E52" s="705"/>
      <c r="F52" s="706"/>
      <c r="G52" s="758"/>
      <c r="H52" s="787"/>
      <c r="I52" s="787"/>
      <c r="J52" s="788"/>
      <c r="K52" s="379"/>
    </row>
    <row r="53" spans="1:11" ht="13" customHeight="1" x14ac:dyDescent="0.3">
      <c r="A53" s="148">
        <f t="shared" si="2"/>
        <v>43</v>
      </c>
      <c r="B53" s="377" t="s">
        <v>835</v>
      </c>
      <c r="C53" s="100" t="s">
        <v>63</v>
      </c>
      <c r="D53" s="704" t="s">
        <v>246</v>
      </c>
      <c r="E53" s="705"/>
      <c r="F53" s="706"/>
      <c r="G53" s="758"/>
      <c r="H53" s="787"/>
      <c r="I53" s="787"/>
      <c r="J53" s="788"/>
      <c r="K53" s="379"/>
    </row>
    <row r="54" spans="1:11" ht="13" customHeight="1" x14ac:dyDescent="0.3">
      <c r="A54" s="148">
        <f t="shared" si="2"/>
        <v>44</v>
      </c>
      <c r="B54" s="377" t="s">
        <v>883</v>
      </c>
      <c r="C54" s="100"/>
      <c r="D54" s="704">
        <v>1</v>
      </c>
      <c r="E54" s="705"/>
      <c r="F54" s="706"/>
      <c r="G54" s="758"/>
      <c r="H54" s="787"/>
      <c r="I54" s="787"/>
      <c r="J54" s="788"/>
      <c r="K54" s="379"/>
    </row>
    <row r="55" spans="1:11" ht="13" customHeight="1" x14ac:dyDescent="0.3">
      <c r="A55" s="148">
        <f t="shared" si="2"/>
        <v>45</v>
      </c>
      <c r="B55" s="377" t="s">
        <v>741</v>
      </c>
      <c r="C55" s="100"/>
      <c r="D55" s="704" t="s">
        <v>408</v>
      </c>
      <c r="E55" s="705"/>
      <c r="F55" s="706"/>
      <c r="G55" s="758"/>
      <c r="H55" s="787"/>
      <c r="I55" s="787"/>
      <c r="J55" s="788"/>
      <c r="K55" s="379"/>
    </row>
    <row r="56" spans="1:11" ht="13" customHeight="1" x14ac:dyDescent="0.3">
      <c r="A56" s="148">
        <f t="shared" si="2"/>
        <v>46</v>
      </c>
      <c r="B56" s="377" t="s">
        <v>799</v>
      </c>
      <c r="C56" s="100" t="s">
        <v>800</v>
      </c>
      <c r="D56" s="704" t="s">
        <v>246</v>
      </c>
      <c r="E56" s="705"/>
      <c r="F56" s="706"/>
      <c r="G56" s="758"/>
      <c r="H56" s="787"/>
      <c r="I56" s="787"/>
      <c r="J56" s="788"/>
      <c r="K56" s="379"/>
    </row>
    <row r="57" spans="1:11" ht="13" customHeight="1" x14ac:dyDescent="0.3">
      <c r="A57" s="148">
        <f t="shared" si="2"/>
        <v>47</v>
      </c>
      <c r="B57" s="377" t="s">
        <v>801</v>
      </c>
      <c r="C57" s="100" t="s">
        <v>802</v>
      </c>
      <c r="D57" s="704" t="s">
        <v>246</v>
      </c>
      <c r="E57" s="705"/>
      <c r="F57" s="706"/>
      <c r="G57" s="758"/>
      <c r="H57" s="787"/>
      <c r="I57" s="787"/>
      <c r="J57" s="788"/>
      <c r="K57" s="379"/>
    </row>
    <row r="58" spans="1:11" ht="13" customHeight="1" thickBot="1" x14ac:dyDescent="0.35">
      <c r="A58" s="148">
        <f t="shared" si="2"/>
        <v>48</v>
      </c>
      <c r="B58" s="377" t="s">
        <v>828</v>
      </c>
      <c r="C58" s="100" t="s">
        <v>829</v>
      </c>
      <c r="D58" s="704" t="s">
        <v>246</v>
      </c>
      <c r="E58" s="705"/>
      <c r="F58" s="706"/>
      <c r="G58" s="758"/>
      <c r="H58" s="787"/>
      <c r="I58" s="787"/>
      <c r="J58" s="788"/>
      <c r="K58" s="379"/>
    </row>
    <row r="59" spans="1:11" ht="15" customHeight="1" thickBot="1" x14ac:dyDescent="0.35">
      <c r="A59" s="707" t="s">
        <v>844</v>
      </c>
      <c r="B59" s="708"/>
      <c r="C59" s="708"/>
      <c r="D59" s="708"/>
      <c r="E59" s="708"/>
      <c r="F59" s="708"/>
      <c r="G59" s="708"/>
      <c r="H59" s="708"/>
      <c r="I59" s="708"/>
      <c r="J59" s="709"/>
      <c r="K59" s="238"/>
    </row>
    <row r="60" spans="1:11" x14ac:dyDescent="0.3">
      <c r="A60" s="151">
        <f>A58+1</f>
        <v>49</v>
      </c>
      <c r="B60" s="239" t="s">
        <v>248</v>
      </c>
      <c r="C60" s="368" t="s">
        <v>222</v>
      </c>
      <c r="D60" s="430" t="s">
        <v>251</v>
      </c>
      <c r="E60" s="430"/>
      <c r="F60" s="430"/>
      <c r="G60" s="430" t="s">
        <v>221</v>
      </c>
      <c r="H60" s="430"/>
      <c r="I60" s="430"/>
      <c r="J60" s="750"/>
      <c r="K60" s="240"/>
    </row>
    <row r="61" spans="1:11" ht="14.5" customHeight="1" x14ac:dyDescent="0.3">
      <c r="A61" s="148">
        <f t="shared" ref="A61:A66" si="3">A60+1</f>
        <v>50</v>
      </c>
      <c r="B61" s="383" t="s">
        <v>804</v>
      </c>
      <c r="C61" s="368"/>
      <c r="D61" s="772" t="s">
        <v>805</v>
      </c>
      <c r="E61" s="773"/>
      <c r="F61" s="808"/>
      <c r="G61" s="755" t="s">
        <v>904</v>
      </c>
      <c r="H61" s="756"/>
      <c r="I61" s="756"/>
      <c r="J61" s="786"/>
      <c r="K61" s="240"/>
    </row>
    <row r="62" spans="1:11" ht="13" customHeight="1" x14ac:dyDescent="0.3">
      <c r="A62" s="148">
        <f t="shared" si="3"/>
        <v>51</v>
      </c>
      <c r="B62" s="377" t="s">
        <v>315</v>
      </c>
      <c r="C62" s="100" t="s">
        <v>5</v>
      </c>
      <c r="D62" s="431">
        <v>350</v>
      </c>
      <c r="E62" s="431"/>
      <c r="F62" s="431"/>
      <c r="G62" s="758"/>
      <c r="H62" s="787"/>
      <c r="I62" s="787"/>
      <c r="J62" s="788"/>
      <c r="K62" s="379"/>
    </row>
    <row r="63" spans="1:11" x14ac:dyDescent="0.3">
      <c r="A63" s="148">
        <f t="shared" si="3"/>
        <v>52</v>
      </c>
      <c r="B63" s="377" t="s">
        <v>745</v>
      </c>
      <c r="C63" s="100" t="s">
        <v>238</v>
      </c>
      <c r="D63" s="431">
        <v>200</v>
      </c>
      <c r="E63" s="431"/>
      <c r="F63" s="431"/>
      <c r="G63" s="758"/>
      <c r="H63" s="787"/>
      <c r="I63" s="787"/>
      <c r="J63" s="788"/>
      <c r="K63" s="379"/>
    </row>
    <row r="64" spans="1:11" x14ac:dyDescent="0.3">
      <c r="A64" s="148">
        <f t="shared" si="3"/>
        <v>53</v>
      </c>
      <c r="B64" s="99" t="s">
        <v>249</v>
      </c>
      <c r="C64" s="100"/>
      <c r="D64" s="431" t="s">
        <v>250</v>
      </c>
      <c r="E64" s="431"/>
      <c r="F64" s="431"/>
      <c r="G64" s="758"/>
      <c r="H64" s="787"/>
      <c r="I64" s="787"/>
      <c r="J64" s="788"/>
      <c r="K64" s="379"/>
    </row>
    <row r="65" spans="1:11" x14ac:dyDescent="0.3">
      <c r="A65" s="148">
        <f t="shared" si="3"/>
        <v>54</v>
      </c>
      <c r="B65" s="99" t="s">
        <v>905</v>
      </c>
      <c r="C65" s="100"/>
      <c r="D65" s="593" t="s">
        <v>884</v>
      </c>
      <c r="E65" s="593"/>
      <c r="F65" s="593"/>
      <c r="G65" s="758"/>
      <c r="H65" s="787"/>
      <c r="I65" s="787"/>
      <c r="J65" s="788"/>
      <c r="K65" s="379"/>
    </row>
    <row r="66" spans="1:11" ht="13.5" thickBot="1" x14ac:dyDescent="0.35">
      <c r="A66" s="149">
        <f t="shared" si="3"/>
        <v>55</v>
      </c>
      <c r="B66" s="141" t="s">
        <v>254</v>
      </c>
      <c r="C66" s="382"/>
      <c r="D66" s="767" t="s">
        <v>213</v>
      </c>
      <c r="E66" s="767"/>
      <c r="F66" s="767"/>
      <c r="G66" s="789"/>
      <c r="H66" s="790"/>
      <c r="I66" s="790"/>
      <c r="J66" s="791"/>
      <c r="K66" s="241"/>
    </row>
    <row r="67" spans="1:11" ht="13.5" thickBot="1" x14ac:dyDescent="0.35">
      <c r="A67" s="707" t="s">
        <v>253</v>
      </c>
      <c r="B67" s="708"/>
      <c r="C67" s="708"/>
      <c r="D67" s="708"/>
      <c r="E67" s="708"/>
      <c r="F67" s="708"/>
      <c r="G67" s="708"/>
      <c r="H67" s="708"/>
      <c r="I67" s="708"/>
      <c r="J67" s="709"/>
      <c r="K67" s="238"/>
    </row>
    <row r="68" spans="1:11" x14ac:dyDescent="0.3">
      <c r="A68" s="151">
        <f>A66+1</f>
        <v>56</v>
      </c>
      <c r="B68" s="239" t="s">
        <v>248</v>
      </c>
      <c r="C68" s="368" t="s">
        <v>222</v>
      </c>
      <c r="D68" s="430" t="s">
        <v>251</v>
      </c>
      <c r="E68" s="430"/>
      <c r="F68" s="430"/>
      <c r="G68" s="430" t="s">
        <v>221</v>
      </c>
      <c r="H68" s="430"/>
      <c r="I68" s="430"/>
      <c r="J68" s="750"/>
      <c r="K68" s="240"/>
    </row>
    <row r="69" spans="1:11" x14ac:dyDescent="0.3">
      <c r="A69" s="148">
        <f>A68+1</f>
        <v>57</v>
      </c>
      <c r="B69" s="377" t="s">
        <v>256</v>
      </c>
      <c r="C69" s="100" t="s">
        <v>63</v>
      </c>
      <c r="D69" s="431">
        <f>'[2]Input Sheet'!F22</f>
        <v>95</v>
      </c>
      <c r="E69" s="431"/>
      <c r="F69" s="431"/>
      <c r="G69" s="687"/>
      <c r="H69" s="687"/>
      <c r="I69" s="687"/>
      <c r="J69" s="688"/>
      <c r="K69" s="379"/>
    </row>
    <row r="70" spans="1:11" x14ac:dyDescent="0.3">
      <c r="A70" s="148">
        <f>A69+1</f>
        <v>58</v>
      </c>
      <c r="B70" s="377" t="s">
        <v>257</v>
      </c>
      <c r="C70" s="100" t="s">
        <v>238</v>
      </c>
      <c r="D70" s="431">
        <f>'[2]Input Sheet'!F23</f>
        <v>24</v>
      </c>
      <c r="E70" s="431"/>
      <c r="F70" s="431"/>
      <c r="G70" s="687"/>
      <c r="H70" s="687"/>
      <c r="I70" s="687"/>
      <c r="J70" s="688"/>
      <c r="K70" s="379"/>
    </row>
    <row r="71" spans="1:11" x14ac:dyDescent="0.3">
      <c r="A71" s="148">
        <f>A70+1</f>
        <v>59</v>
      </c>
      <c r="B71" s="99" t="s">
        <v>258</v>
      </c>
      <c r="C71" s="100" t="s">
        <v>238</v>
      </c>
      <c r="D71" s="431">
        <f>'[2]Input Sheet'!F24</f>
        <v>101</v>
      </c>
      <c r="E71" s="431"/>
      <c r="F71" s="431"/>
      <c r="G71" s="687"/>
      <c r="H71" s="687"/>
      <c r="I71" s="687"/>
      <c r="J71" s="688"/>
      <c r="K71" s="379"/>
    </row>
    <row r="72" spans="1:11" x14ac:dyDescent="0.3">
      <c r="A72" s="148">
        <f>A71+1</f>
        <v>60</v>
      </c>
      <c r="B72" s="99" t="s">
        <v>259</v>
      </c>
      <c r="C72" s="100"/>
      <c r="D72" s="593" t="s">
        <v>255</v>
      </c>
      <c r="E72" s="593"/>
      <c r="F72" s="593"/>
      <c r="G72" s="687"/>
      <c r="H72" s="687"/>
      <c r="I72" s="687"/>
      <c r="J72" s="688"/>
      <c r="K72" s="379"/>
    </row>
    <row r="73" spans="1:11" ht="13.5" thickBot="1" x14ac:dyDescent="0.35">
      <c r="A73" s="149">
        <f>A72+1</f>
        <v>61</v>
      </c>
      <c r="B73" s="141" t="s">
        <v>260</v>
      </c>
      <c r="C73" s="382"/>
      <c r="D73" s="751" t="s">
        <v>335</v>
      </c>
      <c r="E73" s="751"/>
      <c r="F73" s="751"/>
      <c r="G73" s="726"/>
      <c r="H73" s="726"/>
      <c r="I73" s="726"/>
      <c r="J73" s="727"/>
      <c r="K73" s="241"/>
    </row>
    <row r="74" spans="1:11" ht="13.5" thickBot="1" x14ac:dyDescent="0.35">
      <c r="A74" s="707" t="s">
        <v>760</v>
      </c>
      <c r="B74" s="708"/>
      <c r="C74" s="708"/>
      <c r="D74" s="708"/>
      <c r="E74" s="708"/>
      <c r="F74" s="708"/>
      <c r="G74" s="708"/>
      <c r="H74" s="708"/>
      <c r="I74" s="708"/>
      <c r="J74" s="709"/>
      <c r="K74" s="238"/>
    </row>
    <row r="75" spans="1:11" x14ac:dyDescent="0.3">
      <c r="A75" s="800" t="s">
        <v>906</v>
      </c>
      <c r="B75" s="801"/>
      <c r="C75" s="801"/>
      <c r="D75" s="801"/>
      <c r="E75" s="801"/>
      <c r="F75" s="801"/>
      <c r="G75" s="801"/>
      <c r="H75" s="801"/>
      <c r="I75" s="801"/>
      <c r="J75" s="802"/>
      <c r="K75" s="240"/>
    </row>
    <row r="76" spans="1:11" x14ac:dyDescent="0.3">
      <c r="A76" s="805" t="s">
        <v>848</v>
      </c>
      <c r="B76" s="806"/>
      <c r="C76" s="806"/>
      <c r="D76" s="806"/>
      <c r="E76" s="806"/>
      <c r="F76" s="806"/>
      <c r="G76" s="806"/>
      <c r="H76" s="806"/>
      <c r="I76" s="806"/>
      <c r="J76" s="807"/>
      <c r="K76" s="379"/>
    </row>
    <row r="77" spans="1:11" x14ac:dyDescent="0.3">
      <c r="A77" s="805" t="s">
        <v>907</v>
      </c>
      <c r="B77" s="806"/>
      <c r="C77" s="806"/>
      <c r="D77" s="806"/>
      <c r="E77" s="806"/>
      <c r="F77" s="806"/>
      <c r="G77" s="806"/>
      <c r="H77" s="806"/>
      <c r="I77" s="806"/>
      <c r="J77" s="807"/>
      <c r="K77" s="379"/>
    </row>
    <row r="78" spans="1:11" x14ac:dyDescent="0.3">
      <c r="A78" s="805"/>
      <c r="B78" s="806"/>
      <c r="C78" s="806"/>
      <c r="D78" s="806"/>
      <c r="E78" s="806"/>
      <c r="F78" s="806"/>
      <c r="G78" s="806"/>
      <c r="H78" s="806"/>
      <c r="I78" s="806"/>
      <c r="J78" s="807"/>
      <c r="K78" s="379"/>
    </row>
    <row r="79" spans="1:11" x14ac:dyDescent="0.3">
      <c r="A79" s="386"/>
      <c r="B79" s="387"/>
      <c r="C79" s="387"/>
      <c r="D79" s="387"/>
      <c r="E79" s="387"/>
      <c r="F79" s="387"/>
      <c r="G79" s="387"/>
      <c r="H79" s="387"/>
      <c r="I79" s="387"/>
      <c r="J79" s="388"/>
      <c r="K79" s="379"/>
    </row>
    <row r="80" spans="1:11" x14ac:dyDescent="0.3">
      <c r="A80" s="386"/>
      <c r="B80" s="387"/>
      <c r="C80" s="387"/>
      <c r="D80" s="387"/>
      <c r="E80" s="387"/>
      <c r="F80" s="387"/>
      <c r="G80" s="387"/>
      <c r="H80" s="387"/>
      <c r="I80" s="387"/>
      <c r="J80" s="388"/>
      <c r="K80" s="379"/>
    </row>
    <row r="81" spans="1:11" x14ac:dyDescent="0.3">
      <c r="A81" s="386"/>
      <c r="B81" s="387"/>
      <c r="C81" s="387"/>
      <c r="D81" s="387"/>
      <c r="E81" s="387"/>
      <c r="F81" s="387"/>
      <c r="G81" s="387"/>
      <c r="H81" s="387"/>
      <c r="I81" s="387"/>
      <c r="J81" s="388"/>
      <c r="K81" s="379"/>
    </row>
    <row r="82" spans="1:11" x14ac:dyDescent="0.3">
      <c r="A82" s="386"/>
      <c r="B82" s="387"/>
      <c r="C82" s="387"/>
      <c r="D82" s="387"/>
      <c r="E82" s="387"/>
      <c r="F82" s="387"/>
      <c r="G82" s="387"/>
      <c r="H82" s="387"/>
      <c r="I82" s="387"/>
      <c r="J82" s="388"/>
      <c r="K82" s="379"/>
    </row>
    <row r="83" spans="1:11" x14ac:dyDescent="0.3">
      <c r="A83" s="386"/>
      <c r="B83" s="387"/>
      <c r="C83" s="387"/>
      <c r="D83" s="387"/>
      <c r="E83" s="387"/>
      <c r="F83" s="387"/>
      <c r="G83" s="387"/>
      <c r="H83" s="387"/>
      <c r="I83" s="387"/>
      <c r="J83" s="388"/>
      <c r="K83" s="379"/>
    </row>
    <row r="84" spans="1:11" x14ac:dyDescent="0.3">
      <c r="A84" s="386"/>
      <c r="B84" s="387"/>
      <c r="C84" s="387"/>
      <c r="D84" s="387"/>
      <c r="E84" s="387"/>
      <c r="F84" s="387"/>
      <c r="G84" s="387"/>
      <c r="H84" s="387"/>
      <c r="I84" s="387"/>
      <c r="J84" s="388"/>
      <c r="K84" s="379"/>
    </row>
    <row r="85" spans="1:11" x14ac:dyDescent="0.3">
      <c r="A85" s="386"/>
      <c r="B85" s="387"/>
      <c r="C85" s="387"/>
      <c r="D85" s="387"/>
      <c r="E85" s="387"/>
      <c r="F85" s="387"/>
      <c r="G85" s="387"/>
      <c r="H85" s="387"/>
      <c r="I85" s="387"/>
      <c r="J85" s="388"/>
      <c r="K85" s="379"/>
    </row>
    <row r="86" spans="1:11" x14ac:dyDescent="0.3">
      <c r="A86" s="386"/>
      <c r="B86" s="387"/>
      <c r="C86" s="387"/>
      <c r="D86" s="387"/>
      <c r="E86" s="387"/>
      <c r="F86" s="387"/>
      <c r="G86" s="387"/>
      <c r="H86" s="387"/>
      <c r="I86" s="387"/>
      <c r="J86" s="388"/>
      <c r="K86" s="379"/>
    </row>
    <row r="87" spans="1:11" x14ac:dyDescent="0.3">
      <c r="A87" s="386"/>
      <c r="B87" s="387"/>
      <c r="C87" s="387"/>
      <c r="D87" s="387"/>
      <c r="E87" s="387"/>
      <c r="F87" s="387"/>
      <c r="G87" s="387"/>
      <c r="H87" s="387"/>
      <c r="I87" s="387"/>
      <c r="J87" s="388"/>
      <c r="K87" s="379"/>
    </row>
    <row r="88" spans="1:11" x14ac:dyDescent="0.3">
      <c r="A88" s="386"/>
      <c r="B88" s="387"/>
      <c r="C88" s="387"/>
      <c r="D88" s="387"/>
      <c r="E88" s="387"/>
      <c r="F88" s="387"/>
      <c r="G88" s="387"/>
      <c r="H88" s="387"/>
      <c r="I88" s="387"/>
      <c r="J88" s="388"/>
      <c r="K88" s="379"/>
    </row>
    <row r="89" spans="1:11" x14ac:dyDescent="0.3">
      <c r="A89" s="386"/>
      <c r="B89" s="387"/>
      <c r="C89" s="387"/>
      <c r="D89" s="387"/>
      <c r="E89" s="387"/>
      <c r="F89" s="387"/>
      <c r="G89" s="387"/>
      <c r="H89" s="387"/>
      <c r="I89" s="387"/>
      <c r="J89" s="388"/>
      <c r="K89" s="379"/>
    </row>
    <row r="90" spans="1:11" x14ac:dyDescent="0.3">
      <c r="A90" s="386"/>
      <c r="B90" s="387"/>
      <c r="C90" s="387"/>
      <c r="D90" s="387"/>
      <c r="E90" s="387"/>
      <c r="F90" s="387"/>
      <c r="G90" s="387"/>
      <c r="H90" s="387"/>
      <c r="I90" s="387"/>
      <c r="J90" s="388"/>
      <c r="K90" s="379"/>
    </row>
    <row r="91" spans="1:11" x14ac:dyDescent="0.3">
      <c r="A91" s="386"/>
      <c r="B91" s="387"/>
      <c r="C91" s="387"/>
      <c r="D91" s="387"/>
      <c r="E91" s="387"/>
      <c r="F91" s="387"/>
      <c r="G91" s="387"/>
      <c r="H91" s="387"/>
      <c r="I91" s="387"/>
      <c r="J91" s="388"/>
      <c r="K91" s="379"/>
    </row>
    <row r="92" spans="1:11" x14ac:dyDescent="0.3">
      <c r="A92" s="386"/>
      <c r="B92" s="387"/>
      <c r="C92" s="387"/>
      <c r="D92" s="387"/>
      <c r="E92" s="387"/>
      <c r="F92" s="387"/>
      <c r="G92" s="387"/>
      <c r="H92" s="387"/>
      <c r="I92" s="387"/>
      <c r="J92" s="388"/>
      <c r="K92" s="379"/>
    </row>
    <row r="93" spans="1:11" x14ac:dyDescent="0.3">
      <c r="A93" s="805"/>
      <c r="B93" s="806"/>
      <c r="C93" s="806"/>
      <c r="D93" s="806"/>
      <c r="E93" s="806"/>
      <c r="F93" s="806"/>
      <c r="G93" s="806"/>
      <c r="H93" s="806"/>
      <c r="I93" s="806"/>
      <c r="J93" s="807"/>
      <c r="K93" s="379"/>
    </row>
    <row r="94" spans="1:11" x14ac:dyDescent="0.3">
      <c r="A94" s="805"/>
      <c r="B94" s="806"/>
      <c r="C94" s="806"/>
      <c r="D94" s="806"/>
      <c r="E94" s="806"/>
      <c r="F94" s="806"/>
      <c r="G94" s="806"/>
      <c r="H94" s="806"/>
      <c r="I94" s="806"/>
      <c r="J94" s="807"/>
      <c r="K94" s="379"/>
    </row>
    <row r="95" spans="1:11" x14ac:dyDescent="0.3">
      <c r="A95" s="805"/>
      <c r="B95" s="806"/>
      <c r="C95" s="806"/>
      <c r="D95" s="806"/>
      <c r="E95" s="806"/>
      <c r="F95" s="806"/>
      <c r="G95" s="806"/>
      <c r="H95" s="806"/>
      <c r="I95" s="806"/>
      <c r="J95" s="807"/>
      <c r="K95" s="379"/>
    </row>
    <row r="96" spans="1:11" x14ac:dyDescent="0.3">
      <c r="A96" s="805"/>
      <c r="B96" s="806"/>
      <c r="C96" s="806"/>
      <c r="D96" s="806"/>
      <c r="E96" s="806"/>
      <c r="F96" s="806"/>
      <c r="G96" s="806"/>
      <c r="H96" s="806"/>
      <c r="I96" s="806"/>
      <c r="J96" s="807"/>
      <c r="K96" s="379"/>
    </row>
    <row r="97" spans="1:11" x14ac:dyDescent="0.3">
      <c r="A97" s="805"/>
      <c r="B97" s="806"/>
      <c r="C97" s="806"/>
      <c r="D97" s="806"/>
      <c r="E97" s="806"/>
      <c r="F97" s="806"/>
      <c r="G97" s="806"/>
      <c r="H97" s="806"/>
      <c r="I97" s="806"/>
      <c r="J97" s="807"/>
      <c r="K97" s="379"/>
    </row>
    <row r="98" spans="1:11" x14ac:dyDescent="0.3">
      <c r="A98" s="805"/>
      <c r="B98" s="806"/>
      <c r="C98" s="806"/>
      <c r="D98" s="806"/>
      <c r="E98" s="806"/>
      <c r="F98" s="806"/>
      <c r="G98" s="806"/>
      <c r="H98" s="806"/>
      <c r="I98" s="806"/>
      <c r="J98" s="807"/>
      <c r="K98" s="379"/>
    </row>
    <row r="99" spans="1:11" x14ac:dyDescent="0.3">
      <c r="A99" s="805"/>
      <c r="B99" s="806"/>
      <c r="C99" s="806"/>
      <c r="D99" s="806"/>
      <c r="E99" s="806"/>
      <c r="F99" s="806"/>
      <c r="G99" s="806"/>
      <c r="H99" s="806"/>
      <c r="I99" s="806"/>
      <c r="J99" s="807"/>
      <c r="K99" s="379"/>
    </row>
    <row r="100" spans="1:11" ht="15" customHeight="1" x14ac:dyDescent="0.3">
      <c r="A100" s="809"/>
      <c r="B100" s="433"/>
      <c r="C100" s="433"/>
      <c r="D100" s="433"/>
      <c r="E100" s="433"/>
      <c r="F100" s="433"/>
      <c r="G100" s="433"/>
      <c r="H100" s="433"/>
      <c r="I100" s="433"/>
      <c r="J100" s="810"/>
      <c r="K100" s="379"/>
    </row>
    <row r="101" spans="1:11" ht="15" customHeight="1" thickBot="1" x14ac:dyDescent="0.35">
      <c r="A101" s="811"/>
      <c r="B101" s="812"/>
      <c r="C101" s="812"/>
      <c r="D101" s="812"/>
      <c r="E101" s="812"/>
      <c r="F101" s="812"/>
      <c r="G101" s="812"/>
      <c r="H101" s="812"/>
      <c r="I101" s="812"/>
      <c r="J101" s="813"/>
      <c r="K101" s="378"/>
    </row>
    <row r="102" spans="1:11" ht="15" customHeight="1" thickBot="1" x14ac:dyDescent="0.35">
      <c r="A102" s="715" t="s">
        <v>269</v>
      </c>
      <c r="B102" s="716"/>
      <c r="C102" s="716"/>
      <c r="D102" s="716"/>
      <c r="E102" s="716"/>
      <c r="F102" s="716"/>
      <c r="G102" s="716"/>
      <c r="H102" s="716"/>
      <c r="I102" s="716"/>
      <c r="J102" s="716"/>
      <c r="K102" s="717"/>
    </row>
    <row r="103" spans="1:11" ht="14.5" customHeight="1" x14ac:dyDescent="0.3"/>
  </sheetData>
  <mergeCells count="90">
    <mergeCell ref="C11:J11"/>
    <mergeCell ref="A1:K1"/>
    <mergeCell ref="A2:B5"/>
    <mergeCell ref="D2:G2"/>
    <mergeCell ref="H2:K2"/>
    <mergeCell ref="D3:G3"/>
    <mergeCell ref="H3:K3"/>
    <mergeCell ref="D4:G4"/>
    <mergeCell ref="D5:G5"/>
    <mergeCell ref="A6:K6"/>
    <mergeCell ref="A7:J7"/>
    <mergeCell ref="C8:J8"/>
    <mergeCell ref="C9:J9"/>
    <mergeCell ref="C10:J10"/>
    <mergeCell ref="A13:J13"/>
    <mergeCell ref="G14:J14"/>
    <mergeCell ref="G15:J26"/>
    <mergeCell ref="B19:F19"/>
    <mergeCell ref="D20:F20"/>
    <mergeCell ref="D21:F21"/>
    <mergeCell ref="D22:F22"/>
    <mergeCell ref="D23:F23"/>
    <mergeCell ref="D24:F24"/>
    <mergeCell ref="D25:F25"/>
    <mergeCell ref="D26:F26"/>
    <mergeCell ref="A27:J27"/>
    <mergeCell ref="G28:J28"/>
    <mergeCell ref="G29:J40"/>
    <mergeCell ref="B33:F33"/>
    <mergeCell ref="D34:F34"/>
    <mergeCell ref="D35:F35"/>
    <mergeCell ref="D36:F36"/>
    <mergeCell ref="D37:F37"/>
    <mergeCell ref="D38:F38"/>
    <mergeCell ref="D39:F39"/>
    <mergeCell ref="D40:F40"/>
    <mergeCell ref="A41:J41"/>
    <mergeCell ref="G42:J42"/>
    <mergeCell ref="D43:F43"/>
    <mergeCell ref="G43:J58"/>
    <mergeCell ref="D44:F44"/>
    <mergeCell ref="D45:F45"/>
    <mergeCell ref="D46:F46"/>
    <mergeCell ref="D47:F47"/>
    <mergeCell ref="A59:J59"/>
    <mergeCell ref="D48:F48"/>
    <mergeCell ref="D49:F49"/>
    <mergeCell ref="D50:F50"/>
    <mergeCell ref="D51:F51"/>
    <mergeCell ref="D52:F52"/>
    <mergeCell ref="D53:F53"/>
    <mergeCell ref="D54:F54"/>
    <mergeCell ref="D55:F55"/>
    <mergeCell ref="D56:F56"/>
    <mergeCell ref="D57:F57"/>
    <mergeCell ref="D58:F58"/>
    <mergeCell ref="D60:F60"/>
    <mergeCell ref="G60:J60"/>
    <mergeCell ref="D61:F61"/>
    <mergeCell ref="G61:J66"/>
    <mergeCell ref="D62:F62"/>
    <mergeCell ref="D63:F63"/>
    <mergeCell ref="D64:F64"/>
    <mergeCell ref="D65:F65"/>
    <mergeCell ref="D66:F66"/>
    <mergeCell ref="A67:J67"/>
    <mergeCell ref="D68:F68"/>
    <mergeCell ref="G68:J68"/>
    <mergeCell ref="D69:F69"/>
    <mergeCell ref="G69:J73"/>
    <mergeCell ref="D70:F70"/>
    <mergeCell ref="D71:F71"/>
    <mergeCell ref="D72:F72"/>
    <mergeCell ref="D73:F73"/>
    <mergeCell ref="A100:J100"/>
    <mergeCell ref="A101:J101"/>
    <mergeCell ref="A102:K102"/>
    <mergeCell ref="D42:F42"/>
    <mergeCell ref="A94:J94"/>
    <mergeCell ref="A95:J95"/>
    <mergeCell ref="A96:J96"/>
    <mergeCell ref="A97:J97"/>
    <mergeCell ref="A98:J98"/>
    <mergeCell ref="A99:J99"/>
    <mergeCell ref="A74:J74"/>
    <mergeCell ref="A75:J75"/>
    <mergeCell ref="A76:J76"/>
    <mergeCell ref="A77:J77"/>
    <mergeCell ref="A78:J78"/>
    <mergeCell ref="A93:J93"/>
  </mergeCells>
  <pageMargins left="0.70865923009623799" right="0.20865923009623796" top="0.5699989063867017" bottom="0.49802930883639546" header="6.4959536307961502E-2" footer="0.31496062992125984"/>
  <pageSetup scale="83" fitToHeight="0" orientation="portrait" horizontalDpi="1200" verticalDpi="1200" r:id="rId1"/>
  <headerFooter>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3</xdr:col>
                    <xdr:colOff>260350</xdr:colOff>
                    <xdr:row>73</xdr:row>
                    <xdr:rowOff>0</xdr:rowOff>
                  </from>
                  <to>
                    <xdr:col>4</xdr:col>
                    <xdr:colOff>0</xdr:colOff>
                    <xdr:row>74</xdr:row>
                    <xdr:rowOff>50800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2</xdr:col>
                    <xdr:colOff>12700</xdr:colOff>
                    <xdr:row>10</xdr:row>
                    <xdr:rowOff>165100</xdr:rowOff>
                  </from>
                  <to>
                    <xdr:col>2</xdr:col>
                    <xdr:colOff>450850</xdr:colOff>
                    <xdr:row>12</xdr:row>
                    <xdr:rowOff>12700</xdr:rowOff>
                  </to>
                </anchor>
              </controlPr>
            </control>
          </mc:Choice>
        </mc:AlternateContent>
        <mc:AlternateContent xmlns:mc="http://schemas.openxmlformats.org/markup-compatibility/2006">
          <mc:Choice Requires="x14">
            <control shapeId="33798" r:id="rId9" name="Check Box 6">
              <controlPr defaultSize="0" autoFill="0" autoLine="0" autoPict="0">
                <anchor moveWithCells="1">
                  <from>
                    <xdr:col>6</xdr:col>
                    <xdr:colOff>755650</xdr:colOff>
                    <xdr:row>10</xdr:row>
                    <xdr:rowOff>184150</xdr:rowOff>
                  </from>
                  <to>
                    <xdr:col>7</xdr:col>
                    <xdr:colOff>419100</xdr:colOff>
                    <xdr:row>12</xdr:row>
                    <xdr:rowOff>38100</xdr:rowOff>
                  </to>
                </anchor>
              </controlPr>
            </control>
          </mc:Choice>
        </mc:AlternateContent>
        <mc:AlternateContent xmlns:mc="http://schemas.openxmlformats.org/markup-compatibility/2006">
          <mc:Choice Requires="x14">
            <control shapeId="33799" r:id="rId10" name="Check Box 7">
              <controlPr defaultSize="0" autoFill="0" autoLine="0" autoPict="0">
                <anchor moveWithCells="1">
                  <from>
                    <xdr:col>4</xdr:col>
                    <xdr:colOff>431800</xdr:colOff>
                    <xdr:row>10</xdr:row>
                    <xdr:rowOff>165100</xdr:rowOff>
                  </from>
                  <to>
                    <xdr:col>5</xdr:col>
                    <xdr:colOff>184150</xdr:colOff>
                    <xdr:row>12</xdr:row>
                    <xdr:rowOff>38100</xdr:rowOff>
                  </to>
                </anchor>
              </controlPr>
            </control>
          </mc:Choice>
        </mc:AlternateContent>
        <mc:AlternateContent xmlns:mc="http://schemas.openxmlformats.org/markup-compatibility/2006">
          <mc:Choice Requires="x14">
            <control shapeId="33800" r:id="rId11" name="Check Box 8">
              <controlPr defaultSize="0" autoFill="0" autoLine="0" autoPict="0">
                <anchor moveWithCells="1">
                  <from>
                    <xdr:col>3</xdr:col>
                    <xdr:colOff>260350</xdr:colOff>
                    <xdr:row>73</xdr:row>
                    <xdr:rowOff>0</xdr:rowOff>
                  </from>
                  <to>
                    <xdr:col>4</xdr:col>
                    <xdr:colOff>0</xdr:colOff>
                    <xdr:row>74</xdr:row>
                    <xdr:rowOff>38100</xdr:rowOff>
                  </to>
                </anchor>
              </controlPr>
            </control>
          </mc:Choice>
        </mc:AlternateContent>
        <mc:AlternateContent xmlns:mc="http://schemas.openxmlformats.org/markup-compatibility/2006">
          <mc:Choice Requires="x14">
            <control shapeId="33801" r:id="rId12" name="Check Box 9">
              <controlPr defaultSize="0" autoFill="0" autoLine="0" autoPict="0">
                <anchor moveWithCells="1">
                  <from>
                    <xdr:col>4</xdr:col>
                    <xdr:colOff>241300</xdr:colOff>
                    <xdr:row>73</xdr:row>
                    <xdr:rowOff>0</xdr:rowOff>
                  </from>
                  <to>
                    <xdr:col>5</xdr:col>
                    <xdr:colOff>0</xdr:colOff>
                    <xdr:row>74</xdr:row>
                    <xdr:rowOff>50800</xdr:rowOff>
                  </to>
                </anchor>
              </controlPr>
            </control>
          </mc:Choice>
        </mc:AlternateContent>
        <mc:AlternateContent xmlns:mc="http://schemas.openxmlformats.org/markup-compatibility/2006">
          <mc:Choice Requires="x14">
            <control shapeId="33802" r:id="rId13" name="Check Box 10">
              <controlPr defaultSize="0" autoFill="0" autoLine="0" autoPict="0">
                <anchor moveWithCells="1">
                  <from>
                    <xdr:col>4</xdr:col>
                    <xdr:colOff>241300</xdr:colOff>
                    <xdr:row>73</xdr:row>
                    <xdr:rowOff>0</xdr:rowOff>
                  </from>
                  <to>
                    <xdr:col>5</xdr:col>
                    <xdr:colOff>0</xdr:colOff>
                    <xdr:row>74</xdr:row>
                    <xdr:rowOff>38100</xdr:rowOff>
                  </to>
                </anchor>
              </controlPr>
            </control>
          </mc:Choice>
        </mc:AlternateContent>
        <mc:AlternateContent xmlns:mc="http://schemas.openxmlformats.org/markup-compatibility/2006">
          <mc:Choice Requires="x14">
            <control shapeId="33803" r:id="rId14" name="Check Box 11">
              <controlPr defaultSize="0" autoFill="0" autoLine="0" autoPict="0">
                <anchor moveWithCells="1">
                  <from>
                    <xdr:col>4</xdr:col>
                    <xdr:colOff>241300</xdr:colOff>
                    <xdr:row>73</xdr:row>
                    <xdr:rowOff>0</xdr:rowOff>
                  </from>
                  <to>
                    <xdr:col>5</xdr:col>
                    <xdr:colOff>0</xdr:colOff>
                    <xdr:row>74</xdr:row>
                    <xdr:rowOff>31750</xdr:rowOff>
                  </to>
                </anchor>
              </controlPr>
            </control>
          </mc:Choice>
        </mc:AlternateContent>
        <mc:AlternateContent xmlns:mc="http://schemas.openxmlformats.org/markup-compatibility/2006">
          <mc:Choice Requires="x14">
            <control shapeId="33804" r:id="rId15" name="Check Box 12">
              <controlPr defaultSize="0" autoFill="0" autoLine="0" autoPict="0">
                <anchor moveWithCells="1">
                  <from>
                    <xdr:col>4</xdr:col>
                    <xdr:colOff>241300</xdr:colOff>
                    <xdr:row>73</xdr:row>
                    <xdr:rowOff>0</xdr:rowOff>
                  </from>
                  <to>
                    <xdr:col>5</xdr:col>
                    <xdr:colOff>0</xdr:colOff>
                    <xdr:row>74</xdr:row>
                    <xdr:rowOff>31750</xdr:rowOff>
                  </to>
                </anchor>
              </controlPr>
            </control>
          </mc:Choice>
        </mc:AlternateContent>
        <mc:AlternateContent xmlns:mc="http://schemas.openxmlformats.org/markup-compatibility/2006">
          <mc:Choice Requires="x14">
            <control shapeId="33805" r:id="rId16" name="Check Box 13">
              <controlPr defaultSize="0" autoFill="0" autoLine="0" autoPict="0">
                <anchor moveWithCells="1">
                  <from>
                    <xdr:col>4</xdr:col>
                    <xdr:colOff>241300</xdr:colOff>
                    <xdr:row>73</xdr:row>
                    <xdr:rowOff>0</xdr:rowOff>
                  </from>
                  <to>
                    <xdr:col>5</xdr:col>
                    <xdr:colOff>0</xdr:colOff>
                    <xdr:row>74</xdr:row>
                    <xdr:rowOff>50800</xdr:rowOff>
                  </to>
                </anchor>
              </controlPr>
            </control>
          </mc:Choice>
        </mc:AlternateContent>
        <mc:AlternateContent xmlns:mc="http://schemas.openxmlformats.org/markup-compatibility/2006">
          <mc:Choice Requires="x14">
            <control shapeId="33806" r:id="rId17" name="Check Box 14">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3807" r:id="rId18" name="Check Box 15">
              <controlPr defaultSize="0" autoFill="0" autoLine="0" autoPict="0">
                <anchor moveWithCells="1">
                  <from>
                    <xdr:col>4</xdr:col>
                    <xdr:colOff>241300</xdr:colOff>
                    <xdr:row>73</xdr:row>
                    <xdr:rowOff>0</xdr:rowOff>
                  </from>
                  <to>
                    <xdr:col>5</xdr:col>
                    <xdr:colOff>0</xdr:colOff>
                    <xdr:row>74</xdr:row>
                    <xdr:rowOff>31750</xdr:rowOff>
                  </to>
                </anchor>
              </controlPr>
            </control>
          </mc:Choice>
        </mc:AlternateContent>
        <mc:AlternateContent xmlns:mc="http://schemas.openxmlformats.org/markup-compatibility/2006">
          <mc:Choice Requires="x14">
            <control shapeId="33808" r:id="rId19" name="Check Box 16">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3809" r:id="rId20" name="Check Box 17">
              <controlPr defaultSize="0" autoFill="0" autoLine="0" autoPict="0">
                <anchor moveWithCells="1">
                  <from>
                    <xdr:col>4</xdr:col>
                    <xdr:colOff>241300</xdr:colOff>
                    <xdr:row>73</xdr:row>
                    <xdr:rowOff>0</xdr:rowOff>
                  </from>
                  <to>
                    <xdr:col>5</xdr:col>
                    <xdr:colOff>0</xdr:colOff>
                    <xdr:row>74</xdr:row>
                    <xdr:rowOff>38100</xdr:rowOff>
                  </to>
                </anchor>
              </controlPr>
            </control>
          </mc:Choice>
        </mc:AlternateContent>
        <mc:AlternateContent xmlns:mc="http://schemas.openxmlformats.org/markup-compatibility/2006">
          <mc:Choice Requires="x14">
            <control shapeId="33810" r:id="rId21" name="Check Box 18">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3811" r:id="rId22" name="Check Box 19">
              <controlPr defaultSize="0" autoFill="0" autoLine="0" autoPict="0">
                <anchor moveWithCells="1">
                  <from>
                    <xdr:col>4</xdr:col>
                    <xdr:colOff>241300</xdr:colOff>
                    <xdr:row>73</xdr:row>
                    <xdr:rowOff>0</xdr:rowOff>
                  </from>
                  <to>
                    <xdr:col>5</xdr:col>
                    <xdr:colOff>0</xdr:colOff>
                    <xdr:row>74</xdr:row>
                    <xdr:rowOff>38100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75C2-A13B-445E-B3C8-FB1F4696FD1E}">
  <sheetPr>
    <pageSetUpPr fitToPage="1"/>
  </sheetPr>
  <dimension ref="A1:P103"/>
  <sheetViews>
    <sheetView topLeftCell="A22" zoomScale="85" zoomScaleNormal="85" workbookViewId="0">
      <selection activeCell="D43" sqref="D43:F43"/>
    </sheetView>
  </sheetViews>
  <sheetFormatPr defaultColWidth="8.54296875" defaultRowHeight="13" x14ac:dyDescent="0.3"/>
  <cols>
    <col min="1" max="1" width="3.453125" style="152" customWidth="1"/>
    <col min="2" max="2" width="35" style="104" customWidth="1"/>
    <col min="3" max="3" width="9.54296875" style="104" customWidth="1"/>
    <col min="4" max="4" width="9.81640625" style="104" bestFit="1" customWidth="1"/>
    <col min="5" max="5" width="9.54296875" style="104" bestFit="1" customWidth="1"/>
    <col min="6" max="6" width="11.54296875" style="104" customWidth="1"/>
    <col min="7" max="7" width="10.54296875" style="104" customWidth="1"/>
    <col min="8" max="8" width="8.54296875" style="104" bestFit="1" customWidth="1"/>
    <col min="9" max="9" width="6.81640625" style="104" bestFit="1" customWidth="1"/>
    <col min="10" max="10" width="7.453125" style="104" customWidth="1"/>
    <col min="11" max="11" width="5" style="245" customWidth="1"/>
    <col min="12" max="12" width="8.54296875" style="104"/>
    <col min="13" max="13" width="19.453125" style="104" bestFit="1" customWidth="1"/>
    <col min="14" max="14" width="8.54296875" style="104"/>
    <col min="15" max="16" width="28.1796875" style="104" customWidth="1"/>
    <col min="17" max="16384" width="8.54296875" style="104"/>
  </cols>
  <sheetData>
    <row r="1" spans="1:16" ht="13.5" thickBot="1" x14ac:dyDescent="0.35">
      <c r="A1" s="707" t="s">
        <v>224</v>
      </c>
      <c r="B1" s="708"/>
      <c r="C1" s="708"/>
      <c r="D1" s="708"/>
      <c r="E1" s="708"/>
      <c r="F1" s="708"/>
      <c r="G1" s="708"/>
      <c r="H1" s="708"/>
      <c r="I1" s="708"/>
      <c r="J1" s="708"/>
      <c r="K1" s="709"/>
    </row>
    <row r="2" spans="1:16" ht="14.5" customHeight="1" x14ac:dyDescent="0.3">
      <c r="A2" s="731"/>
      <c r="B2" s="732"/>
      <c r="C2" s="380" t="s">
        <v>219</v>
      </c>
      <c r="D2" s="737" t="s">
        <v>524</v>
      </c>
      <c r="E2" s="737"/>
      <c r="F2" s="737"/>
      <c r="G2" s="737"/>
      <c r="H2" s="738" t="s">
        <v>841</v>
      </c>
      <c r="I2" s="738"/>
      <c r="J2" s="738"/>
      <c r="K2" s="739"/>
    </row>
    <row r="3" spans="1:16" ht="14.5" customHeight="1" x14ac:dyDescent="0.3">
      <c r="A3" s="733"/>
      <c r="B3" s="734"/>
      <c r="C3" s="377" t="s">
        <v>210</v>
      </c>
      <c r="D3" s="602" t="s">
        <v>332</v>
      </c>
      <c r="E3" s="602"/>
      <c r="F3" s="602"/>
      <c r="G3" s="602"/>
      <c r="H3" s="593" t="s">
        <v>223</v>
      </c>
      <c r="I3" s="593"/>
      <c r="J3" s="593"/>
      <c r="K3" s="740"/>
    </row>
    <row r="4" spans="1:16" ht="14.5" customHeight="1" x14ac:dyDescent="0.3">
      <c r="A4" s="733"/>
      <c r="B4" s="734"/>
      <c r="C4" s="377" t="s">
        <v>212</v>
      </c>
      <c r="D4" s="602" t="s">
        <v>525</v>
      </c>
      <c r="E4" s="602"/>
      <c r="F4" s="602"/>
      <c r="G4" s="602"/>
      <c r="H4" s="105" t="s">
        <v>231</v>
      </c>
      <c r="I4" s="105" t="s">
        <v>229</v>
      </c>
      <c r="J4" s="105" t="s">
        <v>230</v>
      </c>
      <c r="K4" s="111" t="s">
        <v>235</v>
      </c>
    </row>
    <row r="5" spans="1:16" ht="15" customHeight="1" thickBot="1" x14ac:dyDescent="0.35">
      <c r="A5" s="735"/>
      <c r="B5" s="736"/>
      <c r="C5" s="381" t="s">
        <v>526</v>
      </c>
      <c r="D5" s="741" t="s">
        <v>228</v>
      </c>
      <c r="E5" s="741"/>
      <c r="F5" s="741"/>
      <c r="G5" s="741"/>
      <c r="H5" s="102" t="s">
        <v>232</v>
      </c>
      <c r="I5" s="102" t="s">
        <v>234</v>
      </c>
      <c r="J5" s="102" t="s">
        <v>233</v>
      </c>
      <c r="K5" s="103" t="s">
        <v>46</v>
      </c>
    </row>
    <row r="6" spans="1:16" ht="8.15" customHeight="1" thickBot="1" x14ac:dyDescent="0.35">
      <c r="A6" s="742"/>
      <c r="B6" s="743"/>
      <c r="C6" s="743"/>
      <c r="D6" s="743"/>
      <c r="E6" s="743"/>
      <c r="F6" s="743"/>
      <c r="G6" s="743"/>
      <c r="H6" s="743"/>
      <c r="I6" s="743"/>
      <c r="J6" s="743"/>
      <c r="K6" s="744"/>
    </row>
    <row r="7" spans="1:16" ht="13.5" thickBot="1" x14ac:dyDescent="0.35">
      <c r="A7" s="707" t="s">
        <v>236</v>
      </c>
      <c r="B7" s="708"/>
      <c r="C7" s="708"/>
      <c r="D7" s="708"/>
      <c r="E7" s="708"/>
      <c r="F7" s="708"/>
      <c r="G7" s="708"/>
      <c r="H7" s="708"/>
      <c r="I7" s="708"/>
      <c r="J7" s="709"/>
      <c r="K7" s="228" t="s">
        <v>235</v>
      </c>
      <c r="M7" s="104" t="s">
        <v>6</v>
      </c>
      <c r="O7" s="137">
        <v>18</v>
      </c>
      <c r="P7" s="137">
        <v>19</v>
      </c>
    </row>
    <row r="8" spans="1:16" x14ac:dyDescent="0.3">
      <c r="A8" s="151">
        <v>1</v>
      </c>
      <c r="B8" s="383" t="s">
        <v>277</v>
      </c>
      <c r="C8" s="775" t="s">
        <v>890</v>
      </c>
      <c r="D8" s="775"/>
      <c r="E8" s="775"/>
      <c r="F8" s="775"/>
      <c r="G8" s="775"/>
      <c r="H8" s="775"/>
      <c r="I8" s="775"/>
      <c r="J8" s="776"/>
      <c r="K8" s="230"/>
      <c r="M8" s="104" t="s">
        <v>14</v>
      </c>
      <c r="O8" s="104" t="str">
        <f>HLOOKUP(O7,'Property Calc_Design Flow'!$E$2:$ED$3,2,FALSE)</f>
        <v>PRODUCT GAS TO POLISHING VESSELS</v>
      </c>
      <c r="P8" s="104" t="str">
        <f>HLOOKUP(P7,'Property Calc_Design Flow'!$E$2:$ED$3,2,FALSE)</f>
        <v>COMPRESSED PRODUCT GAS TO B/L (PG&amp;E SKID)</v>
      </c>
    </row>
    <row r="9" spans="1:16" ht="14.5" x14ac:dyDescent="0.35">
      <c r="A9" s="148">
        <f>A8+1</f>
        <v>2</v>
      </c>
      <c r="B9" s="377" t="s">
        <v>275</v>
      </c>
      <c r="C9" s="602" t="s">
        <v>888</v>
      </c>
      <c r="D9" s="602"/>
      <c r="E9" s="602"/>
      <c r="F9" s="602"/>
      <c r="G9" s="602"/>
      <c r="H9" s="602"/>
      <c r="I9" s="602"/>
      <c r="J9" s="749"/>
      <c r="K9" s="108"/>
      <c r="M9" s="19" t="s">
        <v>1</v>
      </c>
      <c r="N9" s="370" t="s">
        <v>5</v>
      </c>
      <c r="O9" s="370">
        <f>HLOOKUP(O$8,'Property Calc_Design Flow'!$E$3:$EJ$25,MATCH(M9,'Property Calc_Design Flow'!$C$3:$C$24,0),FALSE)</f>
        <v>266</v>
      </c>
      <c r="P9" s="370">
        <f>HLOOKUP(P$8,'Property Calc_Design Flow'!$E$3:$EJ$25,MATCH(M9,'Property Calc_Design Flow'!$C$3:$C$24,0),FALSE)</f>
        <v>265</v>
      </c>
    </row>
    <row r="10" spans="1:16" ht="14.5" x14ac:dyDescent="0.35">
      <c r="A10" s="149">
        <f>A9+1</f>
        <v>3</v>
      </c>
      <c r="B10" s="385" t="s">
        <v>279</v>
      </c>
      <c r="C10" s="602" t="s">
        <v>893</v>
      </c>
      <c r="D10" s="602"/>
      <c r="E10" s="602"/>
      <c r="F10" s="602"/>
      <c r="G10" s="602"/>
      <c r="H10" s="602"/>
      <c r="I10" s="602"/>
      <c r="J10" s="749"/>
      <c r="K10" s="108"/>
      <c r="M10" s="19" t="s">
        <v>0</v>
      </c>
      <c r="N10" s="370" t="s">
        <v>4</v>
      </c>
      <c r="O10" s="370">
        <f>HLOOKUP(O$8,'Property Calc_Design Flow'!$E$3:$EJ$25,MATCH(M10,'Property Calc_Design Flow'!$C$3:$C$24,0),FALSE)</f>
        <v>95</v>
      </c>
      <c r="P10" s="370">
        <f>HLOOKUP(P$8,'Property Calc_Design Flow'!$E$3:$EJ$25,MATCH(M10,'Property Calc_Design Flow'!$C$3:$C$24,0),FALSE)</f>
        <v>95</v>
      </c>
    </row>
    <row r="11" spans="1:16" ht="14.5" x14ac:dyDescent="0.35">
      <c r="A11" s="148">
        <f>A10+1</f>
        <v>4</v>
      </c>
      <c r="B11" s="377" t="s">
        <v>225</v>
      </c>
      <c r="C11" s="602" t="s">
        <v>892</v>
      </c>
      <c r="D11" s="602"/>
      <c r="E11" s="602"/>
      <c r="F11" s="602"/>
      <c r="G11" s="602"/>
      <c r="H11" s="602"/>
      <c r="I11" s="602"/>
      <c r="J11" s="749"/>
      <c r="K11" s="247"/>
      <c r="M11" s="19" t="s">
        <v>26</v>
      </c>
      <c r="N11" s="370" t="s">
        <v>27</v>
      </c>
      <c r="O11" s="370">
        <f>HLOOKUP(O$8,'Property Calc_Design Flow'!$E$3:$EJ$25,MATCH(M11,'Property Calc_Design Flow'!$C$3:$C$24,0),FALSE)</f>
        <v>1393.8650566569991</v>
      </c>
      <c r="P11" s="370">
        <f>HLOOKUP(P$8,'Property Calc_Design Flow'!$E$3:$EJ$25,MATCH(M11,'Property Calc_Design Flow'!$C$3:$C$24,0),FALSE)</f>
        <v>1393.8650566569991</v>
      </c>
    </row>
    <row r="12" spans="1:16" ht="15" thickBot="1" x14ac:dyDescent="0.4">
      <c r="A12" s="231">
        <f>A11+1</f>
        <v>5</v>
      </c>
      <c r="B12" s="232" t="s">
        <v>392</v>
      </c>
      <c r="C12" s="233" t="s">
        <v>393</v>
      </c>
      <c r="D12" s="234"/>
      <c r="E12" s="235"/>
      <c r="F12" s="234" t="s">
        <v>394</v>
      </c>
      <c r="G12" s="234"/>
      <c r="H12" s="236" t="s">
        <v>395</v>
      </c>
      <c r="I12" s="234"/>
      <c r="J12" s="237"/>
      <c r="K12" s="248"/>
      <c r="M12" s="19"/>
      <c r="N12" s="370"/>
      <c r="O12" s="370"/>
      <c r="P12" s="370"/>
    </row>
    <row r="13" spans="1:16" ht="15" thickBot="1" x14ac:dyDescent="0.4">
      <c r="A13" s="707" t="s">
        <v>880</v>
      </c>
      <c r="B13" s="708"/>
      <c r="C13" s="708"/>
      <c r="D13" s="708"/>
      <c r="E13" s="708"/>
      <c r="F13" s="708"/>
      <c r="G13" s="708"/>
      <c r="H13" s="708"/>
      <c r="I13" s="708"/>
      <c r="J13" s="709"/>
      <c r="K13" s="228"/>
      <c r="M13" s="19" t="s">
        <v>28</v>
      </c>
      <c r="N13" s="370" t="s">
        <v>29</v>
      </c>
      <c r="O13" s="370">
        <f>HLOOKUP(O$8,'Property Calc_Design Flow'!$E$3:$EJ$25,MATCH(M13,'Property Calc_Design Flow'!$C$3:$C$24,0),FALSE)</f>
        <v>77.908580641364495</v>
      </c>
      <c r="P13" s="370">
        <f>HLOOKUP(P$8,'Property Calc_Design Flow'!$E$3:$EJ$25,MATCH(M13,'Property Calc_Design Flow'!$C$3:$C$24,0),FALSE)</f>
        <v>78.187124011551688</v>
      </c>
    </row>
    <row r="14" spans="1:16" ht="14.5" x14ac:dyDescent="0.35">
      <c r="A14" s="151">
        <f>A12+1</f>
        <v>6</v>
      </c>
      <c r="B14" s="239" t="s">
        <v>248</v>
      </c>
      <c r="C14" s="368" t="s">
        <v>222</v>
      </c>
      <c r="D14" s="368" t="s">
        <v>215</v>
      </c>
      <c r="E14" s="368" t="s">
        <v>218</v>
      </c>
      <c r="F14" s="368" t="s">
        <v>214</v>
      </c>
      <c r="G14" s="430" t="s">
        <v>221</v>
      </c>
      <c r="H14" s="430"/>
      <c r="I14" s="430"/>
      <c r="J14" s="750"/>
      <c r="K14" s="240"/>
      <c r="M14" s="19" t="s">
        <v>2</v>
      </c>
      <c r="N14" s="370" t="s">
        <v>3</v>
      </c>
      <c r="O14" s="370">
        <f>HLOOKUP(O$8,'Property Calc_Design Flow'!$E$3:$EJ$25,MATCH(M14,'Property Calc_Design Flow'!$C$3:$C$24,0),FALSE)</f>
        <v>3587.0764912074692</v>
      </c>
      <c r="P14" s="370">
        <f>HLOOKUP(P$8,'Property Calc_Design Flow'!$E$3:$EJ$25,MATCH(M14,'Property Calc_Design Flow'!$C$3:$C$24,0),FALSE)</f>
        <v>3587.0764912074692</v>
      </c>
    </row>
    <row r="15" spans="1:16" ht="14.5" x14ac:dyDescent="0.35">
      <c r="A15" s="148">
        <f>A14+1</f>
        <v>7</v>
      </c>
      <c r="B15" s="377" t="s">
        <v>728</v>
      </c>
      <c r="C15" s="100" t="s">
        <v>27</v>
      </c>
      <c r="D15" s="369">
        <f>O11</f>
        <v>1393.8650566569991</v>
      </c>
      <c r="E15" s="369">
        <f>D15</f>
        <v>1393.8650566569991</v>
      </c>
      <c r="F15" s="100">
        <v>175</v>
      </c>
      <c r="G15" s="687" t="s">
        <v>894</v>
      </c>
      <c r="H15" s="687"/>
      <c r="I15" s="687"/>
      <c r="J15" s="688"/>
      <c r="K15" s="379"/>
      <c r="M15" s="19" t="s">
        <v>30</v>
      </c>
      <c r="N15" s="370" t="s">
        <v>31</v>
      </c>
      <c r="O15" s="370">
        <f>HLOOKUP(O$8,'Property Calc_Design Flow'!$E$3:$EJ$25,MATCH(M15,'Property Calc_Design Flow'!$C$3:$C$24,0),FALSE)</f>
        <v>220.37972910859295</v>
      </c>
      <c r="P15" s="370">
        <f>HLOOKUP(P$8,'Property Calc_Design Flow'!$E$3:$EJ$25,MATCH(M15,'Property Calc_Design Flow'!$C$3:$C$24,0),FALSE)</f>
        <v>220.37972910859295</v>
      </c>
    </row>
    <row r="16" spans="1:16" ht="14.5" x14ac:dyDescent="0.35">
      <c r="A16" s="148">
        <f>A15+1</f>
        <v>8</v>
      </c>
      <c r="B16" s="99" t="s">
        <v>288</v>
      </c>
      <c r="C16" s="100" t="s">
        <v>237</v>
      </c>
      <c r="D16" s="390">
        <f>350-1</f>
        <v>349</v>
      </c>
      <c r="E16" s="390">
        <f>O9-1</f>
        <v>265</v>
      </c>
      <c r="F16" s="376">
        <f>260-1</f>
        <v>259</v>
      </c>
      <c r="G16" s="687"/>
      <c r="H16" s="687"/>
      <c r="I16" s="687"/>
      <c r="J16" s="688"/>
      <c r="K16" s="379"/>
      <c r="M16" s="19" t="s">
        <v>18</v>
      </c>
      <c r="N16" s="370"/>
      <c r="O16" s="370">
        <f>HLOOKUP(O$8,'Property Calc_Design Flow'!$E$3:$EJ$25,MATCH(M16,'Property Calc_Design Flow'!$C$3:$C$24,0),FALSE)</f>
        <v>16.276798713369519</v>
      </c>
      <c r="P16" s="370">
        <f>HLOOKUP(P$8,'Property Calc_Design Flow'!$E$3:$EJ$25,MATCH(M16,'Property Calc_Design Flow'!$C$3:$C$24,0),FALSE)</f>
        <v>16.276798713369519</v>
      </c>
    </row>
    <row r="17" spans="1:16" ht="14.5" x14ac:dyDescent="0.35">
      <c r="A17" s="148">
        <f t="shared" ref="A17:A26" si="0">A16+1</f>
        <v>9</v>
      </c>
      <c r="B17" s="99" t="s">
        <v>0</v>
      </c>
      <c r="C17" s="100" t="s">
        <v>238</v>
      </c>
      <c r="D17" s="384">
        <f>O10</f>
        <v>95</v>
      </c>
      <c r="E17" s="384">
        <f>D17</f>
        <v>95</v>
      </c>
      <c r="F17" s="384">
        <f>E17</f>
        <v>95</v>
      </c>
      <c r="G17" s="687"/>
      <c r="H17" s="687"/>
      <c r="I17" s="687"/>
      <c r="J17" s="688"/>
      <c r="K17" s="379"/>
      <c r="M17" s="19" t="s">
        <v>22</v>
      </c>
      <c r="N17" s="370" t="s">
        <v>23</v>
      </c>
      <c r="O17" s="370">
        <f>HLOOKUP(O$8,'Property Calc_Design Flow'!$E$3:$EJ$25,MATCH(M17,'Property Calc_Design Flow'!$C$3:$C$24,0),FALSE)</f>
        <v>0.99980339092408055</v>
      </c>
      <c r="P17" s="370">
        <f>HLOOKUP(P$8,'Property Calc_Design Flow'!$E$3:$EJ$25,MATCH(M17,'Property Calc_Design Flow'!$C$3:$C$24,0),FALSE)</f>
        <v>0.99980339092408022</v>
      </c>
    </row>
    <row r="18" spans="1:16" ht="14.5" x14ac:dyDescent="0.35">
      <c r="A18" s="148">
        <f t="shared" si="0"/>
        <v>10</v>
      </c>
      <c r="B18" s="99" t="s">
        <v>286</v>
      </c>
      <c r="C18" s="100"/>
      <c r="D18" s="390">
        <f>E18*1.1</f>
        <v>17.904478584706474</v>
      </c>
      <c r="E18" s="390">
        <f>O16</f>
        <v>16.276798713369519</v>
      </c>
      <c r="F18" s="390">
        <f>E18*0.9</f>
        <v>14.649118842032568</v>
      </c>
      <c r="G18" s="687"/>
      <c r="H18" s="687"/>
      <c r="I18" s="687"/>
      <c r="J18" s="688"/>
      <c r="K18" s="379"/>
      <c r="M18" s="19" t="s">
        <v>20</v>
      </c>
      <c r="N18" s="370" t="s">
        <v>21</v>
      </c>
      <c r="O18" s="370"/>
      <c r="P18" s="370"/>
    </row>
    <row r="19" spans="1:16" ht="14.5" x14ac:dyDescent="0.35">
      <c r="A19" s="148">
        <f t="shared" si="0"/>
        <v>11</v>
      </c>
      <c r="B19" s="729" t="s">
        <v>287</v>
      </c>
      <c r="C19" s="729"/>
      <c r="D19" s="729"/>
      <c r="E19" s="729"/>
      <c r="F19" s="729"/>
      <c r="G19" s="687"/>
      <c r="H19" s="687"/>
      <c r="I19" s="687"/>
      <c r="J19" s="688"/>
      <c r="K19" s="379"/>
      <c r="M19" s="139"/>
      <c r="N19" s="372"/>
      <c r="O19" s="370"/>
      <c r="P19" s="370"/>
    </row>
    <row r="20" spans="1:16" ht="15" x14ac:dyDescent="0.4">
      <c r="A20" s="148">
        <f t="shared" si="0"/>
        <v>12</v>
      </c>
      <c r="B20" s="99" t="s">
        <v>240</v>
      </c>
      <c r="C20" s="100" t="s">
        <v>122</v>
      </c>
      <c r="D20" s="803">
        <f>O21</f>
        <v>98.243929242641002</v>
      </c>
      <c r="E20" s="803"/>
      <c r="F20" s="803"/>
      <c r="G20" s="687"/>
      <c r="H20" s="687"/>
      <c r="I20" s="687"/>
      <c r="J20" s="688"/>
      <c r="K20" s="379"/>
      <c r="M20" s="375" t="s">
        <v>159</v>
      </c>
      <c r="N20" s="374" t="s">
        <v>3</v>
      </c>
      <c r="O20" s="370" t="str">
        <f>HLOOKUP(O$8,'Property Calc_Design Flow'!$E$3:$EJ$25,MATCH(M20,'Property Calc_Design Flow'!$C$3:$C$24,0),FALSE)</f>
        <v/>
      </c>
      <c r="P20" s="370" t="e">
        <f>HLOOKUP(P$8,'[2]Property Calculation'!$E$3:$EV$25,MATCH(M20,'[2]Property Calculation'!$C$3:$C$24,0),FALSE)</f>
        <v>#N/A</v>
      </c>
    </row>
    <row r="21" spans="1:16" ht="15" x14ac:dyDescent="0.4">
      <c r="A21" s="148">
        <f t="shared" si="0"/>
        <v>13</v>
      </c>
      <c r="B21" s="99" t="s">
        <v>241</v>
      </c>
      <c r="C21" s="100" t="s">
        <v>122</v>
      </c>
      <c r="D21" s="803">
        <f>O22</f>
        <v>0.15006586543830169</v>
      </c>
      <c r="E21" s="803"/>
      <c r="F21" s="803"/>
      <c r="G21" s="687"/>
      <c r="H21" s="687"/>
      <c r="I21" s="687"/>
      <c r="J21" s="688"/>
      <c r="K21" s="379"/>
      <c r="M21" s="19" t="s">
        <v>7</v>
      </c>
      <c r="N21" s="370" t="s">
        <v>122</v>
      </c>
      <c r="O21" s="371">
        <f>HLOOKUP(O$8,'Property Calc_Design Flow'!$E$3:$EJ$25,MATCH(M21,'Property Calc_Design Flow'!$C$3:$C$24,0),FALSE)</f>
        <v>98.243929242641002</v>
      </c>
      <c r="P21" s="371">
        <f>HLOOKUP(P$8,'Property Calc_Design Flow'!$E$3:$EJ$25,MATCH(M21,'Property Calc_Design Flow'!$C$3:$C$24,0),FALSE)</f>
        <v>98.243929242641002</v>
      </c>
    </row>
    <row r="22" spans="1:16" ht="15" x14ac:dyDescent="0.4">
      <c r="A22" s="148">
        <f t="shared" si="0"/>
        <v>14</v>
      </c>
      <c r="B22" s="99" t="s">
        <v>243</v>
      </c>
      <c r="C22" s="100" t="s">
        <v>122</v>
      </c>
      <c r="D22" s="803">
        <f>O23</f>
        <v>1.4906542633537971</v>
      </c>
      <c r="E22" s="803"/>
      <c r="F22" s="803"/>
      <c r="G22" s="687"/>
      <c r="H22" s="687"/>
      <c r="I22" s="687"/>
      <c r="J22" s="688"/>
      <c r="K22" s="379"/>
      <c r="M22" s="19" t="s">
        <v>8</v>
      </c>
      <c r="N22" s="370" t="s">
        <v>122</v>
      </c>
      <c r="O22" s="371">
        <f>HLOOKUP(O$8,'Property Calc_Design Flow'!$E$3:$EJ$25,MATCH(M22,'Property Calc_Design Flow'!$C$3:$C$24,0),FALSE)</f>
        <v>0.15006586543830169</v>
      </c>
      <c r="P22" s="371">
        <f>HLOOKUP(P$8,'Property Calc_Design Flow'!$E$3:$EJ$25,MATCH(M22,'Property Calc_Design Flow'!$C$3:$C$24,0),FALSE)</f>
        <v>0.15006586543830169</v>
      </c>
    </row>
    <row r="23" spans="1:16" ht="15" x14ac:dyDescent="0.4">
      <c r="A23" s="148">
        <f t="shared" si="0"/>
        <v>15</v>
      </c>
      <c r="B23" s="99" t="s">
        <v>242</v>
      </c>
      <c r="C23" s="100" t="s">
        <v>122</v>
      </c>
      <c r="D23" s="803">
        <f>O24</f>
        <v>0.10004391029220111</v>
      </c>
      <c r="E23" s="803"/>
      <c r="F23" s="803"/>
      <c r="G23" s="687"/>
      <c r="H23" s="687"/>
      <c r="I23" s="687"/>
      <c r="J23" s="688"/>
      <c r="K23" s="379"/>
      <c r="M23" s="19" t="s">
        <v>9</v>
      </c>
      <c r="N23" s="370" t="s">
        <v>122</v>
      </c>
      <c r="O23" s="371">
        <f>HLOOKUP(O$8,'Property Calc_Design Flow'!$E$3:$EJ$25,MATCH(M23,'Property Calc_Design Flow'!$C$3:$C$24,0),FALSE)</f>
        <v>1.4906542633537971</v>
      </c>
      <c r="P23" s="371">
        <f>HLOOKUP(P$8,'Property Calc_Design Flow'!$E$3:$EJ$25,MATCH(M23,'Property Calc_Design Flow'!$C$3:$C$24,0),FALSE)</f>
        <v>1.4906542633537971</v>
      </c>
    </row>
    <row r="24" spans="1:16" ht="15" x14ac:dyDescent="0.4">
      <c r="A24" s="148">
        <f t="shared" si="0"/>
        <v>16</v>
      </c>
      <c r="B24" s="99" t="s">
        <v>895</v>
      </c>
      <c r="C24" s="100" t="s">
        <v>239</v>
      </c>
      <c r="D24" s="804">
        <v>4</v>
      </c>
      <c r="E24" s="804"/>
      <c r="F24" s="804"/>
      <c r="G24" s="687"/>
      <c r="H24" s="687"/>
      <c r="I24" s="687"/>
      <c r="J24" s="688"/>
      <c r="K24" s="379"/>
      <c r="M24" s="19" t="s">
        <v>10</v>
      </c>
      <c r="N24" s="370" t="s">
        <v>122</v>
      </c>
      <c r="O24" s="371">
        <f>HLOOKUP(O$8,'Property Calc_Design Flow'!$E$3:$EJ$25,MATCH(M24,'Property Calc_Design Flow'!$C$3:$C$24,0),FALSE)</f>
        <v>0.10004391029220111</v>
      </c>
      <c r="P24" s="371">
        <f>HLOOKUP(P$8,'Property Calc_Design Flow'!$E$3:$EJ$25,MATCH(M24,'Property Calc_Design Flow'!$C$3:$C$24,0),FALSE)</f>
        <v>0.10004391029220111</v>
      </c>
    </row>
    <row r="25" spans="1:16" ht="15" x14ac:dyDescent="0.4">
      <c r="A25" s="148">
        <f t="shared" si="0"/>
        <v>17</v>
      </c>
      <c r="B25" s="99" t="s">
        <v>245</v>
      </c>
      <c r="C25" s="100" t="s">
        <v>122</v>
      </c>
      <c r="D25" s="803">
        <f>O26</f>
        <v>1.4906542633537967E-2</v>
      </c>
      <c r="E25" s="803"/>
      <c r="F25" s="803"/>
      <c r="G25" s="687"/>
      <c r="H25" s="687"/>
      <c r="I25" s="687"/>
      <c r="J25" s="688"/>
      <c r="K25" s="379"/>
      <c r="M25" s="19" t="s">
        <v>11</v>
      </c>
      <c r="N25" s="370" t="s">
        <v>122</v>
      </c>
      <c r="O25" s="371">
        <f>HLOOKUP(O$8,'Property Calc_Design Flow'!$E$3:$EJ$25,MATCH(M25,'Property Calc_Design Flow'!$C$3:$C$24,0),FALSE)</f>
        <v>4.0017564116880447E-4</v>
      </c>
      <c r="P25" s="371">
        <f>HLOOKUP(P$8,'Property Calc_Design Flow'!$E$3:$EJ$25,MATCH(M25,'Property Calc_Design Flow'!$C$3:$C$24,0),FALSE)</f>
        <v>4.0017564116880447E-4</v>
      </c>
    </row>
    <row r="26" spans="1:16" ht="15" thickBot="1" x14ac:dyDescent="0.4">
      <c r="A26" s="149">
        <f t="shared" si="0"/>
        <v>18</v>
      </c>
      <c r="B26" s="141" t="s">
        <v>878</v>
      </c>
      <c r="C26" s="382" t="s">
        <v>239</v>
      </c>
      <c r="D26" s="768" t="s">
        <v>217</v>
      </c>
      <c r="E26" s="768"/>
      <c r="F26" s="768"/>
      <c r="G26" s="726"/>
      <c r="H26" s="726"/>
      <c r="I26" s="726"/>
      <c r="J26" s="727"/>
      <c r="K26" s="241"/>
      <c r="M26" s="19" t="s">
        <v>12</v>
      </c>
      <c r="N26" s="370" t="s">
        <v>122</v>
      </c>
      <c r="O26" s="371">
        <f>HLOOKUP(O$8,'Property Calc_Design Flow'!$E$3:$EJ$25,MATCH(M26,'Property Calc_Design Flow'!$C$3:$C$24,0),FALSE)</f>
        <v>1.4906542633537967E-2</v>
      </c>
      <c r="P26" s="371">
        <f>HLOOKUP(P$8,'Property Calc_Design Flow'!$E$3:$EJ$25,MATCH(M26,'Property Calc_Design Flow'!$C$3:$C$24,0),FALSE)</f>
        <v>1.4906542633537967E-2</v>
      </c>
    </row>
    <row r="27" spans="1:16" ht="15" thickBot="1" x14ac:dyDescent="0.4">
      <c r="A27" s="707" t="s">
        <v>879</v>
      </c>
      <c r="B27" s="708"/>
      <c r="C27" s="708"/>
      <c r="D27" s="708"/>
      <c r="E27" s="708"/>
      <c r="F27" s="708"/>
      <c r="G27" s="708"/>
      <c r="H27" s="708"/>
      <c r="I27" s="708"/>
      <c r="J27" s="709"/>
      <c r="K27" s="238"/>
      <c r="M27" s="19" t="s">
        <v>32</v>
      </c>
      <c r="N27" s="370" t="s">
        <v>122</v>
      </c>
      <c r="O27" s="371">
        <f>HLOOKUP(O$8,'Property Calc_Design Flow'!$E$3:$EJ$25,MATCH(M27,'Property Calc_Design Flow'!$C$3:$C$24,0),FALSE)</f>
        <v>0</v>
      </c>
      <c r="P27" s="371">
        <f>HLOOKUP(P$8,'Property Calc_Design Flow'!$E$3:$EJ$25,MATCH(M27,'Property Calc_Design Flow'!$C$3:$C$24,0),FALSE)</f>
        <v>0</v>
      </c>
    </row>
    <row r="28" spans="1:16" x14ac:dyDescent="0.3">
      <c r="A28" s="151">
        <f>A26+1</f>
        <v>19</v>
      </c>
      <c r="B28" s="239" t="s">
        <v>248</v>
      </c>
      <c r="C28" s="368" t="s">
        <v>222</v>
      </c>
      <c r="D28" s="368" t="s">
        <v>215</v>
      </c>
      <c r="E28" s="368" t="s">
        <v>218</v>
      </c>
      <c r="F28" s="368" t="s">
        <v>214</v>
      </c>
      <c r="G28" s="430" t="s">
        <v>221</v>
      </c>
      <c r="H28" s="430"/>
      <c r="I28" s="430"/>
      <c r="J28" s="750"/>
      <c r="K28" s="240"/>
    </row>
    <row r="29" spans="1:16" ht="14.5" x14ac:dyDescent="0.35">
      <c r="A29" s="148">
        <f>A28+1</f>
        <v>20</v>
      </c>
      <c r="B29" s="377" t="s">
        <v>728</v>
      </c>
      <c r="C29" s="100" t="s">
        <v>27</v>
      </c>
      <c r="D29" s="369">
        <f>D15</f>
        <v>1393.8650566569991</v>
      </c>
      <c r="E29" s="369">
        <f>D29</f>
        <v>1393.8650566569991</v>
      </c>
      <c r="F29" s="100">
        <v>250</v>
      </c>
      <c r="G29" s="687" t="s">
        <v>899</v>
      </c>
      <c r="H29" s="687"/>
      <c r="I29" s="687"/>
      <c r="J29" s="688"/>
      <c r="K29" s="379"/>
      <c r="M29" s="35"/>
      <c r="N29" s="372"/>
      <c r="O29" s="372"/>
      <c r="P29" s="372"/>
    </row>
    <row r="30" spans="1:16" ht="14.5" x14ac:dyDescent="0.35">
      <c r="A30" s="148">
        <f>A29+1</f>
        <v>21</v>
      </c>
      <c r="B30" s="99" t="s">
        <v>897</v>
      </c>
      <c r="C30" s="100" t="s">
        <v>237</v>
      </c>
      <c r="D30" s="390">
        <f>D16-1</f>
        <v>348</v>
      </c>
      <c r="E30" s="390">
        <f>E16-1</f>
        <v>264</v>
      </c>
      <c r="F30" s="390">
        <f>F16-1</f>
        <v>258</v>
      </c>
      <c r="G30" s="687"/>
      <c r="H30" s="687"/>
      <c r="I30" s="687"/>
      <c r="J30" s="688"/>
      <c r="K30" s="379"/>
      <c r="M30" s="35"/>
      <c r="N30" s="372"/>
      <c r="O30" s="372"/>
      <c r="P30" s="372"/>
    </row>
    <row r="31" spans="1:16" ht="14.5" x14ac:dyDescent="0.35">
      <c r="A31" s="148">
        <f t="shared" ref="A31:A40" si="1">A30+1</f>
        <v>22</v>
      </c>
      <c r="B31" s="99" t="s">
        <v>0</v>
      </c>
      <c r="C31" s="100" t="s">
        <v>238</v>
      </c>
      <c r="D31" s="384">
        <f>D17</f>
        <v>95</v>
      </c>
      <c r="E31" s="384">
        <f>D31</f>
        <v>95</v>
      </c>
      <c r="F31" s="384">
        <f>E31</f>
        <v>95</v>
      </c>
      <c r="G31" s="687"/>
      <c r="H31" s="687"/>
      <c r="I31" s="687"/>
      <c r="J31" s="688"/>
      <c r="K31" s="379"/>
      <c r="M31" s="35"/>
      <c r="N31" s="372"/>
      <c r="O31" s="372"/>
      <c r="P31" s="372"/>
    </row>
    <row r="32" spans="1:16" ht="14.5" x14ac:dyDescent="0.35">
      <c r="A32" s="148">
        <f>A31+1</f>
        <v>23</v>
      </c>
      <c r="B32" s="99" t="s">
        <v>733</v>
      </c>
      <c r="C32" s="100"/>
      <c r="D32" s="390">
        <f>E32*1.1</f>
        <v>17.904478584706474</v>
      </c>
      <c r="E32" s="390">
        <f>E18</f>
        <v>16.276798713369519</v>
      </c>
      <c r="F32" s="390">
        <f>E32*0.9</f>
        <v>14.649118842032568</v>
      </c>
      <c r="G32" s="687"/>
      <c r="H32" s="687"/>
      <c r="I32" s="687"/>
      <c r="J32" s="688"/>
      <c r="K32" s="379"/>
      <c r="M32" s="35"/>
      <c r="N32" s="372"/>
      <c r="O32" s="372"/>
      <c r="P32" s="372"/>
    </row>
    <row r="33" spans="1:16" ht="14.5" x14ac:dyDescent="0.35">
      <c r="A33" s="148">
        <f t="shared" si="1"/>
        <v>24</v>
      </c>
      <c r="B33" s="729" t="s">
        <v>734</v>
      </c>
      <c r="C33" s="729"/>
      <c r="D33" s="729"/>
      <c r="E33" s="729"/>
      <c r="F33" s="729"/>
      <c r="G33" s="687"/>
      <c r="H33" s="687"/>
      <c r="I33" s="687"/>
      <c r="J33" s="688"/>
      <c r="K33" s="379"/>
      <c r="M33" s="35"/>
      <c r="N33" s="372"/>
      <c r="O33" s="372"/>
      <c r="P33" s="372"/>
    </row>
    <row r="34" spans="1:16" ht="15" x14ac:dyDescent="0.4">
      <c r="A34" s="148">
        <f t="shared" si="1"/>
        <v>25</v>
      </c>
      <c r="B34" s="99" t="s">
        <v>240</v>
      </c>
      <c r="C34" s="100" t="s">
        <v>122</v>
      </c>
      <c r="D34" s="803">
        <f>D20</f>
        <v>98.243929242641002</v>
      </c>
      <c r="E34" s="803"/>
      <c r="F34" s="803"/>
      <c r="G34" s="687"/>
      <c r="H34" s="687"/>
      <c r="I34" s="687"/>
      <c r="J34" s="688"/>
      <c r="K34" s="379"/>
      <c r="M34" s="11"/>
      <c r="N34" s="374"/>
      <c r="O34" s="372"/>
      <c r="P34" s="372"/>
    </row>
    <row r="35" spans="1:16" ht="15" x14ac:dyDescent="0.4">
      <c r="A35" s="148">
        <f t="shared" si="1"/>
        <v>26</v>
      </c>
      <c r="B35" s="99" t="s">
        <v>241</v>
      </c>
      <c r="C35" s="100" t="s">
        <v>122</v>
      </c>
      <c r="D35" s="803">
        <f>D21</f>
        <v>0.15006586543830169</v>
      </c>
      <c r="E35" s="803"/>
      <c r="F35" s="803"/>
      <c r="G35" s="687"/>
      <c r="H35" s="687"/>
      <c r="I35" s="687"/>
      <c r="J35" s="688"/>
      <c r="K35" s="379"/>
      <c r="M35" s="35"/>
      <c r="N35" s="372"/>
      <c r="O35" s="373"/>
      <c r="P35" s="373"/>
    </row>
    <row r="36" spans="1:16" ht="15" x14ac:dyDescent="0.4">
      <c r="A36" s="148">
        <f t="shared" si="1"/>
        <v>27</v>
      </c>
      <c r="B36" s="99" t="s">
        <v>243</v>
      </c>
      <c r="C36" s="100" t="s">
        <v>122</v>
      </c>
      <c r="D36" s="803">
        <f>D22</f>
        <v>1.4906542633537971</v>
      </c>
      <c r="E36" s="803"/>
      <c r="F36" s="803"/>
      <c r="G36" s="687"/>
      <c r="H36" s="687"/>
      <c r="I36" s="687"/>
      <c r="J36" s="688"/>
      <c r="K36" s="379"/>
      <c r="M36" s="35"/>
      <c r="N36" s="372"/>
      <c r="O36" s="373"/>
      <c r="P36" s="373"/>
    </row>
    <row r="37" spans="1:16" ht="15" x14ac:dyDescent="0.4">
      <c r="A37" s="148">
        <f t="shared" si="1"/>
        <v>28</v>
      </c>
      <c r="B37" s="99" t="s">
        <v>242</v>
      </c>
      <c r="C37" s="100" t="s">
        <v>122</v>
      </c>
      <c r="D37" s="803">
        <f>D23</f>
        <v>0.10004391029220111</v>
      </c>
      <c r="E37" s="803"/>
      <c r="F37" s="803"/>
      <c r="G37" s="687"/>
      <c r="H37" s="687"/>
      <c r="I37" s="687"/>
      <c r="J37" s="688"/>
      <c r="K37" s="379"/>
      <c r="M37" s="35"/>
      <c r="N37" s="372"/>
      <c r="O37" s="373"/>
      <c r="P37" s="373"/>
    </row>
    <row r="38" spans="1:16" ht="15" x14ac:dyDescent="0.4">
      <c r="A38" s="148">
        <f t="shared" si="1"/>
        <v>29</v>
      </c>
      <c r="B38" s="99" t="s">
        <v>895</v>
      </c>
      <c r="C38" s="100" t="s">
        <v>239</v>
      </c>
      <c r="D38" s="804" t="s">
        <v>736</v>
      </c>
      <c r="E38" s="804"/>
      <c r="F38" s="804"/>
      <c r="G38" s="687"/>
      <c r="H38" s="687"/>
      <c r="I38" s="687"/>
      <c r="J38" s="688"/>
      <c r="K38" s="379"/>
      <c r="M38" s="35"/>
      <c r="N38" s="372"/>
      <c r="O38" s="373"/>
      <c r="P38" s="373"/>
    </row>
    <row r="39" spans="1:16" ht="15" x14ac:dyDescent="0.4">
      <c r="A39" s="148">
        <f t="shared" si="1"/>
        <v>30</v>
      </c>
      <c r="B39" s="99" t="s">
        <v>898</v>
      </c>
      <c r="C39" s="100" t="s">
        <v>122</v>
      </c>
      <c r="D39" s="803">
        <f>D25</f>
        <v>1.4906542633537967E-2</v>
      </c>
      <c r="E39" s="803"/>
      <c r="F39" s="803"/>
      <c r="G39" s="687"/>
      <c r="H39" s="687"/>
      <c r="I39" s="687"/>
      <c r="J39" s="688"/>
      <c r="K39" s="379"/>
      <c r="M39" s="35"/>
      <c r="N39" s="372"/>
      <c r="O39" s="373"/>
      <c r="P39" s="373"/>
    </row>
    <row r="40" spans="1:16" ht="15" thickBot="1" x14ac:dyDescent="0.4">
      <c r="A40" s="149">
        <f t="shared" si="1"/>
        <v>31</v>
      </c>
      <c r="B40" s="141" t="s">
        <v>881</v>
      </c>
      <c r="C40" s="382" t="s">
        <v>239</v>
      </c>
      <c r="D40" s="768" t="s">
        <v>217</v>
      </c>
      <c r="E40" s="768"/>
      <c r="F40" s="768"/>
      <c r="G40" s="726"/>
      <c r="H40" s="726"/>
      <c r="I40" s="726"/>
      <c r="J40" s="727"/>
      <c r="K40" s="241"/>
      <c r="M40" s="35"/>
      <c r="N40" s="372"/>
      <c r="O40" s="373"/>
      <c r="P40" s="373"/>
    </row>
    <row r="41" spans="1:16" ht="13.5" thickBot="1" x14ac:dyDescent="0.35">
      <c r="A41" s="707" t="s">
        <v>738</v>
      </c>
      <c r="B41" s="708"/>
      <c r="C41" s="708"/>
      <c r="D41" s="708"/>
      <c r="E41" s="708"/>
      <c r="F41" s="708"/>
      <c r="G41" s="708"/>
      <c r="H41" s="708"/>
      <c r="I41" s="708"/>
      <c r="J41" s="709"/>
      <c r="K41" s="238"/>
    </row>
    <row r="42" spans="1:16" x14ac:dyDescent="0.3">
      <c r="A42" s="151">
        <f>A40+1</f>
        <v>32</v>
      </c>
      <c r="B42" s="239" t="s">
        <v>248</v>
      </c>
      <c r="C42" s="368" t="s">
        <v>222</v>
      </c>
      <c r="D42" s="792" t="s">
        <v>251</v>
      </c>
      <c r="E42" s="793"/>
      <c r="F42" s="814"/>
      <c r="G42" s="430" t="s">
        <v>221</v>
      </c>
      <c r="H42" s="430"/>
      <c r="I42" s="430"/>
      <c r="J42" s="750"/>
      <c r="K42" s="240"/>
    </row>
    <row r="43" spans="1:16" ht="13" customHeight="1" x14ac:dyDescent="0.3">
      <c r="A43" s="148">
        <f t="shared" ref="A43:A58" si="2">A42+1</f>
        <v>33</v>
      </c>
      <c r="B43" s="377" t="s">
        <v>794</v>
      </c>
      <c r="C43" s="100"/>
      <c r="D43" s="704" t="s">
        <v>246</v>
      </c>
      <c r="E43" s="705"/>
      <c r="F43" s="706"/>
      <c r="G43" s="755" t="s">
        <v>901</v>
      </c>
      <c r="H43" s="756"/>
      <c r="I43" s="756"/>
      <c r="J43" s="786"/>
      <c r="K43" s="379"/>
    </row>
    <row r="44" spans="1:16" ht="13" customHeight="1" x14ac:dyDescent="0.3">
      <c r="A44" s="148">
        <f t="shared" si="2"/>
        <v>34</v>
      </c>
      <c r="B44" s="377" t="s">
        <v>795</v>
      </c>
      <c r="C44" s="100" t="s">
        <v>796</v>
      </c>
      <c r="D44" s="704" t="s">
        <v>246</v>
      </c>
      <c r="E44" s="705"/>
      <c r="F44" s="706"/>
      <c r="G44" s="758"/>
      <c r="H44" s="787"/>
      <c r="I44" s="787"/>
      <c r="J44" s="788"/>
      <c r="K44" s="379"/>
    </row>
    <row r="45" spans="1:16" ht="13" customHeight="1" x14ac:dyDescent="0.3">
      <c r="A45" s="148">
        <f t="shared" si="2"/>
        <v>35</v>
      </c>
      <c r="B45" s="377" t="s">
        <v>908</v>
      </c>
      <c r="C45" s="100" t="s">
        <v>838</v>
      </c>
      <c r="D45" s="704" t="s">
        <v>246</v>
      </c>
      <c r="E45" s="705"/>
      <c r="F45" s="706"/>
      <c r="G45" s="758"/>
      <c r="H45" s="787"/>
      <c r="I45" s="787"/>
      <c r="J45" s="788"/>
      <c r="K45" s="379"/>
    </row>
    <row r="46" spans="1:16" ht="13" customHeight="1" x14ac:dyDescent="0.3">
      <c r="A46" s="148">
        <f t="shared" si="2"/>
        <v>36</v>
      </c>
      <c r="B46" s="377" t="s">
        <v>839</v>
      </c>
      <c r="C46" s="100" t="s">
        <v>838</v>
      </c>
      <c r="D46" s="704" t="s">
        <v>246</v>
      </c>
      <c r="E46" s="705"/>
      <c r="F46" s="706"/>
      <c r="G46" s="758"/>
      <c r="H46" s="787"/>
      <c r="I46" s="787"/>
      <c r="J46" s="788"/>
      <c r="K46" s="379"/>
    </row>
    <row r="47" spans="1:16" ht="13" customHeight="1" x14ac:dyDescent="0.3">
      <c r="A47" s="148">
        <f t="shared" si="2"/>
        <v>37</v>
      </c>
      <c r="B47" s="377" t="s">
        <v>739</v>
      </c>
      <c r="C47" s="100" t="s">
        <v>740</v>
      </c>
      <c r="D47" s="704">
        <v>12</v>
      </c>
      <c r="E47" s="705"/>
      <c r="F47" s="706"/>
      <c r="G47" s="758"/>
      <c r="H47" s="787"/>
      <c r="I47" s="787"/>
      <c r="J47" s="788"/>
      <c r="K47" s="379"/>
    </row>
    <row r="48" spans="1:16" ht="13" customHeight="1" x14ac:dyDescent="0.3">
      <c r="A48" s="148">
        <f t="shared" si="2"/>
        <v>38</v>
      </c>
      <c r="B48" s="377" t="s">
        <v>900</v>
      </c>
      <c r="C48" s="100" t="s">
        <v>832</v>
      </c>
      <c r="D48" s="704" t="s">
        <v>246</v>
      </c>
      <c r="E48" s="705"/>
      <c r="F48" s="706"/>
      <c r="G48" s="758"/>
      <c r="H48" s="787"/>
      <c r="I48" s="787"/>
      <c r="J48" s="788"/>
      <c r="K48" s="379"/>
    </row>
    <row r="49" spans="1:11" ht="13.5" customHeight="1" x14ac:dyDescent="0.3">
      <c r="A49" s="148">
        <f t="shared" si="2"/>
        <v>39</v>
      </c>
      <c r="B49" s="377" t="s">
        <v>797</v>
      </c>
      <c r="C49" s="100" t="s">
        <v>833</v>
      </c>
      <c r="D49" s="704" t="s">
        <v>246</v>
      </c>
      <c r="E49" s="705"/>
      <c r="F49" s="706"/>
      <c r="G49" s="758"/>
      <c r="H49" s="787"/>
      <c r="I49" s="787"/>
      <c r="J49" s="788"/>
      <c r="K49" s="379"/>
    </row>
    <row r="50" spans="1:11" ht="13" customHeight="1" x14ac:dyDescent="0.3">
      <c r="A50" s="148">
        <f t="shared" si="2"/>
        <v>40</v>
      </c>
      <c r="B50" s="377" t="s">
        <v>798</v>
      </c>
      <c r="C50" s="100" t="s">
        <v>842</v>
      </c>
      <c r="D50" s="704" t="s">
        <v>246</v>
      </c>
      <c r="E50" s="705"/>
      <c r="F50" s="706"/>
      <c r="G50" s="758"/>
      <c r="H50" s="787"/>
      <c r="I50" s="787"/>
      <c r="J50" s="788"/>
      <c r="K50" s="379"/>
    </row>
    <row r="51" spans="1:11" ht="13" customHeight="1" x14ac:dyDescent="0.3">
      <c r="A51" s="148">
        <f t="shared" si="2"/>
        <v>41</v>
      </c>
      <c r="B51" s="377" t="s">
        <v>834</v>
      </c>
      <c r="C51" s="100" t="s">
        <v>63</v>
      </c>
      <c r="D51" s="704" t="s">
        <v>246</v>
      </c>
      <c r="E51" s="705"/>
      <c r="F51" s="706"/>
      <c r="G51" s="758"/>
      <c r="H51" s="787"/>
      <c r="I51" s="787"/>
      <c r="J51" s="788"/>
      <c r="K51" s="379"/>
    </row>
    <row r="52" spans="1:11" ht="13" customHeight="1" x14ac:dyDescent="0.3">
      <c r="A52" s="148">
        <f t="shared" si="2"/>
        <v>42</v>
      </c>
      <c r="B52" s="377" t="s">
        <v>840</v>
      </c>
      <c r="C52" s="100" t="s">
        <v>63</v>
      </c>
      <c r="D52" s="704" t="s">
        <v>246</v>
      </c>
      <c r="E52" s="705"/>
      <c r="F52" s="706"/>
      <c r="G52" s="758"/>
      <c r="H52" s="787"/>
      <c r="I52" s="787"/>
      <c r="J52" s="788"/>
      <c r="K52" s="379"/>
    </row>
    <row r="53" spans="1:11" ht="13" customHeight="1" x14ac:dyDescent="0.3">
      <c r="A53" s="148">
        <f t="shared" si="2"/>
        <v>43</v>
      </c>
      <c r="B53" s="377" t="s">
        <v>835</v>
      </c>
      <c r="C53" s="100" t="s">
        <v>63</v>
      </c>
      <c r="D53" s="704" t="s">
        <v>246</v>
      </c>
      <c r="E53" s="705"/>
      <c r="F53" s="706"/>
      <c r="G53" s="758"/>
      <c r="H53" s="787"/>
      <c r="I53" s="787"/>
      <c r="J53" s="788"/>
      <c r="K53" s="379"/>
    </row>
    <row r="54" spans="1:11" ht="13" customHeight="1" x14ac:dyDescent="0.3">
      <c r="A54" s="148">
        <f t="shared" si="2"/>
        <v>44</v>
      </c>
      <c r="B54" s="377" t="s">
        <v>883</v>
      </c>
      <c r="C54" s="100"/>
      <c r="D54" s="704">
        <v>1</v>
      </c>
      <c r="E54" s="705"/>
      <c r="F54" s="706"/>
      <c r="G54" s="758"/>
      <c r="H54" s="787"/>
      <c r="I54" s="787"/>
      <c r="J54" s="788"/>
      <c r="K54" s="379"/>
    </row>
    <row r="55" spans="1:11" ht="13" customHeight="1" x14ac:dyDescent="0.3">
      <c r="A55" s="148">
        <f t="shared" si="2"/>
        <v>45</v>
      </c>
      <c r="B55" s="377" t="s">
        <v>741</v>
      </c>
      <c r="C55" s="100"/>
      <c r="D55" s="704" t="s">
        <v>408</v>
      </c>
      <c r="E55" s="705"/>
      <c r="F55" s="706"/>
      <c r="G55" s="758"/>
      <c r="H55" s="787"/>
      <c r="I55" s="787"/>
      <c r="J55" s="788"/>
      <c r="K55" s="379"/>
    </row>
    <row r="56" spans="1:11" ht="13" customHeight="1" x14ac:dyDescent="0.3">
      <c r="A56" s="148">
        <f t="shared" si="2"/>
        <v>46</v>
      </c>
      <c r="B56" s="377" t="s">
        <v>799</v>
      </c>
      <c r="C56" s="100" t="s">
        <v>800</v>
      </c>
      <c r="D56" s="704" t="s">
        <v>246</v>
      </c>
      <c r="E56" s="705"/>
      <c r="F56" s="706"/>
      <c r="G56" s="758"/>
      <c r="H56" s="787"/>
      <c r="I56" s="787"/>
      <c r="J56" s="788"/>
      <c r="K56" s="379"/>
    </row>
    <row r="57" spans="1:11" ht="13" customHeight="1" x14ac:dyDescent="0.3">
      <c r="A57" s="148">
        <f t="shared" si="2"/>
        <v>47</v>
      </c>
      <c r="B57" s="377" t="s">
        <v>801</v>
      </c>
      <c r="C57" s="100" t="s">
        <v>802</v>
      </c>
      <c r="D57" s="704" t="s">
        <v>246</v>
      </c>
      <c r="E57" s="705"/>
      <c r="F57" s="706"/>
      <c r="G57" s="758"/>
      <c r="H57" s="787"/>
      <c r="I57" s="787"/>
      <c r="J57" s="788"/>
      <c r="K57" s="379"/>
    </row>
    <row r="58" spans="1:11" ht="13" customHeight="1" thickBot="1" x14ac:dyDescent="0.35">
      <c r="A58" s="148">
        <f t="shared" si="2"/>
        <v>48</v>
      </c>
      <c r="B58" s="377" t="s">
        <v>828</v>
      </c>
      <c r="C58" s="100" t="s">
        <v>829</v>
      </c>
      <c r="D58" s="704" t="s">
        <v>246</v>
      </c>
      <c r="E58" s="705"/>
      <c r="F58" s="706"/>
      <c r="G58" s="758"/>
      <c r="H58" s="787"/>
      <c r="I58" s="787"/>
      <c r="J58" s="788"/>
      <c r="K58" s="379"/>
    </row>
    <row r="59" spans="1:11" ht="15" customHeight="1" thickBot="1" x14ac:dyDescent="0.35">
      <c r="A59" s="707" t="s">
        <v>844</v>
      </c>
      <c r="B59" s="708"/>
      <c r="C59" s="708"/>
      <c r="D59" s="708"/>
      <c r="E59" s="708"/>
      <c r="F59" s="708"/>
      <c r="G59" s="708"/>
      <c r="H59" s="708"/>
      <c r="I59" s="708"/>
      <c r="J59" s="709"/>
      <c r="K59" s="238"/>
    </row>
    <row r="60" spans="1:11" x14ac:dyDescent="0.3">
      <c r="A60" s="151">
        <f>A58+1</f>
        <v>49</v>
      </c>
      <c r="B60" s="239" t="s">
        <v>248</v>
      </c>
      <c r="C60" s="368" t="s">
        <v>222</v>
      </c>
      <c r="D60" s="430" t="s">
        <v>251</v>
      </c>
      <c r="E60" s="430"/>
      <c r="F60" s="430"/>
      <c r="G60" s="430" t="s">
        <v>221</v>
      </c>
      <c r="H60" s="430"/>
      <c r="I60" s="430"/>
      <c r="J60" s="750"/>
      <c r="K60" s="240"/>
    </row>
    <row r="61" spans="1:11" ht="14.5" customHeight="1" x14ac:dyDescent="0.3">
      <c r="A61" s="148">
        <f t="shared" ref="A61:A66" si="3">A60+1</f>
        <v>50</v>
      </c>
      <c r="B61" s="383" t="s">
        <v>804</v>
      </c>
      <c r="C61" s="368"/>
      <c r="D61" s="772" t="s">
        <v>805</v>
      </c>
      <c r="E61" s="773"/>
      <c r="F61" s="808"/>
      <c r="G61" s="755" t="s">
        <v>885</v>
      </c>
      <c r="H61" s="756"/>
      <c r="I61" s="756"/>
      <c r="J61" s="786"/>
      <c r="K61" s="240"/>
    </row>
    <row r="62" spans="1:11" ht="13" customHeight="1" x14ac:dyDescent="0.3">
      <c r="A62" s="148">
        <f t="shared" si="3"/>
        <v>51</v>
      </c>
      <c r="B62" s="377" t="s">
        <v>315</v>
      </c>
      <c r="C62" s="100" t="s">
        <v>5</v>
      </c>
      <c r="D62" s="431">
        <v>350</v>
      </c>
      <c r="E62" s="431"/>
      <c r="F62" s="431"/>
      <c r="G62" s="758"/>
      <c r="H62" s="787"/>
      <c r="I62" s="787"/>
      <c r="J62" s="788"/>
      <c r="K62" s="379"/>
    </row>
    <row r="63" spans="1:11" x14ac:dyDescent="0.3">
      <c r="A63" s="148">
        <f t="shared" si="3"/>
        <v>52</v>
      </c>
      <c r="B63" s="377" t="s">
        <v>745</v>
      </c>
      <c r="C63" s="100" t="s">
        <v>238</v>
      </c>
      <c r="D63" s="431">
        <v>200</v>
      </c>
      <c r="E63" s="431"/>
      <c r="F63" s="431"/>
      <c r="G63" s="758"/>
      <c r="H63" s="787"/>
      <c r="I63" s="787"/>
      <c r="J63" s="788"/>
      <c r="K63" s="379"/>
    </row>
    <row r="64" spans="1:11" x14ac:dyDescent="0.3">
      <c r="A64" s="148">
        <f t="shared" si="3"/>
        <v>53</v>
      </c>
      <c r="B64" s="99" t="s">
        <v>249</v>
      </c>
      <c r="C64" s="100"/>
      <c r="D64" s="431" t="s">
        <v>250</v>
      </c>
      <c r="E64" s="431"/>
      <c r="F64" s="431"/>
      <c r="G64" s="758"/>
      <c r="H64" s="787"/>
      <c r="I64" s="787"/>
      <c r="J64" s="788"/>
      <c r="K64" s="379"/>
    </row>
    <row r="65" spans="1:11" x14ac:dyDescent="0.3">
      <c r="A65" s="148">
        <f t="shared" si="3"/>
        <v>54</v>
      </c>
      <c r="B65" s="99" t="s">
        <v>327</v>
      </c>
      <c r="C65" s="100"/>
      <c r="D65" s="593" t="s">
        <v>884</v>
      </c>
      <c r="E65" s="593"/>
      <c r="F65" s="593"/>
      <c r="G65" s="758"/>
      <c r="H65" s="787"/>
      <c r="I65" s="787"/>
      <c r="J65" s="788"/>
      <c r="K65" s="379"/>
    </row>
    <row r="66" spans="1:11" ht="13.5" thickBot="1" x14ac:dyDescent="0.35">
      <c r="A66" s="149">
        <f t="shared" si="3"/>
        <v>55</v>
      </c>
      <c r="B66" s="141" t="s">
        <v>254</v>
      </c>
      <c r="C66" s="382"/>
      <c r="D66" s="767" t="s">
        <v>213</v>
      </c>
      <c r="E66" s="767"/>
      <c r="F66" s="767"/>
      <c r="G66" s="789"/>
      <c r="H66" s="790"/>
      <c r="I66" s="790"/>
      <c r="J66" s="791"/>
      <c r="K66" s="241"/>
    </row>
    <row r="67" spans="1:11" ht="13.5" thickBot="1" x14ac:dyDescent="0.35">
      <c r="A67" s="707" t="s">
        <v>253</v>
      </c>
      <c r="B67" s="708"/>
      <c r="C67" s="708"/>
      <c r="D67" s="708"/>
      <c r="E67" s="708"/>
      <c r="F67" s="708"/>
      <c r="G67" s="708"/>
      <c r="H67" s="708"/>
      <c r="I67" s="708"/>
      <c r="J67" s="709"/>
      <c r="K67" s="238"/>
    </row>
    <row r="68" spans="1:11" x14ac:dyDescent="0.3">
      <c r="A68" s="151">
        <f>A66+1</f>
        <v>56</v>
      </c>
      <c r="B68" s="239" t="s">
        <v>248</v>
      </c>
      <c r="C68" s="368" t="s">
        <v>222</v>
      </c>
      <c r="D68" s="430" t="s">
        <v>251</v>
      </c>
      <c r="E68" s="430"/>
      <c r="F68" s="430"/>
      <c r="G68" s="430" t="s">
        <v>221</v>
      </c>
      <c r="H68" s="430"/>
      <c r="I68" s="430"/>
      <c r="J68" s="750"/>
      <c r="K68" s="240"/>
    </row>
    <row r="69" spans="1:11" x14ac:dyDescent="0.3">
      <c r="A69" s="148">
        <f>A68+1</f>
        <v>57</v>
      </c>
      <c r="B69" s="377" t="s">
        <v>256</v>
      </c>
      <c r="C69" s="100" t="s">
        <v>63</v>
      </c>
      <c r="D69" s="431">
        <f>'[2]Input Sheet'!F22</f>
        <v>95</v>
      </c>
      <c r="E69" s="431"/>
      <c r="F69" s="431"/>
      <c r="G69" s="687"/>
      <c r="H69" s="687"/>
      <c r="I69" s="687"/>
      <c r="J69" s="688"/>
      <c r="K69" s="379"/>
    </row>
    <row r="70" spans="1:11" x14ac:dyDescent="0.3">
      <c r="A70" s="148">
        <f>A69+1</f>
        <v>58</v>
      </c>
      <c r="B70" s="377" t="s">
        <v>257</v>
      </c>
      <c r="C70" s="100" t="s">
        <v>238</v>
      </c>
      <c r="D70" s="431">
        <f>'[2]Input Sheet'!F23</f>
        <v>24</v>
      </c>
      <c r="E70" s="431"/>
      <c r="F70" s="431"/>
      <c r="G70" s="687"/>
      <c r="H70" s="687"/>
      <c r="I70" s="687"/>
      <c r="J70" s="688"/>
      <c r="K70" s="379"/>
    </row>
    <row r="71" spans="1:11" x14ac:dyDescent="0.3">
      <c r="A71" s="148">
        <f>A70+1</f>
        <v>59</v>
      </c>
      <c r="B71" s="99" t="s">
        <v>258</v>
      </c>
      <c r="C71" s="100" t="s">
        <v>238</v>
      </c>
      <c r="D71" s="431">
        <f>'[2]Input Sheet'!F24</f>
        <v>101</v>
      </c>
      <c r="E71" s="431"/>
      <c r="F71" s="431"/>
      <c r="G71" s="687"/>
      <c r="H71" s="687"/>
      <c r="I71" s="687"/>
      <c r="J71" s="688"/>
      <c r="K71" s="379"/>
    </row>
    <row r="72" spans="1:11" x14ac:dyDescent="0.3">
      <c r="A72" s="148">
        <f>A71+1</f>
        <v>60</v>
      </c>
      <c r="B72" s="99" t="s">
        <v>259</v>
      </c>
      <c r="C72" s="100"/>
      <c r="D72" s="593" t="s">
        <v>255</v>
      </c>
      <c r="E72" s="593"/>
      <c r="F72" s="593"/>
      <c r="G72" s="687"/>
      <c r="H72" s="687"/>
      <c r="I72" s="687"/>
      <c r="J72" s="688"/>
      <c r="K72" s="379"/>
    </row>
    <row r="73" spans="1:11" ht="13.5" thickBot="1" x14ac:dyDescent="0.35">
      <c r="A73" s="149">
        <f>A72+1</f>
        <v>61</v>
      </c>
      <c r="B73" s="141" t="s">
        <v>260</v>
      </c>
      <c r="C73" s="382"/>
      <c r="D73" s="751" t="s">
        <v>335</v>
      </c>
      <c r="E73" s="751"/>
      <c r="F73" s="751"/>
      <c r="G73" s="726"/>
      <c r="H73" s="726"/>
      <c r="I73" s="726"/>
      <c r="J73" s="727"/>
      <c r="K73" s="241"/>
    </row>
    <row r="74" spans="1:11" ht="13.5" thickBot="1" x14ac:dyDescent="0.35">
      <c r="A74" s="707" t="s">
        <v>760</v>
      </c>
      <c r="B74" s="708"/>
      <c r="C74" s="708"/>
      <c r="D74" s="708"/>
      <c r="E74" s="708"/>
      <c r="F74" s="708"/>
      <c r="G74" s="708"/>
      <c r="H74" s="708"/>
      <c r="I74" s="708"/>
      <c r="J74" s="709"/>
      <c r="K74" s="238"/>
    </row>
    <row r="75" spans="1:11" x14ac:dyDescent="0.3">
      <c r="A75" s="800" t="s">
        <v>886</v>
      </c>
      <c r="B75" s="801"/>
      <c r="C75" s="801"/>
      <c r="D75" s="801"/>
      <c r="E75" s="801"/>
      <c r="F75" s="801"/>
      <c r="G75" s="801"/>
      <c r="H75" s="801"/>
      <c r="I75" s="801"/>
      <c r="J75" s="802"/>
      <c r="K75" s="240"/>
    </row>
    <row r="76" spans="1:11" x14ac:dyDescent="0.3">
      <c r="A76" s="805" t="s">
        <v>848</v>
      </c>
      <c r="B76" s="806"/>
      <c r="C76" s="806"/>
      <c r="D76" s="806"/>
      <c r="E76" s="806"/>
      <c r="F76" s="806"/>
      <c r="G76" s="806"/>
      <c r="H76" s="806"/>
      <c r="I76" s="806"/>
      <c r="J76" s="807"/>
      <c r="K76" s="379"/>
    </row>
    <row r="77" spans="1:11" x14ac:dyDescent="0.3">
      <c r="A77" s="805" t="s">
        <v>887</v>
      </c>
      <c r="B77" s="806"/>
      <c r="C77" s="806"/>
      <c r="D77" s="806"/>
      <c r="E77" s="806"/>
      <c r="F77" s="806"/>
      <c r="G77" s="806"/>
      <c r="H77" s="806"/>
      <c r="I77" s="806"/>
      <c r="J77" s="807"/>
      <c r="K77" s="379"/>
    </row>
    <row r="78" spans="1:11" x14ac:dyDescent="0.3">
      <c r="A78" s="805"/>
      <c r="B78" s="806"/>
      <c r="C78" s="806"/>
      <c r="D78" s="806"/>
      <c r="E78" s="806"/>
      <c r="F78" s="806"/>
      <c r="G78" s="806"/>
      <c r="H78" s="806"/>
      <c r="I78" s="806"/>
      <c r="J78" s="807"/>
      <c r="K78" s="379"/>
    </row>
    <row r="79" spans="1:11" x14ac:dyDescent="0.3">
      <c r="A79" s="386"/>
      <c r="B79" s="387"/>
      <c r="C79" s="387"/>
      <c r="D79" s="387"/>
      <c r="E79" s="387"/>
      <c r="F79" s="387"/>
      <c r="G79" s="387"/>
      <c r="H79" s="387"/>
      <c r="I79" s="387"/>
      <c r="J79" s="388"/>
      <c r="K79" s="379"/>
    </row>
    <row r="80" spans="1:11" x14ac:dyDescent="0.3">
      <c r="A80" s="386"/>
      <c r="B80" s="387"/>
      <c r="C80" s="387"/>
      <c r="D80" s="387"/>
      <c r="E80" s="387"/>
      <c r="F80" s="387"/>
      <c r="G80" s="387"/>
      <c r="H80" s="387"/>
      <c r="I80" s="387"/>
      <c r="J80" s="388"/>
      <c r="K80" s="379"/>
    </row>
    <row r="81" spans="1:11" x14ac:dyDescent="0.3">
      <c r="A81" s="386"/>
      <c r="B81" s="387"/>
      <c r="C81" s="387"/>
      <c r="D81" s="387"/>
      <c r="E81" s="387"/>
      <c r="F81" s="387"/>
      <c r="G81" s="387"/>
      <c r="H81" s="387"/>
      <c r="I81" s="387"/>
      <c r="J81" s="388"/>
      <c r="K81" s="379"/>
    </row>
    <row r="82" spans="1:11" x14ac:dyDescent="0.3">
      <c r="A82" s="386"/>
      <c r="B82" s="387"/>
      <c r="C82" s="387"/>
      <c r="D82" s="387"/>
      <c r="E82" s="387"/>
      <c r="F82" s="387"/>
      <c r="G82" s="387"/>
      <c r="H82" s="387"/>
      <c r="I82" s="387"/>
      <c r="J82" s="388"/>
      <c r="K82" s="379"/>
    </row>
    <row r="83" spans="1:11" x14ac:dyDescent="0.3">
      <c r="A83" s="386"/>
      <c r="B83" s="387"/>
      <c r="C83" s="387"/>
      <c r="D83" s="387"/>
      <c r="E83" s="387"/>
      <c r="F83" s="387"/>
      <c r="G83" s="387"/>
      <c r="H83" s="387"/>
      <c r="I83" s="387"/>
      <c r="J83" s="388"/>
      <c r="K83" s="379"/>
    </row>
    <row r="84" spans="1:11" x14ac:dyDescent="0.3">
      <c r="A84" s="386"/>
      <c r="B84" s="387"/>
      <c r="C84" s="387"/>
      <c r="D84" s="387"/>
      <c r="E84" s="387"/>
      <c r="F84" s="387"/>
      <c r="G84" s="387"/>
      <c r="H84" s="387"/>
      <c r="I84" s="387"/>
      <c r="J84" s="388"/>
      <c r="K84" s="379"/>
    </row>
    <row r="85" spans="1:11" x14ac:dyDescent="0.3">
      <c r="A85" s="386"/>
      <c r="B85" s="387"/>
      <c r="C85" s="387"/>
      <c r="D85" s="387"/>
      <c r="E85" s="387"/>
      <c r="F85" s="387"/>
      <c r="G85" s="387"/>
      <c r="H85" s="387"/>
      <c r="I85" s="387"/>
      <c r="J85" s="388"/>
      <c r="K85" s="379"/>
    </row>
    <row r="86" spans="1:11" x14ac:dyDescent="0.3">
      <c r="A86" s="386"/>
      <c r="B86" s="387"/>
      <c r="C86" s="387"/>
      <c r="D86" s="387"/>
      <c r="E86" s="387"/>
      <c r="F86" s="387"/>
      <c r="G86" s="387"/>
      <c r="H86" s="387"/>
      <c r="I86" s="387"/>
      <c r="J86" s="388"/>
      <c r="K86" s="379"/>
    </row>
    <row r="87" spans="1:11" x14ac:dyDescent="0.3">
      <c r="A87" s="386"/>
      <c r="B87" s="387"/>
      <c r="C87" s="387"/>
      <c r="D87" s="387"/>
      <c r="E87" s="387"/>
      <c r="F87" s="387"/>
      <c r="G87" s="387"/>
      <c r="H87" s="387"/>
      <c r="I87" s="387"/>
      <c r="J87" s="388"/>
      <c r="K87" s="379"/>
    </row>
    <row r="88" spans="1:11" x14ac:dyDescent="0.3">
      <c r="A88" s="386"/>
      <c r="B88" s="387"/>
      <c r="C88" s="387"/>
      <c r="D88" s="387"/>
      <c r="E88" s="387"/>
      <c r="F88" s="387"/>
      <c r="G88" s="387"/>
      <c r="H88" s="387"/>
      <c r="I88" s="387"/>
      <c r="J88" s="388"/>
      <c r="K88" s="379"/>
    </row>
    <row r="89" spans="1:11" x14ac:dyDescent="0.3">
      <c r="A89" s="386"/>
      <c r="B89" s="387"/>
      <c r="C89" s="387"/>
      <c r="D89" s="387"/>
      <c r="E89" s="387"/>
      <c r="F89" s="387"/>
      <c r="G89" s="387"/>
      <c r="H89" s="387"/>
      <c r="I89" s="387"/>
      <c r="J89" s="388"/>
      <c r="K89" s="379"/>
    </row>
    <row r="90" spans="1:11" x14ac:dyDescent="0.3">
      <c r="A90" s="386"/>
      <c r="B90" s="387"/>
      <c r="C90" s="387"/>
      <c r="D90" s="387"/>
      <c r="E90" s="387"/>
      <c r="F90" s="387"/>
      <c r="G90" s="387"/>
      <c r="H90" s="387"/>
      <c r="I90" s="387"/>
      <c r="J90" s="388"/>
      <c r="K90" s="379"/>
    </row>
    <row r="91" spans="1:11" x14ac:dyDescent="0.3">
      <c r="A91" s="386"/>
      <c r="B91" s="387"/>
      <c r="C91" s="387"/>
      <c r="D91" s="387"/>
      <c r="E91" s="387"/>
      <c r="F91" s="387"/>
      <c r="G91" s="387"/>
      <c r="H91" s="387"/>
      <c r="I91" s="387"/>
      <c r="J91" s="388"/>
      <c r="K91" s="379"/>
    </row>
    <row r="92" spans="1:11" x14ac:dyDescent="0.3">
      <c r="A92" s="386"/>
      <c r="B92" s="387"/>
      <c r="C92" s="387"/>
      <c r="D92" s="387"/>
      <c r="E92" s="387"/>
      <c r="F92" s="387"/>
      <c r="G92" s="387"/>
      <c r="H92" s="387"/>
      <c r="I92" s="387"/>
      <c r="J92" s="388"/>
      <c r="K92" s="379"/>
    </row>
    <row r="93" spans="1:11" x14ac:dyDescent="0.3">
      <c r="A93" s="805"/>
      <c r="B93" s="806"/>
      <c r="C93" s="806"/>
      <c r="D93" s="806"/>
      <c r="E93" s="806"/>
      <c r="F93" s="806"/>
      <c r="G93" s="806"/>
      <c r="H93" s="806"/>
      <c r="I93" s="806"/>
      <c r="J93" s="807"/>
      <c r="K93" s="379"/>
    </row>
    <row r="94" spans="1:11" x14ac:dyDescent="0.3">
      <c r="A94" s="805"/>
      <c r="B94" s="806"/>
      <c r="C94" s="806"/>
      <c r="D94" s="806"/>
      <c r="E94" s="806"/>
      <c r="F94" s="806"/>
      <c r="G94" s="806"/>
      <c r="H94" s="806"/>
      <c r="I94" s="806"/>
      <c r="J94" s="807"/>
      <c r="K94" s="379"/>
    </row>
    <row r="95" spans="1:11" x14ac:dyDescent="0.3">
      <c r="A95" s="805"/>
      <c r="B95" s="806"/>
      <c r="C95" s="806"/>
      <c r="D95" s="806"/>
      <c r="E95" s="806"/>
      <c r="F95" s="806"/>
      <c r="G95" s="806"/>
      <c r="H95" s="806"/>
      <c r="I95" s="806"/>
      <c r="J95" s="807"/>
      <c r="K95" s="379"/>
    </row>
    <row r="96" spans="1:11" x14ac:dyDescent="0.3">
      <c r="A96" s="805"/>
      <c r="B96" s="806"/>
      <c r="C96" s="806"/>
      <c r="D96" s="806"/>
      <c r="E96" s="806"/>
      <c r="F96" s="806"/>
      <c r="G96" s="806"/>
      <c r="H96" s="806"/>
      <c r="I96" s="806"/>
      <c r="J96" s="807"/>
      <c r="K96" s="379"/>
    </row>
    <row r="97" spans="1:11" x14ac:dyDescent="0.3">
      <c r="A97" s="805"/>
      <c r="B97" s="806"/>
      <c r="C97" s="806"/>
      <c r="D97" s="806"/>
      <c r="E97" s="806"/>
      <c r="F97" s="806"/>
      <c r="G97" s="806"/>
      <c r="H97" s="806"/>
      <c r="I97" s="806"/>
      <c r="J97" s="807"/>
      <c r="K97" s="379"/>
    </row>
    <row r="98" spans="1:11" x14ac:dyDescent="0.3">
      <c r="A98" s="805"/>
      <c r="B98" s="806"/>
      <c r="C98" s="806"/>
      <c r="D98" s="806"/>
      <c r="E98" s="806"/>
      <c r="F98" s="806"/>
      <c r="G98" s="806"/>
      <c r="H98" s="806"/>
      <c r="I98" s="806"/>
      <c r="J98" s="807"/>
      <c r="K98" s="379"/>
    </row>
    <row r="99" spans="1:11" x14ac:dyDescent="0.3">
      <c r="A99" s="805"/>
      <c r="B99" s="806"/>
      <c r="C99" s="806"/>
      <c r="D99" s="806"/>
      <c r="E99" s="806"/>
      <c r="F99" s="806"/>
      <c r="G99" s="806"/>
      <c r="H99" s="806"/>
      <c r="I99" s="806"/>
      <c r="J99" s="807"/>
      <c r="K99" s="379"/>
    </row>
    <row r="100" spans="1:11" ht="15" customHeight="1" x14ac:dyDescent="0.3">
      <c r="A100" s="809"/>
      <c r="B100" s="433"/>
      <c r="C100" s="433"/>
      <c r="D100" s="433"/>
      <c r="E100" s="433"/>
      <c r="F100" s="433"/>
      <c r="G100" s="433"/>
      <c r="H100" s="433"/>
      <c r="I100" s="433"/>
      <c r="J100" s="810"/>
      <c r="K100" s="379"/>
    </row>
    <row r="101" spans="1:11" ht="15" customHeight="1" thickBot="1" x14ac:dyDescent="0.35">
      <c r="A101" s="811"/>
      <c r="B101" s="812"/>
      <c r="C101" s="812"/>
      <c r="D101" s="812"/>
      <c r="E101" s="812"/>
      <c r="F101" s="812"/>
      <c r="G101" s="812"/>
      <c r="H101" s="812"/>
      <c r="I101" s="812"/>
      <c r="J101" s="813"/>
      <c r="K101" s="378"/>
    </row>
    <row r="102" spans="1:11" ht="15" customHeight="1" thickBot="1" x14ac:dyDescent="0.35">
      <c r="A102" s="715" t="s">
        <v>269</v>
      </c>
      <c r="B102" s="716"/>
      <c r="C102" s="716"/>
      <c r="D102" s="716"/>
      <c r="E102" s="716"/>
      <c r="F102" s="716"/>
      <c r="G102" s="716"/>
      <c r="H102" s="716"/>
      <c r="I102" s="716"/>
      <c r="J102" s="716"/>
      <c r="K102" s="717"/>
    </row>
    <row r="103" spans="1:11" ht="14.5" customHeight="1" x14ac:dyDescent="0.3"/>
  </sheetData>
  <mergeCells count="90">
    <mergeCell ref="C11:J11"/>
    <mergeCell ref="A1:K1"/>
    <mergeCell ref="A2:B5"/>
    <mergeCell ref="D2:G2"/>
    <mergeCell ref="H2:K2"/>
    <mergeCell ref="D3:G3"/>
    <mergeCell ref="H3:K3"/>
    <mergeCell ref="D4:G4"/>
    <mergeCell ref="D5:G5"/>
    <mergeCell ref="A6:K6"/>
    <mergeCell ref="A7:J7"/>
    <mergeCell ref="C8:J8"/>
    <mergeCell ref="C9:J9"/>
    <mergeCell ref="C10:J10"/>
    <mergeCell ref="A13:J13"/>
    <mergeCell ref="G14:J14"/>
    <mergeCell ref="G15:J26"/>
    <mergeCell ref="B19:F19"/>
    <mergeCell ref="D20:F20"/>
    <mergeCell ref="D21:F21"/>
    <mergeCell ref="D22:F22"/>
    <mergeCell ref="D23:F23"/>
    <mergeCell ref="D24:F24"/>
    <mergeCell ref="D25:F25"/>
    <mergeCell ref="D26:F26"/>
    <mergeCell ref="A27:J27"/>
    <mergeCell ref="G28:J28"/>
    <mergeCell ref="G29:J40"/>
    <mergeCell ref="B33:F33"/>
    <mergeCell ref="D34:F34"/>
    <mergeCell ref="D35:F35"/>
    <mergeCell ref="D36:F36"/>
    <mergeCell ref="D37:F37"/>
    <mergeCell ref="D38:F38"/>
    <mergeCell ref="D39:F39"/>
    <mergeCell ref="D40:F40"/>
    <mergeCell ref="A41:J41"/>
    <mergeCell ref="G42:J42"/>
    <mergeCell ref="D43:F43"/>
    <mergeCell ref="G43:J58"/>
    <mergeCell ref="D44:F44"/>
    <mergeCell ref="D45:F45"/>
    <mergeCell ref="D46:F46"/>
    <mergeCell ref="D47:F47"/>
    <mergeCell ref="A59:J59"/>
    <mergeCell ref="D48:F48"/>
    <mergeCell ref="D49:F49"/>
    <mergeCell ref="D50:F50"/>
    <mergeCell ref="D51:F51"/>
    <mergeCell ref="D52:F52"/>
    <mergeCell ref="D53:F53"/>
    <mergeCell ref="D54:F54"/>
    <mergeCell ref="D55:F55"/>
    <mergeCell ref="D56:F56"/>
    <mergeCell ref="D57:F57"/>
    <mergeCell ref="D58:F58"/>
    <mergeCell ref="D60:F60"/>
    <mergeCell ref="G60:J60"/>
    <mergeCell ref="D61:F61"/>
    <mergeCell ref="G61:J66"/>
    <mergeCell ref="D62:F62"/>
    <mergeCell ref="D63:F63"/>
    <mergeCell ref="D64:F64"/>
    <mergeCell ref="D65:F65"/>
    <mergeCell ref="D66:F66"/>
    <mergeCell ref="A67:J67"/>
    <mergeCell ref="D68:F68"/>
    <mergeCell ref="G68:J68"/>
    <mergeCell ref="D69:F69"/>
    <mergeCell ref="G69:J73"/>
    <mergeCell ref="D70:F70"/>
    <mergeCell ref="D71:F71"/>
    <mergeCell ref="D72:F72"/>
    <mergeCell ref="D73:F73"/>
    <mergeCell ref="A100:J100"/>
    <mergeCell ref="A101:J101"/>
    <mergeCell ref="A102:K102"/>
    <mergeCell ref="D42:F42"/>
    <mergeCell ref="A94:J94"/>
    <mergeCell ref="A95:J95"/>
    <mergeCell ref="A96:J96"/>
    <mergeCell ref="A97:J97"/>
    <mergeCell ref="A98:J98"/>
    <mergeCell ref="A99:J99"/>
    <mergeCell ref="A74:J74"/>
    <mergeCell ref="A75:J75"/>
    <mergeCell ref="A76:J76"/>
    <mergeCell ref="A77:J77"/>
    <mergeCell ref="A78:J78"/>
    <mergeCell ref="A93:J93"/>
  </mergeCells>
  <pageMargins left="0.70865923009623799" right="0.20865923009623796" top="0.5699989063867017" bottom="0.49802930883639546" header="6.4959536307961502E-2" footer="0.31496062992125984"/>
  <pageSetup scale="83" fitToHeight="0" orientation="portrait" horizontalDpi="1200" verticalDpi="1200" r:id="rId1"/>
  <headerFooter>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7889" r:id="rId4" name="Check Box 1">
              <controlPr defaultSize="0" autoFill="0" autoLine="0" autoPict="0">
                <anchor moveWithCells="1">
                  <from>
                    <xdr:col>3</xdr:col>
                    <xdr:colOff>260350</xdr:colOff>
                    <xdr:row>73</xdr:row>
                    <xdr:rowOff>0</xdr:rowOff>
                  </from>
                  <to>
                    <xdr:col>4</xdr:col>
                    <xdr:colOff>0</xdr:colOff>
                    <xdr:row>74</xdr:row>
                    <xdr:rowOff>50800</xdr:rowOff>
                  </to>
                </anchor>
              </controlPr>
            </control>
          </mc:Choice>
        </mc:AlternateContent>
        <mc:AlternateContent xmlns:mc="http://schemas.openxmlformats.org/markup-compatibility/2006">
          <mc:Choice Requires="x14">
            <control shapeId="37890" r:id="rId5" name="Check Box 2">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7891" r:id="rId6" name="Check Box 3">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7892" r:id="rId7" name="Check Box 4">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7893" r:id="rId8" name="Check Box 5">
              <controlPr defaultSize="0" autoFill="0" autoLine="0" autoPict="0">
                <anchor moveWithCells="1">
                  <from>
                    <xdr:col>2</xdr:col>
                    <xdr:colOff>12700</xdr:colOff>
                    <xdr:row>10</xdr:row>
                    <xdr:rowOff>165100</xdr:rowOff>
                  </from>
                  <to>
                    <xdr:col>2</xdr:col>
                    <xdr:colOff>450850</xdr:colOff>
                    <xdr:row>12</xdr:row>
                    <xdr:rowOff>12700</xdr:rowOff>
                  </to>
                </anchor>
              </controlPr>
            </control>
          </mc:Choice>
        </mc:AlternateContent>
        <mc:AlternateContent xmlns:mc="http://schemas.openxmlformats.org/markup-compatibility/2006">
          <mc:Choice Requires="x14">
            <control shapeId="37894" r:id="rId9" name="Check Box 6">
              <controlPr defaultSize="0" autoFill="0" autoLine="0" autoPict="0">
                <anchor moveWithCells="1">
                  <from>
                    <xdr:col>6</xdr:col>
                    <xdr:colOff>755650</xdr:colOff>
                    <xdr:row>10</xdr:row>
                    <xdr:rowOff>184150</xdr:rowOff>
                  </from>
                  <to>
                    <xdr:col>7</xdr:col>
                    <xdr:colOff>419100</xdr:colOff>
                    <xdr:row>12</xdr:row>
                    <xdr:rowOff>38100</xdr:rowOff>
                  </to>
                </anchor>
              </controlPr>
            </control>
          </mc:Choice>
        </mc:AlternateContent>
        <mc:AlternateContent xmlns:mc="http://schemas.openxmlformats.org/markup-compatibility/2006">
          <mc:Choice Requires="x14">
            <control shapeId="37895" r:id="rId10" name="Check Box 7">
              <controlPr defaultSize="0" autoFill="0" autoLine="0" autoPict="0">
                <anchor moveWithCells="1">
                  <from>
                    <xdr:col>4</xdr:col>
                    <xdr:colOff>431800</xdr:colOff>
                    <xdr:row>10</xdr:row>
                    <xdr:rowOff>165100</xdr:rowOff>
                  </from>
                  <to>
                    <xdr:col>5</xdr:col>
                    <xdr:colOff>184150</xdr:colOff>
                    <xdr:row>12</xdr:row>
                    <xdr:rowOff>38100</xdr:rowOff>
                  </to>
                </anchor>
              </controlPr>
            </control>
          </mc:Choice>
        </mc:AlternateContent>
        <mc:AlternateContent xmlns:mc="http://schemas.openxmlformats.org/markup-compatibility/2006">
          <mc:Choice Requires="x14">
            <control shapeId="37896" r:id="rId11" name="Check Box 8">
              <controlPr defaultSize="0" autoFill="0" autoLine="0" autoPict="0">
                <anchor moveWithCells="1">
                  <from>
                    <xdr:col>3</xdr:col>
                    <xdr:colOff>260350</xdr:colOff>
                    <xdr:row>73</xdr:row>
                    <xdr:rowOff>0</xdr:rowOff>
                  </from>
                  <to>
                    <xdr:col>4</xdr:col>
                    <xdr:colOff>0</xdr:colOff>
                    <xdr:row>74</xdr:row>
                    <xdr:rowOff>38100</xdr:rowOff>
                  </to>
                </anchor>
              </controlPr>
            </control>
          </mc:Choice>
        </mc:AlternateContent>
        <mc:AlternateContent xmlns:mc="http://schemas.openxmlformats.org/markup-compatibility/2006">
          <mc:Choice Requires="x14">
            <control shapeId="37897" r:id="rId12" name="Check Box 9">
              <controlPr defaultSize="0" autoFill="0" autoLine="0" autoPict="0">
                <anchor moveWithCells="1">
                  <from>
                    <xdr:col>4</xdr:col>
                    <xdr:colOff>241300</xdr:colOff>
                    <xdr:row>73</xdr:row>
                    <xdr:rowOff>0</xdr:rowOff>
                  </from>
                  <to>
                    <xdr:col>5</xdr:col>
                    <xdr:colOff>0</xdr:colOff>
                    <xdr:row>74</xdr:row>
                    <xdr:rowOff>50800</xdr:rowOff>
                  </to>
                </anchor>
              </controlPr>
            </control>
          </mc:Choice>
        </mc:AlternateContent>
        <mc:AlternateContent xmlns:mc="http://schemas.openxmlformats.org/markup-compatibility/2006">
          <mc:Choice Requires="x14">
            <control shapeId="37898" r:id="rId13" name="Check Box 10">
              <controlPr defaultSize="0" autoFill="0" autoLine="0" autoPict="0">
                <anchor moveWithCells="1">
                  <from>
                    <xdr:col>4</xdr:col>
                    <xdr:colOff>241300</xdr:colOff>
                    <xdr:row>73</xdr:row>
                    <xdr:rowOff>0</xdr:rowOff>
                  </from>
                  <to>
                    <xdr:col>5</xdr:col>
                    <xdr:colOff>0</xdr:colOff>
                    <xdr:row>74</xdr:row>
                    <xdr:rowOff>38100</xdr:rowOff>
                  </to>
                </anchor>
              </controlPr>
            </control>
          </mc:Choice>
        </mc:AlternateContent>
        <mc:AlternateContent xmlns:mc="http://schemas.openxmlformats.org/markup-compatibility/2006">
          <mc:Choice Requires="x14">
            <control shapeId="37899" r:id="rId14" name="Check Box 11">
              <controlPr defaultSize="0" autoFill="0" autoLine="0" autoPict="0">
                <anchor moveWithCells="1">
                  <from>
                    <xdr:col>4</xdr:col>
                    <xdr:colOff>241300</xdr:colOff>
                    <xdr:row>73</xdr:row>
                    <xdr:rowOff>0</xdr:rowOff>
                  </from>
                  <to>
                    <xdr:col>5</xdr:col>
                    <xdr:colOff>0</xdr:colOff>
                    <xdr:row>74</xdr:row>
                    <xdr:rowOff>31750</xdr:rowOff>
                  </to>
                </anchor>
              </controlPr>
            </control>
          </mc:Choice>
        </mc:AlternateContent>
        <mc:AlternateContent xmlns:mc="http://schemas.openxmlformats.org/markup-compatibility/2006">
          <mc:Choice Requires="x14">
            <control shapeId="37900" r:id="rId15" name="Check Box 12">
              <controlPr defaultSize="0" autoFill="0" autoLine="0" autoPict="0">
                <anchor moveWithCells="1">
                  <from>
                    <xdr:col>4</xdr:col>
                    <xdr:colOff>241300</xdr:colOff>
                    <xdr:row>73</xdr:row>
                    <xdr:rowOff>0</xdr:rowOff>
                  </from>
                  <to>
                    <xdr:col>5</xdr:col>
                    <xdr:colOff>0</xdr:colOff>
                    <xdr:row>74</xdr:row>
                    <xdr:rowOff>31750</xdr:rowOff>
                  </to>
                </anchor>
              </controlPr>
            </control>
          </mc:Choice>
        </mc:AlternateContent>
        <mc:AlternateContent xmlns:mc="http://schemas.openxmlformats.org/markup-compatibility/2006">
          <mc:Choice Requires="x14">
            <control shapeId="37901" r:id="rId16" name="Check Box 13">
              <controlPr defaultSize="0" autoFill="0" autoLine="0" autoPict="0">
                <anchor moveWithCells="1">
                  <from>
                    <xdr:col>4</xdr:col>
                    <xdr:colOff>241300</xdr:colOff>
                    <xdr:row>73</xdr:row>
                    <xdr:rowOff>0</xdr:rowOff>
                  </from>
                  <to>
                    <xdr:col>5</xdr:col>
                    <xdr:colOff>0</xdr:colOff>
                    <xdr:row>74</xdr:row>
                    <xdr:rowOff>50800</xdr:rowOff>
                  </to>
                </anchor>
              </controlPr>
            </control>
          </mc:Choice>
        </mc:AlternateContent>
        <mc:AlternateContent xmlns:mc="http://schemas.openxmlformats.org/markup-compatibility/2006">
          <mc:Choice Requires="x14">
            <control shapeId="37902" r:id="rId17" name="Check Box 14">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7903" r:id="rId18" name="Check Box 15">
              <controlPr defaultSize="0" autoFill="0" autoLine="0" autoPict="0">
                <anchor moveWithCells="1">
                  <from>
                    <xdr:col>4</xdr:col>
                    <xdr:colOff>241300</xdr:colOff>
                    <xdr:row>73</xdr:row>
                    <xdr:rowOff>0</xdr:rowOff>
                  </from>
                  <to>
                    <xdr:col>5</xdr:col>
                    <xdr:colOff>0</xdr:colOff>
                    <xdr:row>74</xdr:row>
                    <xdr:rowOff>31750</xdr:rowOff>
                  </to>
                </anchor>
              </controlPr>
            </control>
          </mc:Choice>
        </mc:AlternateContent>
        <mc:AlternateContent xmlns:mc="http://schemas.openxmlformats.org/markup-compatibility/2006">
          <mc:Choice Requires="x14">
            <control shapeId="37904" r:id="rId19" name="Check Box 16">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7905" r:id="rId20" name="Check Box 17">
              <controlPr defaultSize="0" autoFill="0" autoLine="0" autoPict="0">
                <anchor moveWithCells="1">
                  <from>
                    <xdr:col>4</xdr:col>
                    <xdr:colOff>241300</xdr:colOff>
                    <xdr:row>73</xdr:row>
                    <xdr:rowOff>0</xdr:rowOff>
                  </from>
                  <to>
                    <xdr:col>5</xdr:col>
                    <xdr:colOff>0</xdr:colOff>
                    <xdr:row>74</xdr:row>
                    <xdr:rowOff>38100</xdr:rowOff>
                  </to>
                </anchor>
              </controlPr>
            </control>
          </mc:Choice>
        </mc:AlternateContent>
        <mc:AlternateContent xmlns:mc="http://schemas.openxmlformats.org/markup-compatibility/2006">
          <mc:Choice Requires="x14">
            <control shapeId="37906" r:id="rId21" name="Check Box 18">
              <controlPr defaultSize="0" autoFill="0" autoLine="0" autoPict="0">
                <anchor moveWithCells="1">
                  <from>
                    <xdr:col>3</xdr:col>
                    <xdr:colOff>260350</xdr:colOff>
                    <xdr:row>73</xdr:row>
                    <xdr:rowOff>0</xdr:rowOff>
                  </from>
                  <to>
                    <xdr:col>4</xdr:col>
                    <xdr:colOff>0</xdr:colOff>
                    <xdr:row>74</xdr:row>
                    <xdr:rowOff>31750</xdr:rowOff>
                  </to>
                </anchor>
              </controlPr>
            </control>
          </mc:Choice>
        </mc:AlternateContent>
        <mc:AlternateContent xmlns:mc="http://schemas.openxmlformats.org/markup-compatibility/2006">
          <mc:Choice Requires="x14">
            <control shapeId="37907" r:id="rId22" name="Check Box 19">
              <controlPr defaultSize="0" autoFill="0" autoLine="0" autoPict="0">
                <anchor moveWithCells="1">
                  <from>
                    <xdr:col>4</xdr:col>
                    <xdr:colOff>241300</xdr:colOff>
                    <xdr:row>73</xdr:row>
                    <xdr:rowOff>0</xdr:rowOff>
                  </from>
                  <to>
                    <xdr:col>5</xdr:col>
                    <xdr:colOff>0</xdr:colOff>
                    <xdr:row>74</xdr:row>
                    <xdr:rowOff>38100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58AE-8995-4DD0-A808-2B916A4F55A5}">
  <sheetPr>
    <pageSetUpPr fitToPage="1"/>
  </sheetPr>
  <dimension ref="A1:P97"/>
  <sheetViews>
    <sheetView topLeftCell="A58" zoomScale="85" zoomScaleNormal="85" workbookViewId="0">
      <selection activeCell="B82" sqref="B82"/>
    </sheetView>
  </sheetViews>
  <sheetFormatPr defaultColWidth="8.54296875" defaultRowHeight="13" x14ac:dyDescent="0.3"/>
  <cols>
    <col min="1" max="1" width="3.453125" style="152" customWidth="1"/>
    <col min="2" max="2" width="35" style="104" customWidth="1"/>
    <col min="3" max="3" width="9.54296875" style="104" customWidth="1"/>
    <col min="4" max="4" width="9.81640625" style="104" bestFit="1" customWidth="1"/>
    <col min="5" max="5" width="10.1796875" style="104" customWidth="1"/>
    <col min="6" max="6" width="11.54296875" style="104" customWidth="1"/>
    <col min="7" max="7" width="10.54296875" style="104" customWidth="1"/>
    <col min="8" max="8" width="8.54296875" style="104" bestFit="1" customWidth="1"/>
    <col min="9" max="9" width="6.81640625" style="104" bestFit="1" customWidth="1"/>
    <col min="10" max="10" width="7.453125" style="104" customWidth="1"/>
    <col min="11" max="11" width="5" style="245" customWidth="1"/>
    <col min="12" max="12" width="8.54296875" style="104"/>
    <col min="13" max="13" width="19.453125" style="104" bestFit="1" customWidth="1"/>
    <col min="14" max="14" width="8.54296875" style="104"/>
    <col min="15" max="16" width="28.1796875" style="104" customWidth="1"/>
    <col min="17" max="16384" width="8.54296875" style="104"/>
  </cols>
  <sheetData>
    <row r="1" spans="1:16" ht="13.5" thickBot="1" x14ac:dyDescent="0.35">
      <c r="A1" s="707" t="s">
        <v>224</v>
      </c>
      <c r="B1" s="708"/>
      <c r="C1" s="708"/>
      <c r="D1" s="708"/>
      <c r="E1" s="708"/>
      <c r="F1" s="708"/>
      <c r="G1" s="708"/>
      <c r="H1" s="708"/>
      <c r="I1" s="708"/>
      <c r="J1" s="708"/>
      <c r="K1" s="709"/>
    </row>
    <row r="2" spans="1:16" ht="14.5" customHeight="1" x14ac:dyDescent="0.3">
      <c r="A2" s="731"/>
      <c r="B2" s="732"/>
      <c r="C2" s="380" t="s">
        <v>219</v>
      </c>
      <c r="D2" s="737" t="s">
        <v>524</v>
      </c>
      <c r="E2" s="737"/>
      <c r="F2" s="737"/>
      <c r="G2" s="737"/>
      <c r="H2" s="738" t="s">
        <v>958</v>
      </c>
      <c r="I2" s="738"/>
      <c r="J2" s="738"/>
      <c r="K2" s="739"/>
    </row>
    <row r="3" spans="1:16" ht="14.5" customHeight="1" x14ac:dyDescent="0.3">
      <c r="A3" s="733"/>
      <c r="B3" s="734"/>
      <c r="C3" s="377" t="s">
        <v>210</v>
      </c>
      <c r="D3" s="602" t="s">
        <v>332</v>
      </c>
      <c r="E3" s="602"/>
      <c r="F3" s="602"/>
      <c r="G3" s="602"/>
      <c r="H3" s="593" t="s">
        <v>223</v>
      </c>
      <c r="I3" s="593"/>
      <c r="J3" s="593"/>
      <c r="K3" s="740"/>
    </row>
    <row r="4" spans="1:16" ht="14.5" customHeight="1" x14ac:dyDescent="0.3">
      <c r="A4" s="733"/>
      <c r="B4" s="734"/>
      <c r="C4" s="377" t="s">
        <v>212</v>
      </c>
      <c r="D4" s="602" t="s">
        <v>525</v>
      </c>
      <c r="E4" s="602"/>
      <c r="F4" s="602"/>
      <c r="G4" s="602"/>
      <c r="H4" s="105" t="s">
        <v>231</v>
      </c>
      <c r="I4" s="105" t="s">
        <v>229</v>
      </c>
      <c r="J4" s="105" t="s">
        <v>230</v>
      </c>
      <c r="K4" s="111" t="s">
        <v>235</v>
      </c>
    </row>
    <row r="5" spans="1:16" ht="15" customHeight="1" thickBot="1" x14ac:dyDescent="0.35">
      <c r="A5" s="735"/>
      <c r="B5" s="736"/>
      <c r="C5" s="381" t="s">
        <v>526</v>
      </c>
      <c r="D5" s="741" t="s">
        <v>228</v>
      </c>
      <c r="E5" s="741"/>
      <c r="F5" s="741"/>
      <c r="G5" s="741"/>
      <c r="H5" s="102" t="s">
        <v>232</v>
      </c>
      <c r="I5" s="102" t="s">
        <v>234</v>
      </c>
      <c r="J5" s="102" t="s">
        <v>233</v>
      </c>
      <c r="K5" s="103" t="s">
        <v>46</v>
      </c>
    </row>
    <row r="6" spans="1:16" ht="8.15" customHeight="1" thickBot="1" x14ac:dyDescent="0.35">
      <c r="A6" s="742"/>
      <c r="B6" s="743"/>
      <c r="C6" s="743"/>
      <c r="D6" s="743"/>
      <c r="E6" s="743"/>
      <c r="F6" s="743"/>
      <c r="G6" s="743"/>
      <c r="H6" s="743"/>
      <c r="I6" s="743"/>
      <c r="J6" s="743"/>
      <c r="K6" s="744"/>
    </row>
    <row r="7" spans="1:16" ht="13.5" thickBot="1" x14ac:dyDescent="0.35">
      <c r="A7" s="707" t="s">
        <v>236</v>
      </c>
      <c r="B7" s="708"/>
      <c r="C7" s="708"/>
      <c r="D7" s="708"/>
      <c r="E7" s="708"/>
      <c r="F7" s="708"/>
      <c r="G7" s="708"/>
      <c r="H7" s="708"/>
      <c r="I7" s="708"/>
      <c r="J7" s="709"/>
      <c r="K7" s="228" t="s">
        <v>235</v>
      </c>
      <c r="M7" s="104" t="s">
        <v>6</v>
      </c>
      <c r="O7" s="137">
        <v>18</v>
      </c>
      <c r="P7" s="137">
        <v>19</v>
      </c>
    </row>
    <row r="8" spans="1:16" x14ac:dyDescent="0.3">
      <c r="A8" s="151">
        <v>1</v>
      </c>
      <c r="B8" s="383" t="s">
        <v>277</v>
      </c>
      <c r="C8" s="775" t="s">
        <v>909</v>
      </c>
      <c r="D8" s="775"/>
      <c r="E8" s="775"/>
      <c r="F8" s="775"/>
      <c r="G8" s="775"/>
      <c r="H8" s="775"/>
      <c r="I8" s="775"/>
      <c r="J8" s="776"/>
      <c r="K8" s="230"/>
      <c r="M8" s="104" t="s">
        <v>14</v>
      </c>
      <c r="O8" s="104" t="str">
        <f>HLOOKUP(O7,'Property Calc_Design Flow'!$E$2:$ED$3,2,FALSE)</f>
        <v>PRODUCT GAS TO POLISHING VESSELS</v>
      </c>
      <c r="P8" s="104" t="str">
        <f>HLOOKUP(P7,'Property Calc_Design Flow'!$E$2:$ED$3,2,FALSE)</f>
        <v>COMPRESSED PRODUCT GAS TO B/L (PG&amp;E SKID)</v>
      </c>
    </row>
    <row r="9" spans="1:16" ht="14.5" x14ac:dyDescent="0.35">
      <c r="A9" s="148">
        <f>A8+1</f>
        <v>2</v>
      </c>
      <c r="B9" s="377" t="s">
        <v>275</v>
      </c>
      <c r="C9" s="602" t="s">
        <v>910</v>
      </c>
      <c r="D9" s="602"/>
      <c r="E9" s="602"/>
      <c r="F9" s="602"/>
      <c r="G9" s="602"/>
      <c r="H9" s="602"/>
      <c r="I9" s="602"/>
      <c r="J9" s="749"/>
      <c r="K9" s="108"/>
      <c r="M9" s="19" t="s">
        <v>1</v>
      </c>
      <c r="N9" s="370" t="s">
        <v>5</v>
      </c>
      <c r="O9" s="370">
        <f>HLOOKUP(O$8,'Property Calc_Design Flow'!$E$3:$EJ$25,MATCH(M9,'Property Calc_Design Flow'!$C$3:$C$24,0),FALSE)</f>
        <v>266</v>
      </c>
      <c r="P9" s="370">
        <f>HLOOKUP(P$8,'Property Calc_Design Flow'!$E$3:$EJ$25,MATCH(M9,'Property Calc_Design Flow'!$C$3:$C$24,0),FALSE)</f>
        <v>265</v>
      </c>
    </row>
    <row r="10" spans="1:16" ht="14.5" x14ac:dyDescent="0.35">
      <c r="A10" s="149">
        <f>A9+1</f>
        <v>3</v>
      </c>
      <c r="B10" s="385" t="s">
        <v>279</v>
      </c>
      <c r="C10" s="602" t="s">
        <v>38</v>
      </c>
      <c r="D10" s="602"/>
      <c r="E10" s="602"/>
      <c r="F10" s="602"/>
      <c r="G10" s="602"/>
      <c r="H10" s="602"/>
      <c r="I10" s="602"/>
      <c r="J10" s="749"/>
      <c r="K10" s="108"/>
      <c r="M10" s="19" t="s">
        <v>0</v>
      </c>
      <c r="N10" s="370" t="s">
        <v>4</v>
      </c>
      <c r="O10" s="370">
        <f>HLOOKUP(O$8,'Property Calc_Design Flow'!$E$3:$EJ$25,MATCH(M10,'Property Calc_Design Flow'!$C$3:$C$24,0),FALSE)</f>
        <v>95</v>
      </c>
      <c r="P10" s="370">
        <f>HLOOKUP(P$8,'Property Calc_Design Flow'!$E$3:$EJ$25,MATCH(M10,'Property Calc_Design Flow'!$C$3:$C$24,0),FALSE)</f>
        <v>95</v>
      </c>
    </row>
    <row r="11" spans="1:16" ht="14.5" x14ac:dyDescent="0.35">
      <c r="A11" s="148">
        <f>A10+1</f>
        <v>4</v>
      </c>
      <c r="B11" s="377" t="s">
        <v>225</v>
      </c>
      <c r="C11" s="602" t="s">
        <v>911</v>
      </c>
      <c r="D11" s="602"/>
      <c r="E11" s="602"/>
      <c r="F11" s="602"/>
      <c r="G11" s="602"/>
      <c r="H11" s="602"/>
      <c r="I11" s="602"/>
      <c r="J11" s="749"/>
      <c r="K11" s="247"/>
      <c r="M11" s="19" t="s">
        <v>26</v>
      </c>
      <c r="N11" s="370" t="s">
        <v>27</v>
      </c>
      <c r="O11" s="370">
        <f>HLOOKUP(O$8,'Property Calc_Design Flow'!$E$3:$EJ$25,MATCH(M11,'Property Calc_Design Flow'!$C$3:$C$24,0),FALSE)</f>
        <v>1393.8650566569991</v>
      </c>
      <c r="P11" s="370">
        <f>HLOOKUP(P$8,'Property Calc_Design Flow'!$E$3:$EJ$25,MATCH(M11,'Property Calc_Design Flow'!$C$3:$C$24,0),FALSE)</f>
        <v>1393.8650566569991</v>
      </c>
    </row>
    <row r="12" spans="1:16" ht="15" thickBot="1" x14ac:dyDescent="0.4">
      <c r="A12" s="231">
        <f>A11+1</f>
        <v>5</v>
      </c>
      <c r="B12" s="232" t="s">
        <v>392</v>
      </c>
      <c r="C12" s="233" t="s">
        <v>393</v>
      </c>
      <c r="D12" s="234"/>
      <c r="E12" s="235"/>
      <c r="F12" s="234" t="s">
        <v>394</v>
      </c>
      <c r="G12" s="234"/>
      <c r="H12" s="236" t="s">
        <v>395</v>
      </c>
      <c r="I12" s="234"/>
      <c r="J12" s="237"/>
      <c r="K12" s="248"/>
      <c r="M12" s="19"/>
      <c r="N12" s="370"/>
      <c r="O12" s="370"/>
      <c r="P12" s="370"/>
    </row>
    <row r="13" spans="1:16" ht="15" thickBot="1" x14ac:dyDescent="0.4">
      <c r="A13" s="707" t="s">
        <v>927</v>
      </c>
      <c r="B13" s="708"/>
      <c r="C13" s="708"/>
      <c r="D13" s="708"/>
      <c r="E13" s="708"/>
      <c r="F13" s="708"/>
      <c r="G13" s="708"/>
      <c r="H13" s="708"/>
      <c r="I13" s="708"/>
      <c r="J13" s="709"/>
      <c r="K13" s="228"/>
      <c r="M13" s="19" t="s">
        <v>28</v>
      </c>
      <c r="N13" s="370" t="s">
        <v>29</v>
      </c>
      <c r="O13" s="370">
        <f>HLOOKUP(O$8,'Property Calc_Design Flow'!$E$3:$EJ$25,MATCH(M13,'Property Calc_Design Flow'!$C$3:$C$24,0),FALSE)</f>
        <v>77.908580641364495</v>
      </c>
      <c r="P13" s="370">
        <f>HLOOKUP(P$8,'Property Calc_Design Flow'!$E$3:$EJ$25,MATCH(M13,'Property Calc_Design Flow'!$C$3:$C$24,0),FALSE)</f>
        <v>78.187124011551688</v>
      </c>
    </row>
    <row r="14" spans="1:16" ht="14.5" x14ac:dyDescent="0.35">
      <c r="A14" s="151">
        <f>A12+1</f>
        <v>6</v>
      </c>
      <c r="B14" s="239" t="s">
        <v>248</v>
      </c>
      <c r="C14" s="368" t="s">
        <v>222</v>
      </c>
      <c r="D14" s="368" t="s">
        <v>215</v>
      </c>
      <c r="E14" s="368" t="s">
        <v>218</v>
      </c>
      <c r="F14" s="368" t="s">
        <v>214</v>
      </c>
      <c r="G14" s="430" t="s">
        <v>221</v>
      </c>
      <c r="H14" s="430"/>
      <c r="I14" s="430"/>
      <c r="J14" s="750"/>
      <c r="K14" s="240"/>
      <c r="M14" s="19" t="s">
        <v>2</v>
      </c>
      <c r="N14" s="370" t="s">
        <v>3</v>
      </c>
      <c r="O14" s="370">
        <f>HLOOKUP(O$8,'Property Calc_Design Flow'!$E$3:$EJ$25,MATCH(M14,'Property Calc_Design Flow'!$C$3:$C$24,0),FALSE)</f>
        <v>3587.0764912074692</v>
      </c>
      <c r="P14" s="370">
        <f>HLOOKUP(P$8,'Property Calc_Design Flow'!$E$3:$EJ$25,MATCH(M14,'Property Calc_Design Flow'!$C$3:$C$24,0),FALSE)</f>
        <v>3587.0764912074692</v>
      </c>
    </row>
    <row r="15" spans="1:16" ht="14.5" x14ac:dyDescent="0.35">
      <c r="A15" s="148">
        <f>A14+1</f>
        <v>7</v>
      </c>
      <c r="B15" s="377" t="s">
        <v>728</v>
      </c>
      <c r="C15" s="100" t="s">
        <v>27</v>
      </c>
      <c r="D15" s="369">
        <f>O11</f>
        <v>1393.8650566569991</v>
      </c>
      <c r="E15" s="369">
        <f>D15</f>
        <v>1393.8650566569991</v>
      </c>
      <c r="F15" s="100">
        <v>152</v>
      </c>
      <c r="G15" s="687" t="s">
        <v>928</v>
      </c>
      <c r="H15" s="687"/>
      <c r="I15" s="687"/>
      <c r="J15" s="688"/>
      <c r="K15" s="379"/>
      <c r="M15" s="19" t="s">
        <v>30</v>
      </c>
      <c r="N15" s="370" t="s">
        <v>31</v>
      </c>
      <c r="O15" s="370">
        <f>HLOOKUP(O$8,'Property Calc_Design Flow'!$E$3:$EJ$25,MATCH(M15,'Property Calc_Design Flow'!$C$3:$C$24,0),FALSE)</f>
        <v>220.37972910859295</v>
      </c>
      <c r="P15" s="370">
        <f>HLOOKUP(P$8,'Property Calc_Design Flow'!$E$3:$EJ$25,MATCH(M15,'Property Calc_Design Flow'!$C$3:$C$24,0),FALSE)</f>
        <v>220.37972910859295</v>
      </c>
    </row>
    <row r="16" spans="1:16" ht="14.5" x14ac:dyDescent="0.35">
      <c r="A16" s="148">
        <f>A15+1</f>
        <v>8</v>
      </c>
      <c r="B16" s="99" t="s">
        <v>288</v>
      </c>
      <c r="C16" s="100" t="s">
        <v>237</v>
      </c>
      <c r="D16" s="390">
        <v>300</v>
      </c>
      <c r="E16" s="390">
        <f>O9</f>
        <v>266</v>
      </c>
      <c r="F16" s="376">
        <v>40</v>
      </c>
      <c r="G16" s="687"/>
      <c r="H16" s="687"/>
      <c r="I16" s="687"/>
      <c r="J16" s="688"/>
      <c r="K16" s="379"/>
      <c r="M16" s="19" t="s">
        <v>18</v>
      </c>
      <c r="N16" s="370"/>
      <c r="O16" s="370">
        <f>HLOOKUP(O$8,'Property Calc_Design Flow'!$E$3:$EJ$25,MATCH(M16,'Property Calc_Design Flow'!$C$3:$C$24,0),FALSE)</f>
        <v>16.276798713369519</v>
      </c>
      <c r="P16" s="370">
        <f>HLOOKUP(P$8,'Property Calc_Design Flow'!$E$3:$EJ$25,MATCH(M16,'Property Calc_Design Flow'!$C$3:$C$24,0),FALSE)</f>
        <v>16.276798713369519</v>
      </c>
    </row>
    <row r="17" spans="1:16" ht="14.5" x14ac:dyDescent="0.35">
      <c r="A17" s="148">
        <f t="shared" ref="A17:A26" si="0">A16+1</f>
        <v>9</v>
      </c>
      <c r="B17" s="99" t="s">
        <v>0</v>
      </c>
      <c r="C17" s="100" t="s">
        <v>238</v>
      </c>
      <c r="D17" s="384">
        <f>O10</f>
        <v>95</v>
      </c>
      <c r="E17" s="384">
        <f>D17</f>
        <v>95</v>
      </c>
      <c r="F17" s="384">
        <f>E17</f>
        <v>95</v>
      </c>
      <c r="G17" s="687"/>
      <c r="H17" s="687"/>
      <c r="I17" s="687"/>
      <c r="J17" s="688"/>
      <c r="K17" s="379"/>
      <c r="M17" s="19" t="s">
        <v>22</v>
      </c>
      <c r="N17" s="370" t="s">
        <v>23</v>
      </c>
      <c r="O17" s="370">
        <f>HLOOKUP(O$8,'Property Calc_Design Flow'!$E$3:$EJ$25,MATCH(M17,'Property Calc_Design Flow'!$C$3:$C$24,0),FALSE)</f>
        <v>0.99980339092408055</v>
      </c>
      <c r="P17" s="370">
        <f>HLOOKUP(P$8,'Property Calc_Design Flow'!$E$3:$EJ$25,MATCH(M17,'Property Calc_Design Flow'!$C$3:$C$24,0),FALSE)</f>
        <v>0.99980339092408022</v>
      </c>
    </row>
    <row r="18" spans="1:16" ht="14.5" x14ac:dyDescent="0.35">
      <c r="A18" s="148">
        <f t="shared" si="0"/>
        <v>10</v>
      </c>
      <c r="B18" s="99" t="s">
        <v>852</v>
      </c>
      <c r="C18" s="100"/>
      <c r="D18" s="390">
        <f>E18*1.1</f>
        <v>17.904478584706474</v>
      </c>
      <c r="E18" s="390">
        <f>O16</f>
        <v>16.276798713369519</v>
      </c>
      <c r="F18" s="390">
        <f>E18*0.9</f>
        <v>14.649118842032568</v>
      </c>
      <c r="G18" s="687"/>
      <c r="H18" s="687"/>
      <c r="I18" s="687"/>
      <c r="J18" s="688"/>
      <c r="K18" s="379"/>
      <c r="M18" s="19" t="s">
        <v>20</v>
      </c>
      <c r="N18" s="370" t="s">
        <v>21</v>
      </c>
      <c r="O18" s="370"/>
      <c r="P18" s="370"/>
    </row>
    <row r="19" spans="1:16" ht="14.5" x14ac:dyDescent="0.35">
      <c r="A19" s="148">
        <f t="shared" si="0"/>
        <v>11</v>
      </c>
      <c r="B19" s="729" t="s">
        <v>195</v>
      </c>
      <c r="C19" s="729"/>
      <c r="D19" s="729"/>
      <c r="E19" s="729"/>
      <c r="F19" s="729"/>
      <c r="G19" s="687"/>
      <c r="H19" s="687"/>
      <c r="I19" s="687"/>
      <c r="J19" s="688"/>
      <c r="K19" s="379"/>
      <c r="M19" s="139"/>
      <c r="N19" s="372"/>
      <c r="O19" s="370"/>
      <c r="P19" s="370"/>
    </row>
    <row r="20" spans="1:16" ht="15" x14ac:dyDescent="0.4">
      <c r="A20" s="148">
        <f t="shared" si="0"/>
        <v>12</v>
      </c>
      <c r="B20" s="99" t="s">
        <v>240</v>
      </c>
      <c r="C20" s="100" t="s">
        <v>122</v>
      </c>
      <c r="D20" s="803">
        <f>O21</f>
        <v>98.243929242641002</v>
      </c>
      <c r="E20" s="803"/>
      <c r="F20" s="803"/>
      <c r="G20" s="687"/>
      <c r="H20" s="687"/>
      <c r="I20" s="687"/>
      <c r="J20" s="688"/>
      <c r="K20" s="379"/>
      <c r="M20" s="375" t="s">
        <v>159</v>
      </c>
      <c r="N20" s="374" t="s">
        <v>3</v>
      </c>
      <c r="O20" s="370" t="str">
        <f>HLOOKUP(O$8,'Property Calc_Design Flow'!$E$3:$EJ$25,MATCH(M20,'Property Calc_Design Flow'!$C$3:$C$24,0),FALSE)</f>
        <v/>
      </c>
      <c r="P20" s="370" t="e">
        <f>HLOOKUP(P$8,'[2]Property Calculation'!$E$3:$EV$25,MATCH(M20,'[2]Property Calculation'!$C$3:$C$24,0),FALSE)</f>
        <v>#N/A</v>
      </c>
    </row>
    <row r="21" spans="1:16" ht="15" x14ac:dyDescent="0.4">
      <c r="A21" s="148">
        <f t="shared" si="0"/>
        <v>13</v>
      </c>
      <c r="B21" s="99" t="s">
        <v>241</v>
      </c>
      <c r="C21" s="100" t="s">
        <v>122</v>
      </c>
      <c r="D21" s="803">
        <f>O22</f>
        <v>0.15006586543830169</v>
      </c>
      <c r="E21" s="803"/>
      <c r="F21" s="803"/>
      <c r="G21" s="687"/>
      <c r="H21" s="687"/>
      <c r="I21" s="687"/>
      <c r="J21" s="688"/>
      <c r="K21" s="379"/>
      <c r="M21" s="19" t="s">
        <v>7</v>
      </c>
      <c r="N21" s="370" t="s">
        <v>122</v>
      </c>
      <c r="O21" s="371">
        <f>HLOOKUP(O$8,'Property Calc_Design Flow'!$E$3:$EJ$25,MATCH(M21,'Property Calc_Design Flow'!$C$3:$C$24,0),FALSE)</f>
        <v>98.243929242641002</v>
      </c>
      <c r="P21" s="371">
        <f>HLOOKUP(P$8,'Property Calc_Design Flow'!$E$3:$EJ$25,MATCH(M21,'Property Calc_Design Flow'!$C$3:$C$24,0),FALSE)</f>
        <v>98.243929242641002</v>
      </c>
    </row>
    <row r="22" spans="1:16" ht="15" x14ac:dyDescent="0.4">
      <c r="A22" s="148">
        <f t="shared" si="0"/>
        <v>14</v>
      </c>
      <c r="B22" s="99" t="s">
        <v>243</v>
      </c>
      <c r="C22" s="100" t="s">
        <v>122</v>
      </c>
      <c r="D22" s="803">
        <f>O23</f>
        <v>1.4906542633537971</v>
      </c>
      <c r="E22" s="803"/>
      <c r="F22" s="803"/>
      <c r="G22" s="687"/>
      <c r="H22" s="687"/>
      <c r="I22" s="687"/>
      <c r="J22" s="688"/>
      <c r="K22" s="379"/>
      <c r="M22" s="19" t="s">
        <v>8</v>
      </c>
      <c r="N22" s="370" t="s">
        <v>122</v>
      </c>
      <c r="O22" s="371">
        <f>HLOOKUP(O$8,'Property Calc_Design Flow'!$E$3:$EJ$25,MATCH(M22,'Property Calc_Design Flow'!$C$3:$C$24,0),FALSE)</f>
        <v>0.15006586543830169</v>
      </c>
      <c r="P22" s="371">
        <f>HLOOKUP(P$8,'Property Calc_Design Flow'!$E$3:$EJ$25,MATCH(M22,'Property Calc_Design Flow'!$C$3:$C$24,0),FALSE)</f>
        <v>0.15006586543830169</v>
      </c>
    </row>
    <row r="23" spans="1:16" ht="15" x14ac:dyDescent="0.4">
      <c r="A23" s="148">
        <f t="shared" si="0"/>
        <v>15</v>
      </c>
      <c r="B23" s="99" t="s">
        <v>242</v>
      </c>
      <c r="C23" s="100" t="s">
        <v>122</v>
      </c>
      <c r="D23" s="803">
        <f>O24</f>
        <v>0.10004391029220111</v>
      </c>
      <c r="E23" s="803"/>
      <c r="F23" s="803"/>
      <c r="G23" s="687"/>
      <c r="H23" s="687"/>
      <c r="I23" s="687"/>
      <c r="J23" s="688"/>
      <c r="K23" s="379"/>
      <c r="M23" s="19" t="s">
        <v>9</v>
      </c>
      <c r="N23" s="370" t="s">
        <v>122</v>
      </c>
      <c r="O23" s="371">
        <f>HLOOKUP(O$8,'Property Calc_Design Flow'!$E$3:$EJ$25,MATCH(M23,'Property Calc_Design Flow'!$C$3:$C$24,0),FALSE)</f>
        <v>1.4906542633537971</v>
      </c>
      <c r="P23" s="371">
        <f>HLOOKUP(P$8,'Property Calc_Design Flow'!$E$3:$EJ$25,MATCH(M23,'Property Calc_Design Flow'!$C$3:$C$24,0),FALSE)</f>
        <v>1.4906542633537971</v>
      </c>
    </row>
    <row r="24" spans="1:16" ht="15" x14ac:dyDescent="0.4">
      <c r="A24" s="148">
        <f t="shared" si="0"/>
        <v>16</v>
      </c>
      <c r="B24" s="99" t="s">
        <v>895</v>
      </c>
      <c r="C24" s="100" t="s">
        <v>239</v>
      </c>
      <c r="D24" s="804">
        <v>4</v>
      </c>
      <c r="E24" s="804"/>
      <c r="F24" s="804"/>
      <c r="G24" s="687"/>
      <c r="H24" s="687"/>
      <c r="I24" s="687"/>
      <c r="J24" s="688"/>
      <c r="K24" s="379"/>
      <c r="M24" s="19" t="s">
        <v>10</v>
      </c>
      <c r="N24" s="370" t="s">
        <v>122</v>
      </c>
      <c r="O24" s="371">
        <f>HLOOKUP(O$8,'Property Calc_Design Flow'!$E$3:$EJ$25,MATCH(M24,'Property Calc_Design Flow'!$C$3:$C$24,0),FALSE)</f>
        <v>0.10004391029220111</v>
      </c>
      <c r="P24" s="371">
        <f>HLOOKUP(P$8,'Property Calc_Design Flow'!$E$3:$EJ$25,MATCH(M24,'Property Calc_Design Flow'!$C$3:$C$24,0),FALSE)</f>
        <v>0.10004391029220111</v>
      </c>
    </row>
    <row r="25" spans="1:16" ht="15" x14ac:dyDescent="0.4">
      <c r="A25" s="148">
        <f t="shared" si="0"/>
        <v>17</v>
      </c>
      <c r="B25" s="99" t="s">
        <v>245</v>
      </c>
      <c r="C25" s="100" t="s">
        <v>122</v>
      </c>
      <c r="D25" s="803">
        <f>O26</f>
        <v>1.4906542633537967E-2</v>
      </c>
      <c r="E25" s="803"/>
      <c r="F25" s="803"/>
      <c r="G25" s="687"/>
      <c r="H25" s="687"/>
      <c r="I25" s="687"/>
      <c r="J25" s="688"/>
      <c r="K25" s="379"/>
      <c r="M25" s="19" t="s">
        <v>11</v>
      </c>
      <c r="N25" s="370" t="s">
        <v>122</v>
      </c>
      <c r="O25" s="371">
        <f>HLOOKUP(O$8,'Property Calc_Design Flow'!$E$3:$EJ$25,MATCH(M25,'Property Calc_Design Flow'!$C$3:$C$24,0),FALSE)</f>
        <v>4.0017564116880447E-4</v>
      </c>
      <c r="P25" s="371">
        <f>HLOOKUP(P$8,'Property Calc_Design Flow'!$E$3:$EJ$25,MATCH(M25,'Property Calc_Design Flow'!$C$3:$C$24,0),FALSE)</f>
        <v>4.0017564116880447E-4</v>
      </c>
    </row>
    <row r="26" spans="1:16" ht="15" thickBot="1" x14ac:dyDescent="0.4">
      <c r="A26" s="149">
        <f t="shared" si="0"/>
        <v>18</v>
      </c>
      <c r="B26" s="141" t="s">
        <v>216</v>
      </c>
      <c r="C26" s="382" t="s">
        <v>239</v>
      </c>
      <c r="D26" s="768" t="s">
        <v>217</v>
      </c>
      <c r="E26" s="768"/>
      <c r="F26" s="768"/>
      <c r="G26" s="726"/>
      <c r="H26" s="726"/>
      <c r="I26" s="726"/>
      <c r="J26" s="727"/>
      <c r="K26" s="241"/>
      <c r="M26" s="19" t="s">
        <v>12</v>
      </c>
      <c r="N26" s="370" t="s">
        <v>122</v>
      </c>
      <c r="O26" s="371">
        <f>HLOOKUP(O$8,'Property Calc_Design Flow'!$E$3:$EJ$25,MATCH(M26,'Property Calc_Design Flow'!$C$3:$C$24,0),FALSE)</f>
        <v>1.4906542633537967E-2</v>
      </c>
      <c r="P26" s="371">
        <f>HLOOKUP(P$8,'Property Calc_Design Flow'!$E$3:$EJ$25,MATCH(M26,'Property Calc_Design Flow'!$C$3:$C$24,0),FALSE)</f>
        <v>1.4906542633537967E-2</v>
      </c>
    </row>
    <row r="27" spans="1:16" ht="13.5" thickBot="1" x14ac:dyDescent="0.35">
      <c r="A27" s="707" t="s">
        <v>929</v>
      </c>
      <c r="B27" s="708"/>
      <c r="C27" s="708"/>
      <c r="D27" s="708"/>
      <c r="E27" s="708"/>
      <c r="F27" s="708"/>
      <c r="G27" s="708"/>
      <c r="H27" s="708"/>
      <c r="I27" s="708"/>
      <c r="J27" s="709"/>
      <c r="K27" s="238"/>
    </row>
    <row r="28" spans="1:16" x14ac:dyDescent="0.3">
      <c r="A28" s="151">
        <f>A26+1</f>
        <v>19</v>
      </c>
      <c r="B28" s="239" t="s">
        <v>248</v>
      </c>
      <c r="C28" s="368" t="s">
        <v>222</v>
      </c>
      <c r="D28" s="792" t="s">
        <v>215</v>
      </c>
      <c r="E28" s="793"/>
      <c r="F28" s="814"/>
      <c r="G28" s="430" t="s">
        <v>221</v>
      </c>
      <c r="H28" s="430"/>
      <c r="I28" s="430"/>
      <c r="J28" s="750"/>
      <c r="K28" s="240"/>
    </row>
    <row r="29" spans="1:16" ht="13" customHeight="1" x14ac:dyDescent="0.3">
      <c r="A29" s="148">
        <f t="shared" ref="A29:A39" si="1">A28+1</f>
        <v>20</v>
      </c>
      <c r="B29" s="377" t="s">
        <v>794</v>
      </c>
      <c r="C29" s="100"/>
      <c r="D29" s="827" t="s">
        <v>912</v>
      </c>
      <c r="E29" s="828"/>
      <c r="F29" s="829"/>
      <c r="G29" s="755" t="s">
        <v>935</v>
      </c>
      <c r="H29" s="756"/>
      <c r="I29" s="756"/>
      <c r="J29" s="786"/>
      <c r="K29" s="379"/>
    </row>
    <row r="30" spans="1:16" ht="13" customHeight="1" x14ac:dyDescent="0.3">
      <c r="A30" s="148">
        <f t="shared" si="1"/>
        <v>21</v>
      </c>
      <c r="B30" s="377" t="s">
        <v>930</v>
      </c>
      <c r="C30" s="100" t="s">
        <v>21</v>
      </c>
      <c r="D30" s="704">
        <v>44</v>
      </c>
      <c r="E30" s="705"/>
      <c r="F30" s="706"/>
      <c r="G30" s="758"/>
      <c r="H30" s="787"/>
      <c r="I30" s="787"/>
      <c r="J30" s="788"/>
      <c r="K30" s="379"/>
    </row>
    <row r="31" spans="1:16" ht="13" customHeight="1" x14ac:dyDescent="0.3">
      <c r="A31" s="148">
        <f t="shared" si="1"/>
        <v>22</v>
      </c>
      <c r="B31" s="377" t="s">
        <v>854</v>
      </c>
      <c r="C31" s="100" t="s">
        <v>831</v>
      </c>
      <c r="D31" s="704">
        <v>62</v>
      </c>
      <c r="E31" s="705"/>
      <c r="F31" s="706"/>
      <c r="G31" s="758"/>
      <c r="H31" s="787"/>
      <c r="I31" s="787"/>
      <c r="J31" s="788"/>
      <c r="K31" s="379"/>
    </row>
    <row r="32" spans="1:16" ht="13" customHeight="1" x14ac:dyDescent="0.3">
      <c r="A32" s="148">
        <f t="shared" si="1"/>
        <v>23</v>
      </c>
      <c r="B32" s="377" t="s">
        <v>934</v>
      </c>
      <c r="C32" s="100" t="s">
        <v>855</v>
      </c>
      <c r="D32" s="704">
        <f>((D31*D30)+563)*1.05</f>
        <v>3455.55</v>
      </c>
      <c r="E32" s="705"/>
      <c r="F32" s="706"/>
      <c r="G32" s="758"/>
      <c r="H32" s="787"/>
      <c r="I32" s="787"/>
      <c r="J32" s="788"/>
      <c r="K32" s="379"/>
    </row>
    <row r="33" spans="1:11" ht="13" customHeight="1" x14ac:dyDescent="0.3">
      <c r="A33" s="148">
        <f t="shared" si="1"/>
        <v>24</v>
      </c>
      <c r="B33" s="377" t="s">
        <v>857</v>
      </c>
      <c r="C33" s="100" t="s">
        <v>829</v>
      </c>
      <c r="D33" s="704">
        <v>5</v>
      </c>
      <c r="E33" s="705"/>
      <c r="F33" s="706"/>
      <c r="G33" s="758"/>
      <c r="H33" s="787"/>
      <c r="I33" s="787"/>
      <c r="J33" s="788"/>
      <c r="K33" s="379"/>
    </row>
    <row r="34" spans="1:11" x14ac:dyDescent="0.3">
      <c r="A34" s="148">
        <f t="shared" si="1"/>
        <v>25</v>
      </c>
      <c r="B34" s="377" t="s">
        <v>932</v>
      </c>
      <c r="C34" s="100"/>
      <c r="D34" s="704">
        <v>2</v>
      </c>
      <c r="E34" s="705"/>
      <c r="F34" s="706"/>
      <c r="G34" s="758"/>
      <c r="H34" s="759"/>
      <c r="I34" s="759"/>
      <c r="J34" s="788"/>
      <c r="K34" s="379"/>
    </row>
    <row r="35" spans="1:11" x14ac:dyDescent="0.3">
      <c r="A35" s="148">
        <f t="shared" si="1"/>
        <v>26</v>
      </c>
      <c r="B35" s="377" t="s">
        <v>933</v>
      </c>
      <c r="C35" s="100"/>
      <c r="D35" s="704" t="s">
        <v>915</v>
      </c>
      <c r="E35" s="705"/>
      <c r="F35" s="706"/>
      <c r="G35" s="758"/>
      <c r="H35" s="759"/>
      <c r="I35" s="759"/>
      <c r="J35" s="788"/>
      <c r="K35" s="379"/>
    </row>
    <row r="36" spans="1:11" x14ac:dyDescent="0.3">
      <c r="A36" s="148">
        <f t="shared" si="1"/>
        <v>27</v>
      </c>
      <c r="B36" s="377" t="s">
        <v>916</v>
      </c>
      <c r="C36" s="100" t="s">
        <v>63</v>
      </c>
      <c r="D36" s="704">
        <v>4</v>
      </c>
      <c r="E36" s="705"/>
      <c r="F36" s="706"/>
      <c r="G36" s="758"/>
      <c r="H36" s="759"/>
      <c r="I36" s="759"/>
      <c r="J36" s="788"/>
      <c r="K36" s="379"/>
    </row>
    <row r="37" spans="1:11" x14ac:dyDescent="0.3">
      <c r="A37" s="148">
        <f t="shared" si="1"/>
        <v>28</v>
      </c>
      <c r="B37" s="377" t="s">
        <v>743</v>
      </c>
      <c r="C37" s="100" t="s">
        <v>63</v>
      </c>
      <c r="D37" s="704">
        <v>6</v>
      </c>
      <c r="E37" s="705"/>
      <c r="F37" s="706"/>
      <c r="G37" s="758"/>
      <c r="H37" s="759"/>
      <c r="I37" s="759"/>
      <c r="J37" s="788"/>
      <c r="K37" s="379"/>
    </row>
    <row r="38" spans="1:11" ht="15" customHeight="1" x14ac:dyDescent="0.3">
      <c r="A38" s="148">
        <f t="shared" si="1"/>
        <v>29</v>
      </c>
      <c r="B38" s="377" t="s">
        <v>744</v>
      </c>
      <c r="C38" s="100" t="s">
        <v>63</v>
      </c>
      <c r="D38" s="820">
        <v>4.9000000000000004</v>
      </c>
      <c r="E38" s="821"/>
      <c r="F38" s="822"/>
      <c r="G38" s="758"/>
      <c r="H38" s="759"/>
      <c r="I38" s="759"/>
      <c r="J38" s="788"/>
      <c r="K38" s="379"/>
    </row>
    <row r="39" spans="1:11" ht="13.5" thickBot="1" x14ac:dyDescent="0.35">
      <c r="A39" s="148">
        <f t="shared" si="1"/>
        <v>30</v>
      </c>
      <c r="B39" s="377" t="s">
        <v>936</v>
      </c>
      <c r="C39" s="100"/>
      <c r="D39" s="704" t="s">
        <v>792</v>
      </c>
      <c r="E39" s="705"/>
      <c r="F39" s="706"/>
      <c r="G39" s="758"/>
      <c r="H39" s="759"/>
      <c r="I39" s="759"/>
      <c r="J39" s="788"/>
      <c r="K39" s="379"/>
    </row>
    <row r="40" spans="1:11" ht="15" customHeight="1" thickBot="1" x14ac:dyDescent="0.35">
      <c r="A40" s="707" t="s">
        <v>313</v>
      </c>
      <c r="B40" s="708"/>
      <c r="C40" s="708"/>
      <c r="D40" s="708"/>
      <c r="E40" s="708"/>
      <c r="F40" s="708"/>
      <c r="G40" s="708"/>
      <c r="H40" s="708"/>
      <c r="I40" s="708"/>
      <c r="J40" s="709"/>
      <c r="K40" s="238"/>
    </row>
    <row r="41" spans="1:11" x14ac:dyDescent="0.3">
      <c r="A41" s="151">
        <f>A39+1</f>
        <v>31</v>
      </c>
      <c r="B41" s="239" t="s">
        <v>248</v>
      </c>
      <c r="C41" s="368" t="s">
        <v>222</v>
      </c>
      <c r="D41" s="430" t="s">
        <v>251</v>
      </c>
      <c r="E41" s="430"/>
      <c r="F41" s="430"/>
      <c r="G41" s="430" t="s">
        <v>221</v>
      </c>
      <c r="H41" s="430"/>
      <c r="I41" s="430"/>
      <c r="J41" s="750"/>
      <c r="K41" s="240"/>
    </row>
    <row r="42" spans="1:11" ht="14.5" customHeight="1" x14ac:dyDescent="0.3">
      <c r="A42" s="148">
        <f>A41+1</f>
        <v>32</v>
      </c>
      <c r="B42" s="383" t="s">
        <v>804</v>
      </c>
      <c r="C42" s="368"/>
      <c r="D42" s="772" t="s">
        <v>805</v>
      </c>
      <c r="E42" s="773"/>
      <c r="F42" s="808"/>
      <c r="G42" s="755" t="s">
        <v>937</v>
      </c>
      <c r="H42" s="756"/>
      <c r="I42" s="756"/>
      <c r="J42" s="786"/>
      <c r="K42" s="240"/>
    </row>
    <row r="43" spans="1:11" ht="13" customHeight="1" x14ac:dyDescent="0.3">
      <c r="A43" s="148">
        <f t="shared" ref="A43:A52" si="2">A42+1</f>
        <v>33</v>
      </c>
      <c r="B43" s="377" t="s">
        <v>315</v>
      </c>
      <c r="C43" s="100" t="s">
        <v>5</v>
      </c>
      <c r="D43" s="431">
        <v>300</v>
      </c>
      <c r="E43" s="431"/>
      <c r="F43" s="431"/>
      <c r="G43" s="758"/>
      <c r="H43" s="787"/>
      <c r="I43" s="787"/>
      <c r="J43" s="788"/>
      <c r="K43" s="379"/>
    </row>
    <row r="44" spans="1:11" x14ac:dyDescent="0.3">
      <c r="A44" s="148">
        <f t="shared" si="2"/>
        <v>34</v>
      </c>
      <c r="B44" s="377" t="s">
        <v>745</v>
      </c>
      <c r="C44" s="100" t="s">
        <v>238</v>
      </c>
      <c r="D44" s="431">
        <v>150</v>
      </c>
      <c r="E44" s="431"/>
      <c r="F44" s="431"/>
      <c r="G44" s="758"/>
      <c r="H44" s="787"/>
      <c r="I44" s="787"/>
      <c r="J44" s="788"/>
      <c r="K44" s="379"/>
    </row>
    <row r="45" spans="1:11" x14ac:dyDescent="0.3">
      <c r="A45" s="148">
        <f t="shared" si="2"/>
        <v>35</v>
      </c>
      <c r="B45" s="99" t="s">
        <v>249</v>
      </c>
      <c r="C45" s="100"/>
      <c r="D45" s="431" t="s">
        <v>250</v>
      </c>
      <c r="E45" s="431"/>
      <c r="F45" s="431"/>
      <c r="G45" s="758"/>
      <c r="H45" s="787"/>
      <c r="I45" s="787"/>
      <c r="J45" s="788"/>
      <c r="K45" s="379"/>
    </row>
    <row r="46" spans="1:11" x14ac:dyDescent="0.3">
      <c r="A46" s="148">
        <f t="shared" si="2"/>
        <v>36</v>
      </c>
      <c r="B46" s="99" t="s">
        <v>806</v>
      </c>
      <c r="C46" s="100" t="s">
        <v>807</v>
      </c>
      <c r="D46" s="815">
        <v>6.25E-2</v>
      </c>
      <c r="E46" s="816"/>
      <c r="F46" s="817"/>
      <c r="G46" s="758"/>
      <c r="H46" s="787"/>
      <c r="I46" s="787"/>
      <c r="J46" s="788"/>
      <c r="K46" s="379"/>
    </row>
    <row r="47" spans="1:11" x14ac:dyDescent="0.3">
      <c r="A47" s="148">
        <f t="shared" si="2"/>
        <v>37</v>
      </c>
      <c r="B47" s="99" t="s">
        <v>873</v>
      </c>
      <c r="C47" s="100" t="s">
        <v>330</v>
      </c>
      <c r="D47" s="368"/>
      <c r="E47" s="368"/>
      <c r="F47" s="389"/>
      <c r="G47" s="758"/>
      <c r="H47" s="787"/>
      <c r="I47" s="787"/>
      <c r="J47" s="788"/>
      <c r="K47" s="379"/>
    </row>
    <row r="48" spans="1:11" x14ac:dyDescent="0.3">
      <c r="A48" s="148">
        <f t="shared" si="2"/>
        <v>38</v>
      </c>
      <c r="B48" s="99" t="s">
        <v>808</v>
      </c>
      <c r="C48" s="100"/>
      <c r="D48" s="818" t="s">
        <v>809</v>
      </c>
      <c r="E48" s="719"/>
      <c r="F48" s="819"/>
      <c r="G48" s="758"/>
      <c r="H48" s="787"/>
      <c r="I48" s="787"/>
      <c r="J48" s="788"/>
      <c r="K48" s="379"/>
    </row>
    <row r="49" spans="1:11" x14ac:dyDescent="0.3">
      <c r="A49" s="148">
        <f t="shared" si="2"/>
        <v>39</v>
      </c>
      <c r="B49" s="99" t="s">
        <v>939</v>
      </c>
      <c r="C49" s="100"/>
      <c r="D49" s="593" t="s">
        <v>938</v>
      </c>
      <c r="E49" s="593"/>
      <c r="F49" s="593"/>
      <c r="G49" s="758"/>
      <c r="H49" s="787"/>
      <c r="I49" s="787"/>
      <c r="J49" s="788"/>
      <c r="K49" s="379"/>
    </row>
    <row r="50" spans="1:11" x14ac:dyDescent="0.3">
      <c r="A50" s="148">
        <f t="shared" si="2"/>
        <v>40</v>
      </c>
      <c r="B50" s="141" t="s">
        <v>821</v>
      </c>
      <c r="C50" s="382"/>
      <c r="D50" s="795" t="s">
        <v>822</v>
      </c>
      <c r="E50" s="796"/>
      <c r="F50" s="797"/>
      <c r="G50" s="758"/>
      <c r="H50" s="787"/>
      <c r="I50" s="787"/>
      <c r="J50" s="788"/>
      <c r="K50" s="241"/>
    </row>
    <row r="51" spans="1:11" x14ac:dyDescent="0.3">
      <c r="A51" s="148">
        <f t="shared" si="2"/>
        <v>41</v>
      </c>
      <c r="B51" s="141" t="s">
        <v>823</v>
      </c>
      <c r="C51" s="382"/>
      <c r="D51" s="795" t="s">
        <v>822</v>
      </c>
      <c r="E51" s="796"/>
      <c r="F51" s="797"/>
      <c r="G51" s="758"/>
      <c r="H51" s="787"/>
      <c r="I51" s="787"/>
      <c r="J51" s="788"/>
      <c r="K51" s="241"/>
    </row>
    <row r="52" spans="1:11" ht="13.5" thickBot="1" x14ac:dyDescent="0.35">
      <c r="A52" s="148">
        <f t="shared" si="2"/>
        <v>42</v>
      </c>
      <c r="B52" s="141" t="s">
        <v>254</v>
      </c>
      <c r="C52" s="382"/>
      <c r="D52" s="767" t="s">
        <v>213</v>
      </c>
      <c r="E52" s="767"/>
      <c r="F52" s="767"/>
      <c r="G52" s="789"/>
      <c r="H52" s="790"/>
      <c r="I52" s="790"/>
      <c r="J52" s="791"/>
      <c r="K52" s="241"/>
    </row>
    <row r="53" spans="1:11" ht="13.5" thickBot="1" x14ac:dyDescent="0.35">
      <c r="A53" s="707" t="s">
        <v>861</v>
      </c>
      <c r="B53" s="708"/>
      <c r="C53" s="752"/>
      <c r="D53" s="752"/>
      <c r="E53" s="708"/>
      <c r="F53" s="708"/>
      <c r="G53" s="708"/>
      <c r="H53" s="708"/>
      <c r="I53" s="708"/>
      <c r="J53" s="709"/>
      <c r="K53" s="391"/>
    </row>
    <row r="54" spans="1:11" x14ac:dyDescent="0.3">
      <c r="A54" s="151">
        <f>A52+1</f>
        <v>43</v>
      </c>
      <c r="B54" s="239" t="s">
        <v>248</v>
      </c>
      <c r="C54" s="772" t="s">
        <v>811</v>
      </c>
      <c r="D54" s="808"/>
      <c r="E54" s="772" t="s">
        <v>812</v>
      </c>
      <c r="F54" s="808"/>
      <c r="G54" s="430" t="s">
        <v>221</v>
      </c>
      <c r="H54" s="430"/>
      <c r="I54" s="430"/>
      <c r="J54" s="750"/>
      <c r="K54" s="391"/>
    </row>
    <row r="55" spans="1:11" ht="14.5" customHeight="1" x14ac:dyDescent="0.3">
      <c r="A55" s="148">
        <f>A54+1</f>
        <v>44</v>
      </c>
      <c r="B55" s="383" t="s">
        <v>940</v>
      </c>
      <c r="C55" s="818" t="s">
        <v>815</v>
      </c>
      <c r="D55" s="819"/>
      <c r="E55" s="818" t="s">
        <v>938</v>
      </c>
      <c r="F55" s="819"/>
      <c r="G55" s="755" t="s">
        <v>952</v>
      </c>
      <c r="H55" s="756"/>
      <c r="I55" s="756"/>
      <c r="J55" s="786"/>
      <c r="K55" s="391"/>
    </row>
    <row r="56" spans="1:11" ht="13" customHeight="1" x14ac:dyDescent="0.3">
      <c r="A56" s="148">
        <f t="shared" ref="A56:A66" si="3">A55+1</f>
        <v>45</v>
      </c>
      <c r="B56" s="377" t="s">
        <v>941</v>
      </c>
      <c r="C56" s="818" t="s">
        <v>815</v>
      </c>
      <c r="D56" s="819"/>
      <c r="E56" s="818" t="s">
        <v>938</v>
      </c>
      <c r="F56" s="819"/>
      <c r="G56" s="758"/>
      <c r="H56" s="787"/>
      <c r="I56" s="787"/>
      <c r="J56" s="788"/>
      <c r="K56" s="391"/>
    </row>
    <row r="57" spans="1:11" x14ac:dyDescent="0.3">
      <c r="A57" s="148">
        <f t="shared" si="3"/>
        <v>46</v>
      </c>
      <c r="B57" s="377" t="s">
        <v>942</v>
      </c>
      <c r="C57" s="818" t="s">
        <v>816</v>
      </c>
      <c r="D57" s="819"/>
      <c r="E57" s="823" t="s">
        <v>408</v>
      </c>
      <c r="F57" s="819"/>
      <c r="G57" s="758"/>
      <c r="H57" s="787"/>
      <c r="I57" s="787"/>
      <c r="J57" s="788"/>
      <c r="K57" s="391"/>
    </row>
    <row r="58" spans="1:11" x14ac:dyDescent="0.3">
      <c r="A58" s="148">
        <f t="shared" si="3"/>
        <v>47</v>
      </c>
      <c r="B58" s="99" t="s">
        <v>943</v>
      </c>
      <c r="C58" s="818" t="s">
        <v>816</v>
      </c>
      <c r="D58" s="819"/>
      <c r="E58" s="823" t="s">
        <v>408</v>
      </c>
      <c r="F58" s="819"/>
      <c r="G58" s="758"/>
      <c r="H58" s="787"/>
      <c r="I58" s="787"/>
      <c r="J58" s="788"/>
      <c r="K58" s="391"/>
    </row>
    <row r="59" spans="1:11" x14ac:dyDescent="0.3">
      <c r="A59" s="148">
        <f t="shared" si="3"/>
        <v>48</v>
      </c>
      <c r="B59" s="99" t="s">
        <v>944</v>
      </c>
      <c r="C59" s="818" t="s">
        <v>816</v>
      </c>
      <c r="D59" s="819"/>
      <c r="E59" s="818" t="s">
        <v>408</v>
      </c>
      <c r="F59" s="819"/>
      <c r="G59" s="758"/>
      <c r="H59" s="787"/>
      <c r="I59" s="787"/>
      <c r="J59" s="788"/>
      <c r="K59" s="391"/>
    </row>
    <row r="60" spans="1:11" x14ac:dyDescent="0.3">
      <c r="A60" s="148">
        <f t="shared" si="3"/>
        <v>49</v>
      </c>
      <c r="B60" s="99" t="s">
        <v>945</v>
      </c>
      <c r="C60" s="823" t="s">
        <v>818</v>
      </c>
      <c r="D60" s="819"/>
      <c r="E60" s="818" t="s">
        <v>817</v>
      </c>
      <c r="F60" s="819"/>
      <c r="G60" s="758"/>
      <c r="H60" s="787"/>
      <c r="I60" s="787"/>
      <c r="J60" s="788"/>
      <c r="K60" s="391"/>
    </row>
    <row r="61" spans="1:11" x14ac:dyDescent="0.3">
      <c r="A61" s="148">
        <f t="shared" si="3"/>
        <v>50</v>
      </c>
      <c r="B61" s="99" t="s">
        <v>946</v>
      </c>
      <c r="C61" s="823" t="s">
        <v>818</v>
      </c>
      <c r="D61" s="819"/>
      <c r="E61" s="818" t="s">
        <v>819</v>
      </c>
      <c r="F61" s="819"/>
      <c r="G61" s="758"/>
      <c r="H61" s="787"/>
      <c r="I61" s="787"/>
      <c r="J61" s="788"/>
      <c r="K61" s="391"/>
    </row>
    <row r="62" spans="1:11" x14ac:dyDescent="0.3">
      <c r="A62" s="148">
        <f t="shared" si="3"/>
        <v>51</v>
      </c>
      <c r="B62" s="99" t="s">
        <v>947</v>
      </c>
      <c r="C62" s="823" t="s">
        <v>818</v>
      </c>
      <c r="D62" s="819"/>
      <c r="E62" s="818" t="s">
        <v>820</v>
      </c>
      <c r="F62" s="819"/>
      <c r="G62" s="758"/>
      <c r="H62" s="787"/>
      <c r="I62" s="787"/>
      <c r="J62" s="788"/>
      <c r="K62" s="391"/>
    </row>
    <row r="63" spans="1:11" x14ac:dyDescent="0.3">
      <c r="A63" s="148">
        <f t="shared" si="3"/>
        <v>52</v>
      </c>
      <c r="B63" s="99" t="s">
        <v>948</v>
      </c>
      <c r="C63" s="823" t="s">
        <v>818</v>
      </c>
      <c r="D63" s="819"/>
      <c r="E63" s="818" t="s">
        <v>820</v>
      </c>
      <c r="F63" s="819"/>
      <c r="G63" s="758"/>
      <c r="H63" s="787"/>
      <c r="I63" s="787"/>
      <c r="J63" s="788"/>
      <c r="K63" s="391"/>
    </row>
    <row r="64" spans="1:11" ht="28.5" customHeight="1" x14ac:dyDescent="0.3">
      <c r="A64" s="148">
        <f t="shared" si="3"/>
        <v>53</v>
      </c>
      <c r="B64" s="99" t="s">
        <v>951</v>
      </c>
      <c r="C64" s="823" t="s">
        <v>818</v>
      </c>
      <c r="D64" s="819"/>
      <c r="E64" s="826" t="s">
        <v>874</v>
      </c>
      <c r="F64" s="825"/>
      <c r="G64" s="758"/>
      <c r="H64" s="787"/>
      <c r="I64" s="787"/>
      <c r="J64" s="788"/>
      <c r="K64" s="391"/>
    </row>
    <row r="65" spans="1:11" x14ac:dyDescent="0.3">
      <c r="A65" s="148">
        <f t="shared" si="3"/>
        <v>54</v>
      </c>
      <c r="B65" s="99" t="s">
        <v>813</v>
      </c>
      <c r="C65" s="818" t="s">
        <v>816</v>
      </c>
      <c r="D65" s="819"/>
      <c r="E65" s="818"/>
      <c r="F65" s="819"/>
      <c r="G65" s="758"/>
      <c r="H65" s="787"/>
      <c r="I65" s="787"/>
      <c r="J65" s="788"/>
      <c r="K65" s="391"/>
    </row>
    <row r="66" spans="1:11" ht="13.5" thickBot="1" x14ac:dyDescent="0.35">
      <c r="A66" s="148">
        <f t="shared" si="3"/>
        <v>55</v>
      </c>
      <c r="B66" s="99" t="s">
        <v>814</v>
      </c>
      <c r="C66" s="818" t="s">
        <v>816</v>
      </c>
      <c r="D66" s="819"/>
      <c r="E66" s="818"/>
      <c r="F66" s="819"/>
      <c r="G66" s="789"/>
      <c r="H66" s="790"/>
      <c r="I66" s="790"/>
      <c r="J66" s="791"/>
      <c r="K66" s="391"/>
    </row>
    <row r="67" spans="1:11" ht="13.5" thickBot="1" x14ac:dyDescent="0.35">
      <c r="A67" s="707" t="s">
        <v>253</v>
      </c>
      <c r="B67" s="708"/>
      <c r="C67" s="708"/>
      <c r="D67" s="708"/>
      <c r="E67" s="708"/>
      <c r="F67" s="708"/>
      <c r="G67" s="708"/>
      <c r="H67" s="708"/>
      <c r="I67" s="708"/>
      <c r="J67" s="709"/>
      <c r="K67" s="238"/>
    </row>
    <row r="68" spans="1:11" x14ac:dyDescent="0.3">
      <c r="A68" s="151">
        <f>A66+1</f>
        <v>56</v>
      </c>
      <c r="B68" s="239" t="s">
        <v>248</v>
      </c>
      <c r="C68" s="368" t="s">
        <v>222</v>
      </c>
      <c r="D68" s="430" t="s">
        <v>251</v>
      </c>
      <c r="E68" s="430"/>
      <c r="F68" s="430"/>
      <c r="G68" s="430" t="s">
        <v>221</v>
      </c>
      <c r="H68" s="430"/>
      <c r="I68" s="430"/>
      <c r="J68" s="750"/>
      <c r="K68" s="240"/>
    </row>
    <row r="69" spans="1:11" x14ac:dyDescent="0.3">
      <c r="A69" s="148">
        <f>A68+1</f>
        <v>57</v>
      </c>
      <c r="B69" s="377" t="s">
        <v>256</v>
      </c>
      <c r="C69" s="100" t="s">
        <v>63</v>
      </c>
      <c r="D69" s="431">
        <f>'[2]Input Sheet'!F22</f>
        <v>95</v>
      </c>
      <c r="E69" s="431"/>
      <c r="F69" s="431"/>
      <c r="G69" s="687" t="s">
        <v>953</v>
      </c>
      <c r="H69" s="687"/>
      <c r="I69" s="687"/>
      <c r="J69" s="688"/>
      <c r="K69" s="379"/>
    </row>
    <row r="70" spans="1:11" x14ac:dyDescent="0.3">
      <c r="A70" s="148">
        <f>A69+1</f>
        <v>58</v>
      </c>
      <c r="B70" s="377" t="s">
        <v>257</v>
      </c>
      <c r="C70" s="100" t="s">
        <v>238</v>
      </c>
      <c r="D70" s="431">
        <f>'[2]Input Sheet'!F23</f>
        <v>24</v>
      </c>
      <c r="E70" s="431"/>
      <c r="F70" s="431"/>
      <c r="G70" s="687"/>
      <c r="H70" s="687"/>
      <c r="I70" s="687"/>
      <c r="J70" s="688"/>
      <c r="K70" s="379"/>
    </row>
    <row r="71" spans="1:11" x14ac:dyDescent="0.3">
      <c r="A71" s="148">
        <f>A70+1</f>
        <v>59</v>
      </c>
      <c r="B71" s="99" t="s">
        <v>258</v>
      </c>
      <c r="C71" s="100" t="s">
        <v>238</v>
      </c>
      <c r="D71" s="431">
        <f>'[2]Input Sheet'!F24</f>
        <v>101</v>
      </c>
      <c r="E71" s="431"/>
      <c r="F71" s="431"/>
      <c r="G71" s="687"/>
      <c r="H71" s="687"/>
      <c r="I71" s="687"/>
      <c r="J71" s="688"/>
      <c r="K71" s="379"/>
    </row>
    <row r="72" spans="1:11" x14ac:dyDescent="0.3">
      <c r="A72" s="148">
        <f>A71+1</f>
        <v>60</v>
      </c>
      <c r="B72" s="99" t="s">
        <v>259</v>
      </c>
      <c r="C72" s="100"/>
      <c r="D72" s="593" t="s">
        <v>255</v>
      </c>
      <c r="E72" s="593"/>
      <c r="F72" s="593"/>
      <c r="G72" s="687"/>
      <c r="H72" s="687"/>
      <c r="I72" s="687"/>
      <c r="J72" s="688"/>
      <c r="K72" s="379"/>
    </row>
    <row r="73" spans="1:11" ht="13.5" thickBot="1" x14ac:dyDescent="0.35">
      <c r="A73" s="149">
        <f>A72+1</f>
        <v>61</v>
      </c>
      <c r="B73" s="141" t="s">
        <v>260</v>
      </c>
      <c r="C73" s="382"/>
      <c r="D73" s="751" t="s">
        <v>335</v>
      </c>
      <c r="E73" s="751"/>
      <c r="F73" s="751"/>
      <c r="G73" s="726"/>
      <c r="H73" s="726"/>
      <c r="I73" s="726"/>
      <c r="J73" s="727"/>
      <c r="K73" s="241"/>
    </row>
    <row r="74" spans="1:11" ht="13.5" thickBot="1" x14ac:dyDescent="0.35">
      <c r="A74" s="707" t="s">
        <v>869</v>
      </c>
      <c r="B74" s="708"/>
      <c r="C74" s="708"/>
      <c r="D74" s="708"/>
      <c r="E74" s="708"/>
      <c r="F74" s="752"/>
      <c r="G74" s="752"/>
      <c r="H74" s="752"/>
      <c r="I74" s="752"/>
      <c r="J74" s="753"/>
      <c r="K74" s="238"/>
    </row>
    <row r="75" spans="1:11" x14ac:dyDescent="0.3">
      <c r="A75" s="151">
        <f>A73+1</f>
        <v>62</v>
      </c>
      <c r="B75" s="239" t="s">
        <v>545</v>
      </c>
      <c r="C75" s="368" t="s">
        <v>222</v>
      </c>
      <c r="D75" s="368" t="s">
        <v>262</v>
      </c>
      <c r="E75" s="368" t="s">
        <v>263</v>
      </c>
      <c r="F75" s="320" t="s">
        <v>746</v>
      </c>
      <c r="G75" s="772" t="s">
        <v>221</v>
      </c>
      <c r="H75" s="773"/>
      <c r="I75" s="773"/>
      <c r="J75" s="808"/>
      <c r="K75" s="240"/>
    </row>
    <row r="76" spans="1:11" ht="12.65" customHeight="1" x14ac:dyDescent="0.3">
      <c r="A76" s="151">
        <f>A75+1</f>
        <v>63</v>
      </c>
      <c r="B76" s="383" t="s">
        <v>747</v>
      </c>
      <c r="C76" s="144" t="s">
        <v>330</v>
      </c>
      <c r="D76" s="368"/>
      <c r="E76" s="368"/>
      <c r="F76" s="321" t="s">
        <v>753</v>
      </c>
      <c r="G76" s="756" t="s">
        <v>954</v>
      </c>
      <c r="H76" s="756"/>
      <c r="I76" s="756"/>
      <c r="J76" s="757"/>
      <c r="K76" s="379"/>
    </row>
    <row r="77" spans="1:11" ht="12.65" customHeight="1" x14ac:dyDescent="0.3">
      <c r="A77" s="151">
        <f t="shared" ref="A77:A79" si="4">A76+1</f>
        <v>64</v>
      </c>
      <c r="B77" s="377" t="s">
        <v>749</v>
      </c>
      <c r="C77" s="144" t="s">
        <v>330</v>
      </c>
      <c r="D77" s="368"/>
      <c r="E77" s="368"/>
      <c r="F77" s="321" t="s">
        <v>753</v>
      </c>
      <c r="G77" s="759"/>
      <c r="H77" s="759"/>
      <c r="I77" s="759"/>
      <c r="J77" s="760"/>
      <c r="K77" s="379"/>
    </row>
    <row r="78" spans="1:11" ht="14.15" customHeight="1" x14ac:dyDescent="0.3">
      <c r="A78" s="151">
        <f t="shared" si="4"/>
        <v>65</v>
      </c>
      <c r="B78" s="377" t="s">
        <v>750</v>
      </c>
      <c r="C78" s="144" t="s">
        <v>330</v>
      </c>
      <c r="D78" s="368"/>
      <c r="E78" s="368"/>
      <c r="F78" s="321" t="s">
        <v>751</v>
      </c>
      <c r="G78" s="759"/>
      <c r="H78" s="759"/>
      <c r="I78" s="759"/>
      <c r="J78" s="760"/>
      <c r="K78" s="379"/>
    </row>
    <row r="79" spans="1:11" ht="12.65" customHeight="1" x14ac:dyDescent="0.3">
      <c r="A79" s="151">
        <f t="shared" si="4"/>
        <v>66</v>
      </c>
      <c r="B79" s="377" t="s">
        <v>752</v>
      </c>
      <c r="C79" s="144" t="s">
        <v>330</v>
      </c>
      <c r="D79" s="368"/>
      <c r="E79" s="368"/>
      <c r="F79" s="321" t="s">
        <v>753</v>
      </c>
      <c r="G79" s="759"/>
      <c r="H79" s="759"/>
      <c r="I79" s="759"/>
      <c r="J79" s="760"/>
      <c r="K79" s="379"/>
    </row>
    <row r="80" spans="1:11" ht="14.15" customHeight="1" x14ac:dyDescent="0.3">
      <c r="A80" s="151">
        <f>A79+1</f>
        <v>67</v>
      </c>
      <c r="B80" s="377" t="s">
        <v>870</v>
      </c>
      <c r="C80" s="100" t="s">
        <v>330</v>
      </c>
      <c r="D80" s="100"/>
      <c r="E80" s="113"/>
      <c r="F80" s="321" t="s">
        <v>753</v>
      </c>
      <c r="G80" s="759"/>
      <c r="H80" s="759"/>
      <c r="I80" s="759"/>
      <c r="J80" s="760"/>
      <c r="K80" s="379"/>
    </row>
    <row r="81" spans="1:11" ht="14.15" customHeight="1" x14ac:dyDescent="0.3">
      <c r="A81" s="151">
        <f>A80+1</f>
        <v>68</v>
      </c>
      <c r="B81" s="385" t="s">
        <v>965</v>
      </c>
      <c r="C81" s="100" t="s">
        <v>330</v>
      </c>
      <c r="D81" s="100"/>
      <c r="E81" s="113"/>
      <c r="F81" s="321" t="s">
        <v>824</v>
      </c>
      <c r="G81" s="759"/>
      <c r="H81" s="759"/>
      <c r="I81" s="759"/>
      <c r="J81" s="760"/>
      <c r="K81" s="379"/>
    </row>
    <row r="82" spans="1:11" ht="14.15" customHeight="1" thickBot="1" x14ac:dyDescent="0.35">
      <c r="A82" s="151">
        <f>A81+1</f>
        <v>69</v>
      </c>
      <c r="B82" s="385" t="s">
        <v>955</v>
      </c>
      <c r="C82" s="100" t="s">
        <v>330</v>
      </c>
      <c r="D82" s="100"/>
      <c r="E82" s="113"/>
      <c r="F82" s="321"/>
      <c r="G82" s="759"/>
      <c r="H82" s="759"/>
      <c r="I82" s="759"/>
      <c r="J82" s="760"/>
      <c r="K82" s="379"/>
    </row>
    <row r="83" spans="1:11" ht="13.5" thickBot="1" x14ac:dyDescent="0.35">
      <c r="A83" s="707" t="s">
        <v>760</v>
      </c>
      <c r="B83" s="708"/>
      <c r="C83" s="708"/>
      <c r="D83" s="708"/>
      <c r="E83" s="708"/>
      <c r="F83" s="708"/>
      <c r="G83" s="708"/>
      <c r="H83" s="708"/>
      <c r="I83" s="708"/>
      <c r="J83" s="709"/>
      <c r="K83" s="238"/>
    </row>
    <row r="84" spans="1:11" x14ac:dyDescent="0.3">
      <c r="A84" s="800" t="s">
        <v>960</v>
      </c>
      <c r="B84" s="801"/>
      <c r="C84" s="801"/>
      <c r="D84" s="801"/>
      <c r="E84" s="801"/>
      <c r="F84" s="801"/>
      <c r="G84" s="801"/>
      <c r="H84" s="801"/>
      <c r="I84" s="801"/>
      <c r="J84" s="802"/>
      <c r="K84" s="240"/>
    </row>
    <row r="85" spans="1:11" x14ac:dyDescent="0.3">
      <c r="A85" s="805" t="s">
        <v>956</v>
      </c>
      <c r="B85" s="806"/>
      <c r="C85" s="806"/>
      <c r="D85" s="806"/>
      <c r="E85" s="806"/>
      <c r="F85" s="806"/>
      <c r="G85" s="806"/>
      <c r="H85" s="806"/>
      <c r="I85" s="806"/>
      <c r="J85" s="807"/>
      <c r="K85" s="379"/>
    </row>
    <row r="86" spans="1:11" x14ac:dyDescent="0.3">
      <c r="A86" s="805" t="s">
        <v>871</v>
      </c>
      <c r="B86" s="806"/>
      <c r="C86" s="806"/>
      <c r="D86" s="806"/>
      <c r="E86" s="806"/>
      <c r="F86" s="806"/>
      <c r="G86" s="806"/>
      <c r="H86" s="806"/>
      <c r="I86" s="806"/>
      <c r="J86" s="807"/>
      <c r="K86" s="379"/>
    </row>
    <row r="87" spans="1:11" x14ac:dyDescent="0.3">
      <c r="A87" s="407" t="s">
        <v>872</v>
      </c>
      <c r="B87" s="408"/>
      <c r="C87" s="408"/>
      <c r="D87" s="408"/>
      <c r="E87" s="408"/>
      <c r="F87" s="408"/>
      <c r="G87" s="408"/>
      <c r="H87" s="408"/>
      <c r="I87" s="408"/>
      <c r="J87" s="409"/>
      <c r="K87" s="379"/>
    </row>
    <row r="88" spans="1:11" ht="12.5" customHeight="1" x14ac:dyDescent="0.3">
      <c r="A88" s="407" t="s">
        <v>957</v>
      </c>
      <c r="B88" s="408"/>
      <c r="C88" s="408"/>
      <c r="D88" s="408"/>
      <c r="E88" s="408"/>
      <c r="F88" s="408"/>
      <c r="G88" s="408"/>
      <c r="H88" s="408"/>
      <c r="I88" s="408"/>
      <c r="J88" s="409"/>
      <c r="K88" s="379"/>
    </row>
    <row r="89" spans="1:11" x14ac:dyDescent="0.3">
      <c r="A89" s="805"/>
      <c r="B89" s="806"/>
      <c r="C89" s="806"/>
      <c r="D89" s="806"/>
      <c r="E89" s="806"/>
      <c r="F89" s="806"/>
      <c r="G89" s="806"/>
      <c r="H89" s="806"/>
      <c r="I89" s="806"/>
      <c r="J89" s="807"/>
      <c r="K89" s="379"/>
    </row>
    <row r="90" spans="1:11" x14ac:dyDescent="0.3">
      <c r="A90" s="805"/>
      <c r="B90" s="806"/>
      <c r="C90" s="806"/>
      <c r="D90" s="806"/>
      <c r="E90" s="806"/>
      <c r="F90" s="806"/>
      <c r="G90" s="806"/>
      <c r="H90" s="806"/>
      <c r="I90" s="806"/>
      <c r="J90" s="807"/>
      <c r="K90" s="379"/>
    </row>
    <row r="91" spans="1:11" x14ac:dyDescent="0.3">
      <c r="A91" s="805"/>
      <c r="B91" s="806"/>
      <c r="C91" s="806"/>
      <c r="D91" s="806"/>
      <c r="E91" s="806"/>
      <c r="F91" s="806"/>
      <c r="G91" s="806"/>
      <c r="H91" s="806"/>
      <c r="I91" s="806"/>
      <c r="J91" s="807"/>
      <c r="K91" s="379"/>
    </row>
    <row r="92" spans="1:11" x14ac:dyDescent="0.3">
      <c r="A92" s="805"/>
      <c r="B92" s="806"/>
      <c r="C92" s="806"/>
      <c r="D92" s="806"/>
      <c r="E92" s="806"/>
      <c r="F92" s="806"/>
      <c r="G92" s="806"/>
      <c r="H92" s="806"/>
      <c r="I92" s="806"/>
      <c r="J92" s="807"/>
      <c r="K92" s="379"/>
    </row>
    <row r="93" spans="1:11" x14ac:dyDescent="0.3">
      <c r="A93" s="805"/>
      <c r="B93" s="806"/>
      <c r="C93" s="806"/>
      <c r="D93" s="806"/>
      <c r="E93" s="806"/>
      <c r="F93" s="806"/>
      <c r="G93" s="806"/>
      <c r="H93" s="806"/>
      <c r="I93" s="806"/>
      <c r="J93" s="807"/>
      <c r="K93" s="379"/>
    </row>
    <row r="94" spans="1:11" ht="15" customHeight="1" x14ac:dyDescent="0.3">
      <c r="A94" s="809"/>
      <c r="B94" s="433"/>
      <c r="C94" s="433"/>
      <c r="D94" s="433"/>
      <c r="E94" s="433"/>
      <c r="F94" s="433"/>
      <c r="G94" s="433"/>
      <c r="H94" s="433"/>
      <c r="I94" s="433"/>
      <c r="J94" s="810"/>
      <c r="K94" s="379"/>
    </row>
    <row r="95" spans="1:11" ht="15" customHeight="1" thickBot="1" x14ac:dyDescent="0.35">
      <c r="A95" s="811"/>
      <c r="B95" s="812"/>
      <c r="C95" s="812"/>
      <c r="D95" s="812"/>
      <c r="E95" s="812"/>
      <c r="F95" s="812"/>
      <c r="G95" s="812"/>
      <c r="H95" s="812"/>
      <c r="I95" s="812"/>
      <c r="J95" s="813"/>
      <c r="K95" s="378"/>
    </row>
    <row r="96" spans="1:11" ht="15" customHeight="1" thickBot="1" x14ac:dyDescent="0.35">
      <c r="A96" s="715" t="s">
        <v>269</v>
      </c>
      <c r="B96" s="716"/>
      <c r="C96" s="716"/>
      <c r="D96" s="716"/>
      <c r="E96" s="716"/>
      <c r="F96" s="716"/>
      <c r="G96" s="716"/>
      <c r="H96" s="716"/>
      <c r="I96" s="716"/>
      <c r="J96" s="716"/>
      <c r="K96" s="717"/>
    </row>
    <row r="97" spans="2:16" s="152" customFormat="1" ht="14.5" customHeight="1" x14ac:dyDescent="0.3">
      <c r="B97" s="104"/>
      <c r="C97" s="104"/>
      <c r="D97" s="104"/>
      <c r="E97" s="104"/>
      <c r="F97" s="104"/>
      <c r="G97" s="104"/>
      <c r="H97" s="104"/>
      <c r="I97" s="104"/>
      <c r="J97" s="104"/>
      <c r="K97" s="245"/>
      <c r="L97" s="104"/>
      <c r="M97" s="104"/>
      <c r="N97" s="104"/>
      <c r="O97" s="104"/>
      <c r="P97" s="104"/>
    </row>
  </sheetData>
  <mergeCells count="107">
    <mergeCell ref="A6:K6"/>
    <mergeCell ref="A7:J7"/>
    <mergeCell ref="C8:J8"/>
    <mergeCell ref="C9:J9"/>
    <mergeCell ref="C10:J10"/>
    <mergeCell ref="C11:J11"/>
    <mergeCell ref="A1:K1"/>
    <mergeCell ref="A2:B5"/>
    <mergeCell ref="D2:G2"/>
    <mergeCell ref="H2:K2"/>
    <mergeCell ref="D3:G3"/>
    <mergeCell ref="H3:K3"/>
    <mergeCell ref="D4:G4"/>
    <mergeCell ref="D5:G5"/>
    <mergeCell ref="A13:J13"/>
    <mergeCell ref="G14:J14"/>
    <mergeCell ref="G15:J26"/>
    <mergeCell ref="B19:F19"/>
    <mergeCell ref="D20:F20"/>
    <mergeCell ref="D21:F21"/>
    <mergeCell ref="D22:F22"/>
    <mergeCell ref="D23:F23"/>
    <mergeCell ref="D24:F24"/>
    <mergeCell ref="D25:F25"/>
    <mergeCell ref="D35:F35"/>
    <mergeCell ref="D36:F36"/>
    <mergeCell ref="D37:F37"/>
    <mergeCell ref="D38:F38"/>
    <mergeCell ref="D39:F39"/>
    <mergeCell ref="A40:J40"/>
    <mergeCell ref="D26:F26"/>
    <mergeCell ref="A27:J27"/>
    <mergeCell ref="G28:J28"/>
    <mergeCell ref="D29:F29"/>
    <mergeCell ref="G29:J39"/>
    <mergeCell ref="D30:F30"/>
    <mergeCell ref="D31:F31"/>
    <mergeCell ref="D32:F32"/>
    <mergeCell ref="D33:F33"/>
    <mergeCell ref="D34:F34"/>
    <mergeCell ref="D50:F50"/>
    <mergeCell ref="D51:F51"/>
    <mergeCell ref="D52:F52"/>
    <mergeCell ref="A53:J53"/>
    <mergeCell ref="C54:D54"/>
    <mergeCell ref="E54:F54"/>
    <mergeCell ref="G54:J54"/>
    <mergeCell ref="D41:F41"/>
    <mergeCell ref="G41:J41"/>
    <mergeCell ref="D42:F42"/>
    <mergeCell ref="G42:J52"/>
    <mergeCell ref="D43:F43"/>
    <mergeCell ref="D44:F44"/>
    <mergeCell ref="D45:F45"/>
    <mergeCell ref="D46:F46"/>
    <mergeCell ref="D48:F48"/>
    <mergeCell ref="D49:F49"/>
    <mergeCell ref="G55:J66"/>
    <mergeCell ref="E59:F59"/>
    <mergeCell ref="C60:D60"/>
    <mergeCell ref="E60:F60"/>
    <mergeCell ref="C61:D61"/>
    <mergeCell ref="E61:F61"/>
    <mergeCell ref="C62:D62"/>
    <mergeCell ref="E62:F62"/>
    <mergeCell ref="C55:D55"/>
    <mergeCell ref="E55:F55"/>
    <mergeCell ref="C56:D56"/>
    <mergeCell ref="E56:F56"/>
    <mergeCell ref="C57:D57"/>
    <mergeCell ref="E57:F57"/>
    <mergeCell ref="C58:D58"/>
    <mergeCell ref="E58:F58"/>
    <mergeCell ref="C59:D59"/>
    <mergeCell ref="D70:F70"/>
    <mergeCell ref="D71:F71"/>
    <mergeCell ref="D72:F72"/>
    <mergeCell ref="C63:D63"/>
    <mergeCell ref="E63:F63"/>
    <mergeCell ref="C64:D64"/>
    <mergeCell ref="E64:F64"/>
    <mergeCell ref="C65:D65"/>
    <mergeCell ref="E65:F65"/>
    <mergeCell ref="A96:K96"/>
    <mergeCell ref="D28:F28"/>
    <mergeCell ref="A90:J90"/>
    <mergeCell ref="A91:J91"/>
    <mergeCell ref="A92:J92"/>
    <mergeCell ref="A93:J93"/>
    <mergeCell ref="A94:J94"/>
    <mergeCell ref="A95:J95"/>
    <mergeCell ref="A85:J85"/>
    <mergeCell ref="A86:J86"/>
    <mergeCell ref="A89:J89"/>
    <mergeCell ref="D73:F73"/>
    <mergeCell ref="A74:J74"/>
    <mergeCell ref="G75:J75"/>
    <mergeCell ref="G76:J82"/>
    <mergeCell ref="A83:J83"/>
    <mergeCell ref="A84:J84"/>
    <mergeCell ref="C66:D66"/>
    <mergeCell ref="E66:F66"/>
    <mergeCell ref="A67:J67"/>
    <mergeCell ref="D68:F68"/>
    <mergeCell ref="G68:J68"/>
    <mergeCell ref="D69:F69"/>
    <mergeCell ref="G69:J73"/>
  </mergeCells>
  <pageMargins left="0.70865923009623799" right="0.20865923009623796" top="0.5699989063867017" bottom="0.49802930883639546" header="6.4959536307961502E-2" footer="0.31496062992125984"/>
  <pageSetup scale="83" fitToHeight="0" orientation="portrait" horizontalDpi="1200" verticalDpi="1200" r:id="rId1"/>
  <headerFooter>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8913" r:id="rId4" name="Check Box 1">
              <controlPr defaultSize="0" autoFill="0" autoLine="0" autoPict="0">
                <anchor moveWithCells="1">
                  <from>
                    <xdr:col>3</xdr:col>
                    <xdr:colOff>260350</xdr:colOff>
                    <xdr:row>74</xdr:row>
                    <xdr:rowOff>146050</xdr:rowOff>
                  </from>
                  <to>
                    <xdr:col>4</xdr:col>
                    <xdr:colOff>0</xdr:colOff>
                    <xdr:row>76</xdr:row>
                    <xdr:rowOff>38100</xdr:rowOff>
                  </to>
                </anchor>
              </controlPr>
            </control>
          </mc:Choice>
        </mc:AlternateContent>
        <mc:AlternateContent xmlns:mc="http://schemas.openxmlformats.org/markup-compatibility/2006">
          <mc:Choice Requires="x14">
            <control shapeId="38914" r:id="rId5" name="Check Box 2">
              <controlPr defaultSize="0" autoFill="0" autoLine="0" autoPict="0">
                <anchor moveWithCells="1">
                  <from>
                    <xdr:col>3</xdr:col>
                    <xdr:colOff>260350</xdr:colOff>
                    <xdr:row>79</xdr:row>
                    <xdr:rowOff>0</xdr:rowOff>
                  </from>
                  <to>
                    <xdr:col>4</xdr:col>
                    <xdr:colOff>0</xdr:colOff>
                    <xdr:row>80</xdr:row>
                    <xdr:rowOff>25400</xdr:rowOff>
                  </to>
                </anchor>
              </controlPr>
            </control>
          </mc:Choice>
        </mc:AlternateContent>
        <mc:AlternateContent xmlns:mc="http://schemas.openxmlformats.org/markup-compatibility/2006">
          <mc:Choice Requires="x14">
            <control shapeId="38915" r:id="rId6" name="Check Box 3">
              <controlPr defaultSize="0" autoFill="0" autoLine="0" autoPict="0">
                <anchor moveWithCells="1">
                  <from>
                    <xdr:col>3</xdr:col>
                    <xdr:colOff>260350</xdr:colOff>
                    <xdr:row>77</xdr:row>
                    <xdr:rowOff>146050</xdr:rowOff>
                  </from>
                  <to>
                    <xdr:col>4</xdr:col>
                    <xdr:colOff>0</xdr:colOff>
                    <xdr:row>79</xdr:row>
                    <xdr:rowOff>12700</xdr:rowOff>
                  </to>
                </anchor>
              </controlPr>
            </control>
          </mc:Choice>
        </mc:AlternateContent>
        <mc:AlternateContent xmlns:mc="http://schemas.openxmlformats.org/markup-compatibility/2006">
          <mc:Choice Requires="x14">
            <control shapeId="38916" r:id="rId7" name="Check Box 4">
              <controlPr defaultSize="0" autoFill="0" autoLine="0" autoPict="0">
                <anchor moveWithCells="1">
                  <from>
                    <xdr:col>3</xdr:col>
                    <xdr:colOff>260350</xdr:colOff>
                    <xdr:row>76</xdr:row>
                    <xdr:rowOff>146050</xdr:rowOff>
                  </from>
                  <to>
                    <xdr:col>4</xdr:col>
                    <xdr:colOff>0</xdr:colOff>
                    <xdr:row>78</xdr:row>
                    <xdr:rowOff>12700</xdr:rowOff>
                  </to>
                </anchor>
              </controlPr>
            </control>
          </mc:Choice>
        </mc:AlternateContent>
        <mc:AlternateContent xmlns:mc="http://schemas.openxmlformats.org/markup-compatibility/2006">
          <mc:Choice Requires="x14">
            <control shapeId="38917" r:id="rId8" name="Check Box 5">
              <controlPr defaultSize="0" autoFill="0" autoLine="0" autoPict="0">
                <anchor moveWithCells="1">
                  <from>
                    <xdr:col>2</xdr:col>
                    <xdr:colOff>12700</xdr:colOff>
                    <xdr:row>10</xdr:row>
                    <xdr:rowOff>165100</xdr:rowOff>
                  </from>
                  <to>
                    <xdr:col>2</xdr:col>
                    <xdr:colOff>450850</xdr:colOff>
                    <xdr:row>12</xdr:row>
                    <xdr:rowOff>12700</xdr:rowOff>
                  </to>
                </anchor>
              </controlPr>
            </control>
          </mc:Choice>
        </mc:AlternateContent>
        <mc:AlternateContent xmlns:mc="http://schemas.openxmlformats.org/markup-compatibility/2006">
          <mc:Choice Requires="x14">
            <control shapeId="38918" r:id="rId9" name="Check Box 6">
              <controlPr defaultSize="0" autoFill="0" autoLine="0" autoPict="0">
                <anchor moveWithCells="1">
                  <from>
                    <xdr:col>6</xdr:col>
                    <xdr:colOff>755650</xdr:colOff>
                    <xdr:row>10</xdr:row>
                    <xdr:rowOff>184150</xdr:rowOff>
                  </from>
                  <to>
                    <xdr:col>7</xdr:col>
                    <xdr:colOff>419100</xdr:colOff>
                    <xdr:row>12</xdr:row>
                    <xdr:rowOff>38100</xdr:rowOff>
                  </to>
                </anchor>
              </controlPr>
            </control>
          </mc:Choice>
        </mc:AlternateContent>
        <mc:AlternateContent xmlns:mc="http://schemas.openxmlformats.org/markup-compatibility/2006">
          <mc:Choice Requires="x14">
            <control shapeId="38919" r:id="rId10" name="Check Box 7">
              <controlPr defaultSize="0" autoFill="0" autoLine="0" autoPict="0">
                <anchor moveWithCells="1">
                  <from>
                    <xdr:col>4</xdr:col>
                    <xdr:colOff>431800</xdr:colOff>
                    <xdr:row>10</xdr:row>
                    <xdr:rowOff>165100</xdr:rowOff>
                  </from>
                  <to>
                    <xdr:col>5</xdr:col>
                    <xdr:colOff>146050</xdr:colOff>
                    <xdr:row>12</xdr:row>
                    <xdr:rowOff>38100</xdr:rowOff>
                  </to>
                </anchor>
              </controlPr>
            </control>
          </mc:Choice>
        </mc:AlternateContent>
        <mc:AlternateContent xmlns:mc="http://schemas.openxmlformats.org/markup-compatibility/2006">
          <mc:Choice Requires="x14">
            <control shapeId="38920" r:id="rId11" name="Check Box 8">
              <controlPr defaultSize="0" autoFill="0" autoLine="0" autoPict="0">
                <anchor moveWithCells="1">
                  <from>
                    <xdr:col>3</xdr:col>
                    <xdr:colOff>260350</xdr:colOff>
                    <xdr:row>75</xdr:row>
                    <xdr:rowOff>146050</xdr:rowOff>
                  </from>
                  <to>
                    <xdr:col>4</xdr:col>
                    <xdr:colOff>0</xdr:colOff>
                    <xdr:row>77</xdr:row>
                    <xdr:rowOff>38100</xdr:rowOff>
                  </to>
                </anchor>
              </controlPr>
            </control>
          </mc:Choice>
        </mc:AlternateContent>
        <mc:AlternateContent xmlns:mc="http://schemas.openxmlformats.org/markup-compatibility/2006">
          <mc:Choice Requires="x14">
            <control shapeId="38921" r:id="rId12" name="Check Box 9">
              <controlPr defaultSize="0" autoFill="0" autoLine="0" autoPict="0">
                <anchor moveWithCells="1">
                  <from>
                    <xdr:col>4</xdr:col>
                    <xdr:colOff>241300</xdr:colOff>
                    <xdr:row>74</xdr:row>
                    <xdr:rowOff>146050</xdr:rowOff>
                  </from>
                  <to>
                    <xdr:col>4</xdr:col>
                    <xdr:colOff>666750</xdr:colOff>
                    <xdr:row>76</xdr:row>
                    <xdr:rowOff>38100</xdr:rowOff>
                  </to>
                </anchor>
              </controlPr>
            </control>
          </mc:Choice>
        </mc:AlternateContent>
        <mc:AlternateContent xmlns:mc="http://schemas.openxmlformats.org/markup-compatibility/2006">
          <mc:Choice Requires="x14">
            <control shapeId="38922" r:id="rId13" name="Check Box 10">
              <controlPr defaultSize="0" autoFill="0" autoLine="0" autoPict="0">
                <anchor moveWithCells="1">
                  <from>
                    <xdr:col>4</xdr:col>
                    <xdr:colOff>241300</xdr:colOff>
                    <xdr:row>79</xdr:row>
                    <xdr:rowOff>0</xdr:rowOff>
                  </from>
                  <to>
                    <xdr:col>4</xdr:col>
                    <xdr:colOff>666750</xdr:colOff>
                    <xdr:row>80</xdr:row>
                    <xdr:rowOff>31750</xdr:rowOff>
                  </to>
                </anchor>
              </controlPr>
            </control>
          </mc:Choice>
        </mc:AlternateContent>
        <mc:AlternateContent xmlns:mc="http://schemas.openxmlformats.org/markup-compatibility/2006">
          <mc:Choice Requires="x14">
            <control shapeId="38923" r:id="rId14" name="Check Box 11">
              <controlPr defaultSize="0" autoFill="0" autoLine="0" autoPict="0">
                <anchor moveWithCells="1">
                  <from>
                    <xdr:col>4</xdr:col>
                    <xdr:colOff>241300</xdr:colOff>
                    <xdr:row>77</xdr:row>
                    <xdr:rowOff>146050</xdr:rowOff>
                  </from>
                  <to>
                    <xdr:col>4</xdr:col>
                    <xdr:colOff>666750</xdr:colOff>
                    <xdr:row>79</xdr:row>
                    <xdr:rowOff>12700</xdr:rowOff>
                  </to>
                </anchor>
              </controlPr>
            </control>
          </mc:Choice>
        </mc:AlternateContent>
        <mc:AlternateContent xmlns:mc="http://schemas.openxmlformats.org/markup-compatibility/2006">
          <mc:Choice Requires="x14">
            <control shapeId="38924" r:id="rId15" name="Check Box 12">
              <controlPr defaultSize="0" autoFill="0" autoLine="0" autoPict="0">
                <anchor moveWithCells="1">
                  <from>
                    <xdr:col>4</xdr:col>
                    <xdr:colOff>241300</xdr:colOff>
                    <xdr:row>76</xdr:row>
                    <xdr:rowOff>146050</xdr:rowOff>
                  </from>
                  <to>
                    <xdr:col>4</xdr:col>
                    <xdr:colOff>666750</xdr:colOff>
                    <xdr:row>78</xdr:row>
                    <xdr:rowOff>12700</xdr:rowOff>
                  </to>
                </anchor>
              </controlPr>
            </control>
          </mc:Choice>
        </mc:AlternateContent>
        <mc:AlternateContent xmlns:mc="http://schemas.openxmlformats.org/markup-compatibility/2006">
          <mc:Choice Requires="x14">
            <control shapeId="38925" r:id="rId16" name="Check Box 13">
              <controlPr defaultSize="0" autoFill="0" autoLine="0" autoPict="0">
                <anchor moveWithCells="1">
                  <from>
                    <xdr:col>4</xdr:col>
                    <xdr:colOff>241300</xdr:colOff>
                    <xdr:row>75</xdr:row>
                    <xdr:rowOff>146050</xdr:rowOff>
                  </from>
                  <to>
                    <xdr:col>4</xdr:col>
                    <xdr:colOff>666750</xdr:colOff>
                    <xdr:row>77</xdr:row>
                    <xdr:rowOff>38100</xdr:rowOff>
                  </to>
                </anchor>
              </controlPr>
            </control>
          </mc:Choice>
        </mc:AlternateContent>
        <mc:AlternateContent xmlns:mc="http://schemas.openxmlformats.org/markup-compatibility/2006">
          <mc:Choice Requires="x14">
            <control shapeId="38926" r:id="rId17" name="Check Box 14">
              <controlPr defaultSize="0" autoFill="0" autoLine="0" autoPict="0">
                <anchor moveWithCells="1">
                  <from>
                    <xdr:col>3</xdr:col>
                    <xdr:colOff>260350</xdr:colOff>
                    <xdr:row>78</xdr:row>
                    <xdr:rowOff>146050</xdr:rowOff>
                  </from>
                  <to>
                    <xdr:col>4</xdr:col>
                    <xdr:colOff>0</xdr:colOff>
                    <xdr:row>80</xdr:row>
                    <xdr:rowOff>12700</xdr:rowOff>
                  </to>
                </anchor>
              </controlPr>
            </control>
          </mc:Choice>
        </mc:AlternateContent>
        <mc:AlternateContent xmlns:mc="http://schemas.openxmlformats.org/markup-compatibility/2006">
          <mc:Choice Requires="x14">
            <control shapeId="38927" r:id="rId18" name="Check Box 15">
              <controlPr defaultSize="0" autoFill="0" autoLine="0" autoPict="0">
                <anchor moveWithCells="1">
                  <from>
                    <xdr:col>4</xdr:col>
                    <xdr:colOff>241300</xdr:colOff>
                    <xdr:row>78</xdr:row>
                    <xdr:rowOff>146050</xdr:rowOff>
                  </from>
                  <to>
                    <xdr:col>4</xdr:col>
                    <xdr:colOff>666750</xdr:colOff>
                    <xdr:row>80</xdr:row>
                    <xdr:rowOff>12700</xdr:rowOff>
                  </to>
                </anchor>
              </controlPr>
            </control>
          </mc:Choice>
        </mc:AlternateContent>
        <mc:AlternateContent xmlns:mc="http://schemas.openxmlformats.org/markup-compatibility/2006">
          <mc:Choice Requires="x14">
            <control shapeId="38928" r:id="rId19" name="Check Box 16">
              <controlPr defaultSize="0" autoFill="0" autoLine="0" autoPict="0">
                <anchor moveWithCells="1">
                  <from>
                    <xdr:col>3</xdr:col>
                    <xdr:colOff>260350</xdr:colOff>
                    <xdr:row>79</xdr:row>
                    <xdr:rowOff>152400</xdr:rowOff>
                  </from>
                  <to>
                    <xdr:col>4</xdr:col>
                    <xdr:colOff>0</xdr:colOff>
                    <xdr:row>81</xdr:row>
                    <xdr:rowOff>0</xdr:rowOff>
                  </to>
                </anchor>
              </controlPr>
            </control>
          </mc:Choice>
        </mc:AlternateContent>
        <mc:AlternateContent xmlns:mc="http://schemas.openxmlformats.org/markup-compatibility/2006">
          <mc:Choice Requires="x14">
            <control shapeId="38929" r:id="rId20" name="Check Box 17">
              <controlPr defaultSize="0" autoFill="0" autoLine="0" autoPict="0">
                <anchor moveWithCells="1">
                  <from>
                    <xdr:col>4</xdr:col>
                    <xdr:colOff>241300</xdr:colOff>
                    <xdr:row>79</xdr:row>
                    <xdr:rowOff>146050</xdr:rowOff>
                  </from>
                  <to>
                    <xdr:col>4</xdr:col>
                    <xdr:colOff>666750</xdr:colOff>
                    <xdr:row>81</xdr:row>
                    <xdr:rowOff>0</xdr:rowOff>
                  </to>
                </anchor>
              </controlPr>
            </control>
          </mc:Choice>
        </mc:AlternateContent>
        <mc:AlternateContent xmlns:mc="http://schemas.openxmlformats.org/markup-compatibility/2006">
          <mc:Choice Requires="x14">
            <control shapeId="38930" r:id="rId21" name="Check Box 18">
              <controlPr defaultSize="0" autoFill="0" autoLine="0" autoPict="0">
                <anchor moveWithCells="1">
                  <from>
                    <xdr:col>3</xdr:col>
                    <xdr:colOff>260350</xdr:colOff>
                    <xdr:row>81</xdr:row>
                    <xdr:rowOff>0</xdr:rowOff>
                  </from>
                  <to>
                    <xdr:col>4</xdr:col>
                    <xdr:colOff>0</xdr:colOff>
                    <xdr:row>82</xdr:row>
                    <xdr:rowOff>31750</xdr:rowOff>
                  </to>
                </anchor>
              </controlPr>
            </control>
          </mc:Choice>
        </mc:AlternateContent>
        <mc:AlternateContent xmlns:mc="http://schemas.openxmlformats.org/markup-compatibility/2006">
          <mc:Choice Requires="x14">
            <control shapeId="38931" r:id="rId22" name="Check Box 19">
              <controlPr defaultSize="0" autoFill="0" autoLine="0" autoPict="0">
                <anchor moveWithCells="1">
                  <from>
                    <xdr:col>4</xdr:col>
                    <xdr:colOff>241300</xdr:colOff>
                    <xdr:row>81</xdr:row>
                    <xdr:rowOff>0</xdr:rowOff>
                  </from>
                  <to>
                    <xdr:col>4</xdr:col>
                    <xdr:colOff>666750</xdr:colOff>
                    <xdr:row>82</xdr:row>
                    <xdr:rowOff>31750</xdr:rowOff>
                  </to>
                </anchor>
              </controlPr>
            </control>
          </mc:Choice>
        </mc:AlternateContent>
        <mc:AlternateContent xmlns:mc="http://schemas.openxmlformats.org/markup-compatibility/2006">
          <mc:Choice Requires="x14">
            <control shapeId="38932" r:id="rId23" name="Check Box 20">
              <controlPr defaultSize="0" autoFill="0" autoLine="0" autoPict="0">
                <anchor moveWithCells="1">
                  <from>
                    <xdr:col>3</xdr:col>
                    <xdr:colOff>260350</xdr:colOff>
                    <xdr:row>45</xdr:row>
                    <xdr:rowOff>146050</xdr:rowOff>
                  </from>
                  <to>
                    <xdr:col>4</xdr:col>
                    <xdr:colOff>0</xdr:colOff>
                    <xdr:row>47</xdr:row>
                    <xdr:rowOff>12700</xdr:rowOff>
                  </to>
                </anchor>
              </controlPr>
            </control>
          </mc:Choice>
        </mc:AlternateContent>
        <mc:AlternateContent xmlns:mc="http://schemas.openxmlformats.org/markup-compatibility/2006">
          <mc:Choice Requires="x14">
            <control shapeId="38933" r:id="rId24" name="Check Box 21">
              <controlPr defaultSize="0" autoFill="0" autoLine="0" autoPict="0">
                <anchor moveWithCells="1">
                  <from>
                    <xdr:col>4</xdr:col>
                    <xdr:colOff>241300</xdr:colOff>
                    <xdr:row>45</xdr:row>
                    <xdr:rowOff>146050</xdr:rowOff>
                  </from>
                  <to>
                    <xdr:col>4</xdr:col>
                    <xdr:colOff>666750</xdr:colOff>
                    <xdr:row>47</xdr:row>
                    <xdr:rowOff>12700</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780D1-AD0C-43B7-8B6D-32F532DE984D}">
  <dimension ref="A1:G4"/>
  <sheetViews>
    <sheetView topLeftCell="A25" workbookViewId="0">
      <selection activeCell="A5" sqref="A5"/>
    </sheetView>
  </sheetViews>
  <sheetFormatPr defaultRowHeight="14.5" x14ac:dyDescent="0.35"/>
  <sheetData>
    <row r="1" spans="1:7" x14ac:dyDescent="0.35">
      <c r="A1" t="s">
        <v>754</v>
      </c>
    </row>
    <row r="3" spans="1:7" x14ac:dyDescent="0.35">
      <c r="A3" t="s">
        <v>755</v>
      </c>
      <c r="B3" t="s">
        <v>756</v>
      </c>
      <c r="F3" t="s">
        <v>759</v>
      </c>
      <c r="G3" t="s">
        <v>5</v>
      </c>
    </row>
    <row r="4" spans="1:7" x14ac:dyDescent="0.35">
      <c r="A4" t="s">
        <v>757</v>
      </c>
      <c r="B4" t="s">
        <v>758</v>
      </c>
      <c r="F4">
        <v>35</v>
      </c>
      <c r="G4"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981A-2839-45C6-9847-58243937E251}">
  <sheetPr codeName="Sheet4"/>
  <dimension ref="A2:DB140"/>
  <sheetViews>
    <sheetView zoomScale="40" zoomScaleNormal="40" workbookViewId="0">
      <pane xSplit="4" ySplit="13" topLeftCell="AS15" activePane="bottomRight" state="frozen"/>
      <selection pane="topRight" activeCell="E1" sqref="E1"/>
      <selection pane="bottomLeft" activeCell="A13" sqref="A13"/>
      <selection pane="bottomRight" activeCell="BA52" sqref="BA51:BF52"/>
    </sheetView>
  </sheetViews>
  <sheetFormatPr defaultColWidth="8.81640625" defaultRowHeight="14.5" x14ac:dyDescent="0.35"/>
  <cols>
    <col min="2" max="2" width="12.81640625" style="78" customWidth="1"/>
    <col min="3" max="3" width="24.54296875" style="11" customWidth="1"/>
    <col min="4" max="16" width="11" style="78" customWidth="1"/>
    <col min="17" max="17" width="14.1796875" style="78" customWidth="1"/>
    <col min="18" max="18" width="13.54296875" style="78" customWidth="1"/>
    <col min="19" max="19" width="10.1796875" style="78" customWidth="1"/>
    <col min="20" max="21" width="11.1796875" style="78" customWidth="1"/>
    <col min="22" max="22" width="10.81640625" customWidth="1"/>
    <col min="23" max="24" width="10" style="78" customWidth="1"/>
    <col min="25" max="25" width="10.1796875" style="78" customWidth="1"/>
    <col min="26" max="27" width="11.1796875" style="78" customWidth="1"/>
    <col min="28" max="28" width="10.81640625" customWidth="1"/>
    <col min="29" max="30" width="10" style="78" customWidth="1"/>
    <col min="31" max="31" width="10.1796875" style="78" customWidth="1"/>
    <col min="32" max="33" width="11.1796875" style="78" customWidth="1"/>
    <col min="34" max="34" width="10.81640625" customWidth="1"/>
    <col min="35" max="36" width="10" style="78" customWidth="1"/>
    <col min="37" max="37" width="10.1796875" style="78" customWidth="1"/>
    <col min="38" max="39" width="11.1796875" style="78" customWidth="1"/>
    <col min="40" max="40" width="10.81640625" customWidth="1"/>
    <col min="41" max="42" width="10" style="78" customWidth="1"/>
    <col min="43" max="43" width="10.1796875" style="78" customWidth="1"/>
    <col min="44" max="45" width="11.1796875" style="78" customWidth="1"/>
    <col min="46" max="46" width="10.81640625" customWidth="1"/>
    <col min="47" max="48" width="10" style="78" customWidth="1"/>
    <col min="49" max="49" width="10.1796875" style="78" customWidth="1"/>
    <col min="50" max="51" width="11.1796875" style="78" customWidth="1"/>
    <col min="52" max="52" width="10.81640625" customWidth="1"/>
    <col min="53" max="54" width="10" style="78" customWidth="1"/>
    <col min="55" max="55" width="10.1796875" style="78" customWidth="1"/>
    <col min="56" max="57" width="11.1796875" style="78" customWidth="1"/>
    <col min="58" max="58" width="10.81640625" customWidth="1"/>
    <col min="59" max="60" width="10" style="78" customWidth="1"/>
    <col min="61" max="61" width="10.1796875" style="78" customWidth="1"/>
    <col min="62" max="63" width="11.1796875" style="78" customWidth="1"/>
    <col min="64" max="64" width="10.81640625" customWidth="1"/>
    <col min="65" max="66" width="10" style="78" customWidth="1"/>
    <col min="67" max="67" width="10.1796875" style="78" customWidth="1"/>
    <col min="68" max="69" width="11.1796875" style="78" customWidth="1"/>
    <col min="70" max="70" width="10.81640625" customWidth="1"/>
    <col min="71" max="72" width="10" style="78" customWidth="1"/>
    <col min="73" max="73" width="10.1796875" style="78" customWidth="1"/>
    <col min="74" max="75" width="11.1796875" style="78" customWidth="1"/>
    <col min="76" max="76" width="10.81640625" customWidth="1"/>
    <col min="77" max="78" width="10" style="78" customWidth="1"/>
    <col min="79" max="79" width="10.1796875" style="78" customWidth="1"/>
    <col min="80" max="81" width="11.1796875" style="78" customWidth="1"/>
    <col min="82" max="82" width="10.81640625" customWidth="1"/>
    <col min="83" max="84" width="10" style="78" customWidth="1"/>
    <col min="85" max="85" width="10.1796875" style="78" customWidth="1"/>
    <col min="86" max="87" width="11.1796875" style="78" customWidth="1"/>
    <col min="88" max="88" width="10.81640625" customWidth="1"/>
    <col min="89" max="90" width="10" style="78" customWidth="1"/>
    <col min="91" max="91" width="10.1796875" style="78" customWidth="1"/>
    <col min="92" max="93" width="11.1796875" style="78" customWidth="1"/>
    <col min="94" max="94" width="10.81640625" customWidth="1"/>
    <col min="95" max="96" width="10" style="78" customWidth="1"/>
    <col min="97" max="97" width="10.1796875" style="78" customWidth="1"/>
    <col min="98" max="99" width="11.1796875" style="78" customWidth="1"/>
    <col min="100" max="100" width="10.81640625" customWidth="1"/>
    <col min="101" max="102" width="10" style="78" customWidth="1"/>
    <col min="103" max="103" width="10.1796875" style="78" customWidth="1"/>
    <col min="104" max="105" width="11.1796875" style="78" customWidth="1"/>
    <col min="106" max="106" width="10.81640625" customWidth="1"/>
  </cols>
  <sheetData>
    <row r="2" spans="1:106" x14ac:dyDescent="0.35">
      <c r="C2" s="11" t="s">
        <v>6</v>
      </c>
      <c r="E2" s="550" t="s">
        <v>173</v>
      </c>
      <c r="F2" s="550"/>
      <c r="G2" s="550"/>
      <c r="H2" s="550"/>
      <c r="I2" s="550"/>
      <c r="J2" s="550"/>
      <c r="K2" s="550" t="s">
        <v>174</v>
      </c>
      <c r="L2" s="550"/>
      <c r="M2" s="550"/>
      <c r="N2" s="550"/>
      <c r="O2" s="550"/>
      <c r="P2" s="550"/>
      <c r="Q2" s="550">
        <v>1</v>
      </c>
      <c r="R2" s="550"/>
      <c r="S2" s="550"/>
      <c r="T2" s="550"/>
      <c r="U2" s="550"/>
      <c r="V2" s="550"/>
      <c r="W2" s="550">
        <v>2</v>
      </c>
      <c r="X2" s="550"/>
      <c r="Y2" s="550"/>
      <c r="Z2" s="550"/>
      <c r="AA2" s="550"/>
      <c r="AB2" s="550"/>
      <c r="AC2" s="550">
        <v>3</v>
      </c>
      <c r="AD2" s="550"/>
      <c r="AE2" s="550"/>
      <c r="AF2" s="550"/>
      <c r="AG2" s="550"/>
      <c r="AH2" s="550"/>
      <c r="AI2" s="550">
        <v>4</v>
      </c>
      <c r="AJ2" s="550"/>
      <c r="AK2" s="550"/>
      <c r="AL2" s="550"/>
      <c r="AM2" s="550"/>
      <c r="AN2" s="550"/>
      <c r="AO2" s="550">
        <v>5</v>
      </c>
      <c r="AP2" s="550"/>
      <c r="AQ2" s="550"/>
      <c r="AR2" s="550"/>
      <c r="AS2" s="550"/>
      <c r="AT2" s="550"/>
      <c r="AU2" s="550">
        <v>6</v>
      </c>
      <c r="AV2" s="550"/>
      <c r="AW2" s="550"/>
      <c r="AX2" s="550"/>
      <c r="AY2" s="550"/>
      <c r="AZ2" s="550"/>
      <c r="BA2" s="550">
        <v>7</v>
      </c>
      <c r="BB2" s="550"/>
      <c r="BC2" s="550"/>
      <c r="BD2" s="550"/>
      <c r="BE2" s="550"/>
      <c r="BF2" s="550"/>
      <c r="BG2" s="550" t="s">
        <v>152</v>
      </c>
      <c r="BH2" s="550"/>
      <c r="BI2" s="550"/>
      <c r="BJ2" s="550"/>
      <c r="BK2" s="550"/>
      <c r="BL2" s="550"/>
      <c r="BM2" s="550" t="s">
        <v>154</v>
      </c>
      <c r="BN2" s="550"/>
      <c r="BO2" s="550"/>
      <c r="BP2" s="550"/>
      <c r="BQ2" s="550"/>
      <c r="BR2" s="550"/>
      <c r="BS2" s="550">
        <v>8</v>
      </c>
      <c r="BT2" s="550"/>
      <c r="BU2" s="550"/>
      <c r="BV2" s="550"/>
      <c r="BW2" s="550"/>
      <c r="BX2" s="550"/>
      <c r="BY2" s="550">
        <v>9</v>
      </c>
      <c r="BZ2" s="550"/>
      <c r="CA2" s="550"/>
      <c r="CB2" s="550"/>
      <c r="CC2" s="550"/>
      <c r="CD2" s="550"/>
      <c r="CE2" s="550">
        <v>10</v>
      </c>
      <c r="CF2" s="550"/>
      <c r="CG2" s="550"/>
      <c r="CH2" s="550"/>
      <c r="CI2" s="550"/>
      <c r="CJ2" s="550"/>
      <c r="CK2" s="550">
        <v>11</v>
      </c>
      <c r="CL2" s="550"/>
      <c r="CM2" s="550"/>
      <c r="CN2" s="550"/>
      <c r="CO2" s="550"/>
      <c r="CP2" s="550"/>
      <c r="CQ2" s="550">
        <v>12</v>
      </c>
      <c r="CR2" s="550"/>
      <c r="CS2" s="550"/>
      <c r="CT2" s="550"/>
      <c r="CU2" s="550"/>
      <c r="CV2" s="550"/>
      <c r="CW2" s="550">
        <v>13</v>
      </c>
      <c r="CX2" s="550"/>
      <c r="CY2" s="550"/>
      <c r="CZ2" s="550"/>
      <c r="DA2" s="550"/>
      <c r="DB2" s="550"/>
    </row>
    <row r="3" spans="1:106" s="10" customFormat="1" ht="45" customHeight="1" x14ac:dyDescent="0.35">
      <c r="C3" s="12" t="s">
        <v>14</v>
      </c>
      <c r="E3" s="551" t="s">
        <v>171</v>
      </c>
      <c r="F3" s="551"/>
      <c r="G3" s="551"/>
      <c r="H3" s="551"/>
      <c r="I3" s="551"/>
      <c r="J3" s="551"/>
      <c r="K3" s="551" t="s">
        <v>172</v>
      </c>
      <c r="L3" s="551"/>
      <c r="M3" s="551"/>
      <c r="N3" s="551"/>
      <c r="O3" s="551"/>
      <c r="P3" s="551"/>
      <c r="Q3" s="551" t="s">
        <v>164</v>
      </c>
      <c r="R3" s="551"/>
      <c r="S3" s="551"/>
      <c r="T3" s="551"/>
      <c r="U3" s="551"/>
      <c r="V3" s="551"/>
      <c r="W3" s="551" t="s">
        <v>160</v>
      </c>
      <c r="X3" s="551"/>
      <c r="Y3" s="551"/>
      <c r="Z3" s="551"/>
      <c r="AA3" s="551"/>
      <c r="AB3" s="551"/>
      <c r="AC3" s="551" t="s">
        <v>161</v>
      </c>
      <c r="AD3" s="551"/>
      <c r="AE3" s="551"/>
      <c r="AF3" s="551"/>
      <c r="AG3" s="551"/>
      <c r="AH3" s="551"/>
      <c r="AI3" s="551" t="s">
        <v>150</v>
      </c>
      <c r="AJ3" s="551"/>
      <c r="AK3" s="551"/>
      <c r="AL3" s="551"/>
      <c r="AM3" s="551"/>
      <c r="AN3" s="551"/>
      <c r="AO3" s="551" t="s">
        <v>175</v>
      </c>
      <c r="AP3" s="551"/>
      <c r="AQ3" s="551"/>
      <c r="AR3" s="551"/>
      <c r="AS3" s="551"/>
      <c r="AT3" s="551"/>
      <c r="AU3" s="551" t="s">
        <v>151</v>
      </c>
      <c r="AV3" s="551"/>
      <c r="AW3" s="551"/>
      <c r="AX3" s="551"/>
      <c r="AY3" s="551"/>
      <c r="AZ3" s="551"/>
      <c r="BA3" s="551" t="s">
        <v>166</v>
      </c>
      <c r="BB3" s="551"/>
      <c r="BC3" s="551"/>
      <c r="BD3" s="551"/>
      <c r="BE3" s="551"/>
      <c r="BF3" s="551"/>
      <c r="BG3" s="551" t="s">
        <v>153</v>
      </c>
      <c r="BH3" s="551"/>
      <c r="BI3" s="551"/>
      <c r="BJ3" s="551"/>
      <c r="BK3" s="551"/>
      <c r="BL3" s="551"/>
      <c r="BM3" s="551" t="s">
        <v>155</v>
      </c>
      <c r="BN3" s="551"/>
      <c r="BO3" s="551"/>
      <c r="BP3" s="551"/>
      <c r="BQ3" s="551"/>
      <c r="BR3" s="551"/>
      <c r="BS3" s="551" t="s">
        <v>156</v>
      </c>
      <c r="BT3" s="551"/>
      <c r="BU3" s="551"/>
      <c r="BV3" s="551"/>
      <c r="BW3" s="551"/>
      <c r="BX3" s="551"/>
      <c r="BY3" s="551" t="s">
        <v>157</v>
      </c>
      <c r="BZ3" s="551"/>
      <c r="CA3" s="551"/>
      <c r="CB3" s="551"/>
      <c r="CC3" s="551"/>
      <c r="CD3" s="551"/>
      <c r="CE3" s="551" t="s">
        <v>38</v>
      </c>
      <c r="CF3" s="551"/>
      <c r="CG3" s="551"/>
      <c r="CH3" s="551"/>
      <c r="CI3" s="551"/>
      <c r="CJ3" s="551"/>
      <c r="CK3" s="551" t="s">
        <v>158</v>
      </c>
      <c r="CL3" s="551"/>
      <c r="CM3" s="551"/>
      <c r="CN3" s="551"/>
      <c r="CO3" s="551"/>
      <c r="CP3" s="551"/>
      <c r="CQ3" s="551" t="s">
        <v>40</v>
      </c>
      <c r="CR3" s="551"/>
      <c r="CS3" s="551"/>
      <c r="CT3" s="551"/>
      <c r="CU3" s="551"/>
      <c r="CV3" s="551"/>
      <c r="CW3" s="551" t="s">
        <v>168</v>
      </c>
      <c r="CX3" s="551"/>
      <c r="CY3" s="551"/>
      <c r="CZ3" s="551"/>
      <c r="DA3" s="551"/>
      <c r="DB3" s="551"/>
    </row>
    <row r="4" spans="1:106" x14ac:dyDescent="0.35">
      <c r="C4" s="11" t="s">
        <v>1</v>
      </c>
      <c r="D4" s="78" t="s">
        <v>5</v>
      </c>
      <c r="E4" s="552">
        <v>0</v>
      </c>
      <c r="F4" s="552"/>
      <c r="G4" s="552"/>
      <c r="H4" s="552"/>
      <c r="I4" s="552"/>
      <c r="J4" s="552"/>
      <c r="K4" s="552">
        <v>5</v>
      </c>
      <c r="L4" s="552"/>
      <c r="M4" s="552"/>
      <c r="N4" s="552"/>
      <c r="O4" s="552"/>
      <c r="P4" s="552"/>
      <c r="Q4" s="552">
        <v>3.5</v>
      </c>
      <c r="R4" s="552"/>
      <c r="S4" s="552"/>
      <c r="T4" s="552"/>
      <c r="U4" s="552"/>
      <c r="V4" s="552"/>
      <c r="W4" s="552">
        <v>2.5</v>
      </c>
      <c r="X4" s="552"/>
      <c r="Y4" s="552"/>
      <c r="Z4" s="552"/>
      <c r="AA4" s="552"/>
      <c r="AB4" s="552"/>
      <c r="AC4" s="552">
        <v>2</v>
      </c>
      <c r="AD4" s="552"/>
      <c r="AE4" s="552"/>
      <c r="AF4" s="552"/>
      <c r="AG4" s="552"/>
      <c r="AH4" s="552"/>
      <c r="AI4" s="553">
        <v>2</v>
      </c>
      <c r="AJ4" s="553"/>
      <c r="AK4" s="553"/>
      <c r="AL4" s="553"/>
      <c r="AM4" s="553"/>
      <c r="AN4" s="553"/>
      <c r="AO4" s="552">
        <v>200</v>
      </c>
      <c r="AP4" s="552"/>
      <c r="AQ4" s="552"/>
      <c r="AR4" s="552"/>
      <c r="AS4" s="552"/>
      <c r="AT4" s="552"/>
      <c r="AU4" s="552">
        <v>198</v>
      </c>
      <c r="AV4" s="552"/>
      <c r="AW4" s="552"/>
      <c r="AX4" s="552"/>
      <c r="AY4" s="552"/>
      <c r="AZ4" s="552"/>
      <c r="BA4" s="552">
        <v>197</v>
      </c>
      <c r="BB4" s="552"/>
      <c r="BC4" s="552"/>
      <c r="BD4" s="552"/>
      <c r="BE4" s="552"/>
      <c r="BF4" s="552"/>
      <c r="BG4" s="552">
        <v>195</v>
      </c>
      <c r="BH4" s="552"/>
      <c r="BI4" s="552"/>
      <c r="BJ4" s="552"/>
      <c r="BK4" s="552"/>
      <c r="BL4" s="552"/>
      <c r="BM4" s="552">
        <v>194</v>
      </c>
      <c r="BN4" s="552"/>
      <c r="BO4" s="552"/>
      <c r="BP4" s="552"/>
      <c r="BQ4" s="552"/>
      <c r="BR4" s="552"/>
      <c r="BS4" s="552">
        <v>192</v>
      </c>
      <c r="BT4" s="552"/>
      <c r="BU4" s="552"/>
      <c r="BV4" s="552"/>
      <c r="BW4" s="552"/>
      <c r="BX4" s="552"/>
      <c r="BY4" s="552">
        <v>190</v>
      </c>
      <c r="BZ4" s="552"/>
      <c r="CA4" s="552"/>
      <c r="CB4" s="552"/>
      <c r="CC4" s="552"/>
      <c r="CD4" s="552"/>
      <c r="CE4" s="552">
        <f>'Input Sheet'!L4</f>
        <v>150</v>
      </c>
      <c r="CF4" s="552"/>
      <c r="CG4" s="552"/>
      <c r="CH4" s="552"/>
      <c r="CI4" s="552"/>
      <c r="CJ4" s="552"/>
      <c r="CK4" s="552">
        <v>5.2</v>
      </c>
      <c r="CL4" s="552"/>
      <c r="CM4" s="552"/>
      <c r="CN4" s="552"/>
      <c r="CO4" s="552"/>
      <c r="CP4" s="552"/>
      <c r="CQ4" s="552">
        <v>1</v>
      </c>
      <c r="CR4" s="552"/>
      <c r="CS4" s="552"/>
      <c r="CT4" s="552"/>
      <c r="CU4" s="552"/>
      <c r="CV4" s="552"/>
      <c r="CW4" s="552">
        <f>CE4</f>
        <v>150</v>
      </c>
      <c r="CX4" s="552"/>
      <c r="CY4" s="552"/>
      <c r="CZ4" s="552"/>
      <c r="DA4" s="552"/>
      <c r="DB4" s="552"/>
    </row>
    <row r="5" spans="1:106" x14ac:dyDescent="0.35">
      <c r="A5">
        <f>Q23*(14.7+Q4)/100</f>
        <v>6.2541865347822585E-3</v>
      </c>
      <c r="C5" s="11" t="s">
        <v>0</v>
      </c>
      <c r="D5" s="78" t="s">
        <v>4</v>
      </c>
      <c r="E5" s="552">
        <v>94</v>
      </c>
      <c r="F5" s="552"/>
      <c r="G5" s="552"/>
      <c r="H5" s="552"/>
      <c r="I5" s="552"/>
      <c r="J5" s="552"/>
      <c r="K5" s="552">
        <v>110</v>
      </c>
      <c r="L5" s="552"/>
      <c r="M5" s="552"/>
      <c r="N5" s="552"/>
      <c r="O5" s="552"/>
      <c r="P5" s="552"/>
      <c r="Q5" s="552">
        <v>100</v>
      </c>
      <c r="R5" s="552"/>
      <c r="S5" s="552"/>
      <c r="T5" s="552"/>
      <c r="U5" s="552"/>
      <c r="V5" s="552"/>
      <c r="W5" s="552">
        <f>Q5</f>
        <v>100</v>
      </c>
      <c r="X5" s="552"/>
      <c r="Y5" s="552"/>
      <c r="Z5" s="552"/>
      <c r="AA5" s="552"/>
      <c r="AB5" s="552"/>
      <c r="AC5" s="552">
        <f>W5</f>
        <v>100</v>
      </c>
      <c r="AD5" s="552"/>
      <c r="AE5" s="552"/>
      <c r="AF5" s="552"/>
      <c r="AG5" s="552"/>
      <c r="AH5" s="552"/>
      <c r="AI5" s="553">
        <f>(AC9*AC5+CK9*CK5)/(AC9+CK9)</f>
        <v>93.63062217194296</v>
      </c>
      <c r="AJ5" s="553"/>
      <c r="AK5" s="553"/>
      <c r="AL5" s="553"/>
      <c r="AM5" s="553"/>
      <c r="AN5" s="553"/>
      <c r="AO5" s="552">
        <v>248</v>
      </c>
      <c r="AP5" s="552"/>
      <c r="AQ5" s="552"/>
      <c r="AR5" s="552"/>
      <c r="AS5" s="552"/>
      <c r="AT5" s="552"/>
      <c r="AU5" s="552">
        <v>220</v>
      </c>
      <c r="AV5" s="552"/>
      <c r="AW5" s="552"/>
      <c r="AX5" s="552"/>
      <c r="AY5" s="552"/>
      <c r="AZ5" s="552"/>
      <c r="BA5" s="552">
        <v>120</v>
      </c>
      <c r="BB5" s="552"/>
      <c r="BC5" s="552"/>
      <c r="BD5" s="552"/>
      <c r="BE5" s="552"/>
      <c r="BF5" s="552"/>
      <c r="BG5" s="552">
        <v>112</v>
      </c>
      <c r="BH5" s="552"/>
      <c r="BI5" s="552"/>
      <c r="BJ5" s="552"/>
      <c r="BK5" s="552"/>
      <c r="BL5" s="552"/>
      <c r="BM5" s="552">
        <v>40</v>
      </c>
      <c r="BN5" s="552"/>
      <c r="BO5" s="552"/>
      <c r="BP5" s="552"/>
      <c r="BQ5" s="552"/>
      <c r="BR5" s="552"/>
      <c r="BS5" s="552">
        <v>50</v>
      </c>
      <c r="BT5" s="552"/>
      <c r="BU5" s="552"/>
      <c r="BV5" s="552"/>
      <c r="BW5" s="552"/>
      <c r="BX5" s="552"/>
      <c r="BY5" s="552">
        <v>50</v>
      </c>
      <c r="BZ5" s="552"/>
      <c r="CA5" s="552"/>
      <c r="CB5" s="552"/>
      <c r="CC5" s="552"/>
      <c r="CD5" s="552"/>
      <c r="CE5" s="552">
        <f>'Input Sheet'!L5</f>
        <v>51.7</v>
      </c>
      <c r="CF5" s="552"/>
      <c r="CG5" s="552"/>
      <c r="CH5" s="552"/>
      <c r="CI5" s="552"/>
      <c r="CJ5" s="552"/>
      <c r="CK5" s="552">
        <v>86</v>
      </c>
      <c r="CL5" s="552"/>
      <c r="CM5" s="552"/>
      <c r="CN5" s="552"/>
      <c r="CO5" s="552"/>
      <c r="CP5" s="552"/>
      <c r="CQ5" s="552">
        <v>50</v>
      </c>
      <c r="CR5" s="552"/>
      <c r="CS5" s="552"/>
      <c r="CT5" s="552"/>
      <c r="CU5" s="552"/>
      <c r="CV5" s="552"/>
      <c r="CW5" s="552">
        <f>CE5</f>
        <v>51.7</v>
      </c>
      <c r="CX5" s="552"/>
      <c r="CY5" s="552"/>
      <c r="CZ5" s="552"/>
      <c r="DA5" s="552"/>
      <c r="DB5" s="552"/>
    </row>
    <row r="6" spans="1:106" hidden="1" x14ac:dyDescent="0.35">
      <c r="D6" s="78" t="s">
        <v>127</v>
      </c>
      <c r="E6" s="550">
        <f>(E5-32)*5/9</f>
        <v>34.444444444444443</v>
      </c>
      <c r="F6" s="550"/>
      <c r="G6" s="550"/>
      <c r="H6" s="550"/>
      <c r="I6" s="550"/>
      <c r="J6" s="550"/>
      <c r="K6" s="550">
        <f>(K5-32)*5/9</f>
        <v>43.333333333333336</v>
      </c>
      <c r="L6" s="550"/>
      <c r="M6" s="550"/>
      <c r="N6" s="550"/>
      <c r="O6" s="550"/>
      <c r="P6" s="550"/>
      <c r="Q6" s="550">
        <f>(Q5-32)*5/9</f>
        <v>37.777777777777779</v>
      </c>
      <c r="R6" s="550"/>
      <c r="S6" s="550"/>
      <c r="T6" s="550"/>
      <c r="U6" s="550"/>
      <c r="V6" s="550"/>
      <c r="W6" s="550">
        <f>(W5-32)*5/9</f>
        <v>37.777777777777779</v>
      </c>
      <c r="X6" s="550"/>
      <c r="Y6" s="550"/>
      <c r="Z6" s="550"/>
      <c r="AA6" s="550"/>
      <c r="AB6" s="550"/>
      <c r="AC6" s="550">
        <f>(AC5-32)*5/9</f>
        <v>37.777777777777779</v>
      </c>
      <c r="AD6" s="550"/>
      <c r="AE6" s="550"/>
      <c r="AF6" s="550"/>
      <c r="AG6" s="550"/>
      <c r="AH6" s="550"/>
      <c r="AI6" s="555">
        <f>(AI5-32)*5/9</f>
        <v>34.239234539968308</v>
      </c>
      <c r="AJ6" s="555"/>
      <c r="AK6" s="555"/>
      <c r="AL6" s="555"/>
      <c r="AM6" s="555"/>
      <c r="AN6" s="555"/>
      <c r="AO6" s="550">
        <f>(AO5-32)*5/9</f>
        <v>120</v>
      </c>
      <c r="AP6" s="550"/>
      <c r="AQ6" s="550"/>
      <c r="AR6" s="550"/>
      <c r="AS6" s="550"/>
      <c r="AT6" s="550"/>
      <c r="AU6" s="550">
        <f>(AU5-32)*5/9</f>
        <v>104.44444444444444</v>
      </c>
      <c r="AV6" s="550"/>
      <c r="AW6" s="550"/>
      <c r="AX6" s="550"/>
      <c r="AY6" s="550"/>
      <c r="AZ6" s="550"/>
      <c r="BA6" s="550">
        <f>(BA5-32)*5/9</f>
        <v>48.888888888888886</v>
      </c>
      <c r="BB6" s="550"/>
      <c r="BC6" s="550"/>
      <c r="BD6" s="550"/>
      <c r="BE6" s="550"/>
      <c r="BF6" s="550"/>
      <c r="BG6" s="550">
        <f>(BG5-32)*5/9</f>
        <v>44.444444444444443</v>
      </c>
      <c r="BH6" s="550"/>
      <c r="BI6" s="550"/>
      <c r="BJ6" s="550"/>
      <c r="BK6" s="550"/>
      <c r="BL6" s="550"/>
      <c r="BM6" s="550">
        <f>(BM5-32)*5/9</f>
        <v>4.4444444444444446</v>
      </c>
      <c r="BN6" s="550"/>
      <c r="BO6" s="550"/>
      <c r="BP6" s="550"/>
      <c r="BQ6" s="550"/>
      <c r="BR6" s="550"/>
      <c r="BS6" s="550">
        <f>(BS5-32)*5/9</f>
        <v>10</v>
      </c>
      <c r="BT6" s="550"/>
      <c r="BU6" s="550"/>
      <c r="BV6" s="550"/>
      <c r="BW6" s="550"/>
      <c r="BX6" s="550"/>
      <c r="BY6" s="550">
        <f>(BY5-32)*5/9</f>
        <v>10</v>
      </c>
      <c r="BZ6" s="550"/>
      <c r="CA6" s="550"/>
      <c r="CB6" s="550"/>
      <c r="CC6" s="550"/>
      <c r="CD6" s="550"/>
      <c r="CE6" s="550">
        <f>(CE5-32)*5/9</f>
        <v>10.944444444444446</v>
      </c>
      <c r="CF6" s="550"/>
      <c r="CG6" s="550"/>
      <c r="CH6" s="550"/>
      <c r="CI6" s="550"/>
      <c r="CJ6" s="550"/>
      <c r="CK6" s="550">
        <f>(CK5-32)*5/9</f>
        <v>30</v>
      </c>
      <c r="CL6" s="550"/>
      <c r="CM6" s="550"/>
      <c r="CN6" s="550"/>
      <c r="CO6" s="550"/>
      <c r="CP6" s="550"/>
      <c r="CQ6" s="550">
        <f>(CQ5-32)*5/9</f>
        <v>10</v>
      </c>
      <c r="CR6" s="550"/>
      <c r="CS6" s="550"/>
      <c r="CT6" s="550"/>
      <c r="CU6" s="550"/>
      <c r="CV6" s="550"/>
      <c r="CW6" s="550">
        <f>(CW5-32)*5/9</f>
        <v>10.944444444444446</v>
      </c>
      <c r="CX6" s="550"/>
      <c r="CY6" s="550"/>
      <c r="CZ6" s="550"/>
      <c r="DA6" s="550"/>
      <c r="DB6" s="550"/>
    </row>
    <row r="7" spans="1:106" x14ac:dyDescent="0.35">
      <c r="C7" s="11" t="s">
        <v>26</v>
      </c>
      <c r="D7" s="78" t="s">
        <v>27</v>
      </c>
      <c r="E7" s="554">
        <f>SUM(G18:G24)</f>
        <v>2298.1447266925634</v>
      </c>
      <c r="F7" s="554"/>
      <c r="G7" s="554"/>
      <c r="H7" s="554"/>
      <c r="I7" s="554"/>
      <c r="J7" s="554"/>
      <c r="K7" s="554">
        <f>SUM(M18:M24)</f>
        <v>2298.1447266925634</v>
      </c>
      <c r="L7" s="554"/>
      <c r="M7" s="554"/>
      <c r="N7" s="554"/>
      <c r="O7" s="554"/>
      <c r="P7" s="554"/>
      <c r="Q7" s="554">
        <f>SUM(S18:S24)</f>
        <v>2298.1447266925634</v>
      </c>
      <c r="R7" s="554"/>
      <c r="S7" s="554"/>
      <c r="T7" s="554"/>
      <c r="U7" s="554"/>
      <c r="V7" s="554"/>
      <c r="W7" s="554">
        <f>SUM(Y18:Y24)</f>
        <v>2298.0389277965637</v>
      </c>
      <c r="X7" s="554"/>
      <c r="Y7" s="554"/>
      <c r="Z7" s="554"/>
      <c r="AA7" s="554"/>
      <c r="AB7" s="554"/>
      <c r="AC7" s="554">
        <f>SUM(AE18:AE24)</f>
        <v>2298.0389277965637</v>
      </c>
      <c r="AD7" s="554"/>
      <c r="AE7" s="554"/>
      <c r="AF7" s="554"/>
      <c r="AG7" s="554"/>
      <c r="AH7" s="554"/>
      <c r="AI7" s="554">
        <f>SUM(AK18:AK24)</f>
        <v>4073.4045930612588</v>
      </c>
      <c r="AJ7" s="554"/>
      <c r="AK7" s="554"/>
      <c r="AL7" s="554"/>
      <c r="AM7" s="554"/>
      <c r="AN7" s="554"/>
      <c r="AO7" s="554">
        <f>SUM(AQ18:AQ24)</f>
        <v>4073.4045930612588</v>
      </c>
      <c r="AP7" s="554"/>
      <c r="AQ7" s="554"/>
      <c r="AR7" s="554"/>
      <c r="AS7" s="554"/>
      <c r="AT7" s="554"/>
      <c r="AU7" s="554">
        <f>SUM(AW18:AW24)</f>
        <v>4073.4045930612588</v>
      </c>
      <c r="AV7" s="554"/>
      <c r="AW7" s="554"/>
      <c r="AX7" s="554"/>
      <c r="AY7" s="554"/>
      <c r="AZ7" s="554"/>
      <c r="BA7" s="554">
        <f>SUM(BC18:BC24)</f>
        <v>4073.4045930612588</v>
      </c>
      <c r="BB7" s="554"/>
      <c r="BC7" s="554"/>
      <c r="BD7" s="554"/>
      <c r="BE7" s="554"/>
      <c r="BF7" s="554"/>
      <c r="BG7" s="554">
        <f>SUM(BI18:BI24)</f>
        <v>4073.4045930612588</v>
      </c>
      <c r="BH7" s="554"/>
      <c r="BI7" s="554"/>
      <c r="BJ7" s="554"/>
      <c r="BK7" s="554"/>
      <c r="BL7" s="554"/>
      <c r="BM7" s="554">
        <f>SUM(BO18:BO24)</f>
        <v>4073.4045930612588</v>
      </c>
      <c r="BN7" s="554"/>
      <c r="BO7" s="554"/>
      <c r="BP7" s="554"/>
      <c r="BQ7" s="554"/>
      <c r="BR7" s="554"/>
      <c r="BS7" s="554">
        <f>SUM(BU18:BU24)</f>
        <v>4073.4045930612588</v>
      </c>
      <c r="BT7" s="554"/>
      <c r="BU7" s="554"/>
      <c r="BV7" s="554"/>
      <c r="BW7" s="554"/>
      <c r="BX7" s="554"/>
      <c r="BY7" s="554">
        <f>SUM(CA18:CA24)</f>
        <v>4073.4045930612588</v>
      </c>
      <c r="BZ7" s="554"/>
      <c r="CA7" s="554"/>
      <c r="CB7" s="554"/>
      <c r="CC7" s="554"/>
      <c r="CD7" s="554"/>
      <c r="CE7" s="554">
        <f>SUM(CG18:CG24)</f>
        <v>1393.8650566569991</v>
      </c>
      <c r="CF7" s="554"/>
      <c r="CG7" s="554"/>
      <c r="CH7" s="554"/>
      <c r="CI7" s="554"/>
      <c r="CJ7" s="554"/>
      <c r="CK7" s="554">
        <f>SUM(CM18:CM24)</f>
        <v>1775.3656652646953</v>
      </c>
      <c r="CL7" s="554"/>
      <c r="CM7" s="554"/>
      <c r="CN7" s="554"/>
      <c r="CO7" s="554"/>
      <c r="CP7" s="554"/>
      <c r="CQ7" s="554">
        <f>SUM(CS18:CS24)</f>
        <v>904.17387113956499</v>
      </c>
      <c r="CR7" s="554"/>
      <c r="CS7" s="554"/>
      <c r="CT7" s="554"/>
      <c r="CU7" s="554"/>
      <c r="CV7" s="554"/>
      <c r="CW7" s="554">
        <f>SUM(CY18:CY24)</f>
        <v>1393.8650566569991</v>
      </c>
      <c r="CX7" s="554"/>
      <c r="CY7" s="554"/>
      <c r="CZ7" s="554"/>
      <c r="DA7" s="554"/>
      <c r="DB7" s="554"/>
    </row>
    <row r="8" spans="1:106" x14ac:dyDescent="0.35">
      <c r="C8" s="11" t="s">
        <v>28</v>
      </c>
      <c r="D8" s="78" t="s">
        <v>29</v>
      </c>
      <c r="E8" s="556">
        <f>SUM(H$18:H$24)</f>
        <v>2448.4080357455391</v>
      </c>
      <c r="F8" s="556"/>
      <c r="G8" s="556"/>
      <c r="H8" s="556"/>
      <c r="I8" s="556"/>
      <c r="J8" s="556"/>
      <c r="K8" s="556">
        <f>SUM(N$18:N$24)</f>
        <v>1879.7495768212602</v>
      </c>
      <c r="L8" s="556"/>
      <c r="M8" s="556"/>
      <c r="N8" s="556"/>
      <c r="O8" s="556"/>
      <c r="P8" s="556"/>
      <c r="Q8" s="556">
        <f>SUM(T$18:T$24)</f>
        <v>1998.9779575373188</v>
      </c>
      <c r="R8" s="556"/>
      <c r="S8" s="556"/>
      <c r="T8" s="556"/>
      <c r="U8" s="556"/>
      <c r="V8" s="556"/>
      <c r="W8" s="556">
        <f>SUM(Z$18:Z$24)</f>
        <v>2115.1002296088222</v>
      </c>
      <c r="X8" s="556"/>
      <c r="Y8" s="556"/>
      <c r="Z8" s="556"/>
      <c r="AA8" s="556"/>
      <c r="AB8" s="556"/>
      <c r="AC8" s="556">
        <f>SUM(AF$18:AF$24)</f>
        <v>2178.4265837887274</v>
      </c>
      <c r="AD8" s="556"/>
      <c r="AE8" s="556"/>
      <c r="AF8" s="556"/>
      <c r="AG8" s="556"/>
      <c r="AH8" s="556"/>
      <c r="AI8" s="556">
        <f>SUM(AL$18:AL$24)</f>
        <v>3817.4659526087003</v>
      </c>
      <c r="AJ8" s="556"/>
      <c r="AK8" s="556"/>
      <c r="AL8" s="556"/>
      <c r="AM8" s="556"/>
      <c r="AN8" s="556"/>
      <c r="AO8" s="556">
        <f>SUM(AR$18:AR$24)</f>
        <v>379.72811474637558</v>
      </c>
      <c r="AP8" s="556"/>
      <c r="AQ8" s="556"/>
      <c r="AR8" s="556"/>
      <c r="AS8" s="556"/>
      <c r="AT8" s="556"/>
      <c r="AU8" s="556">
        <f>SUM(AX$18:AX$24)</f>
        <v>368.13996159488215</v>
      </c>
      <c r="AV8" s="556"/>
      <c r="AW8" s="556"/>
      <c r="AX8" s="556"/>
      <c r="AY8" s="556"/>
      <c r="AZ8" s="556"/>
      <c r="BA8" s="556">
        <f>SUM(BD$18:BD$24)</f>
        <v>315.48497111696787</v>
      </c>
      <c r="BB8" s="556"/>
      <c r="BC8" s="556"/>
      <c r="BD8" s="556"/>
      <c r="BE8" s="556"/>
      <c r="BF8" s="556"/>
      <c r="BG8" s="556">
        <f>SUM(BJ$18:BJ$24)</f>
        <v>314.10086919313579</v>
      </c>
      <c r="BH8" s="556"/>
      <c r="BI8" s="556"/>
      <c r="BJ8" s="556"/>
      <c r="BK8" s="556"/>
      <c r="BL8" s="556"/>
      <c r="BM8" s="556">
        <f>SUM(BP$18:BP$24)</f>
        <v>275.87928715307453</v>
      </c>
      <c r="BN8" s="556"/>
      <c r="BO8" s="556"/>
      <c r="BP8" s="556"/>
      <c r="BQ8" s="556"/>
      <c r="BR8" s="556"/>
      <c r="BS8" s="556">
        <f>SUM(BV$18:BV$24)</f>
        <v>284.1196292860356</v>
      </c>
      <c r="BT8" s="556"/>
      <c r="BU8" s="556"/>
      <c r="BV8" s="556"/>
      <c r="BW8" s="556"/>
      <c r="BX8" s="556"/>
      <c r="BY8" s="556">
        <f>SUM(CB$18:CB$24)</f>
        <v>286.89559049058897</v>
      </c>
      <c r="BZ8" s="556"/>
      <c r="CA8" s="556"/>
      <c r="CB8" s="556"/>
      <c r="CC8" s="556"/>
      <c r="CD8" s="556"/>
      <c r="CE8" s="556">
        <f>SUM(CH$18:CH$24)</f>
        <v>122.42117390037104</v>
      </c>
      <c r="CF8" s="556"/>
      <c r="CG8" s="556"/>
      <c r="CH8" s="556"/>
      <c r="CI8" s="556"/>
      <c r="CJ8" s="556"/>
      <c r="CK8" s="556">
        <f>SUM(CN$18:CN$24)</f>
        <v>1377.0235700181188</v>
      </c>
      <c r="CL8" s="556"/>
      <c r="CM8" s="556"/>
      <c r="CN8" s="556"/>
      <c r="CO8" s="556"/>
      <c r="CP8" s="556"/>
      <c r="CQ8" s="556">
        <f>SUM(CT$18:CT$24)</f>
        <v>830.30273296586449</v>
      </c>
      <c r="CR8" s="556"/>
      <c r="CS8" s="556"/>
      <c r="CT8" s="556"/>
      <c r="CU8" s="556"/>
      <c r="CV8" s="556"/>
      <c r="CW8" s="556">
        <f>SUM(CZ$18:CZ$24)</f>
        <v>122.42117390037104</v>
      </c>
      <c r="CX8" s="556"/>
      <c r="CY8" s="556"/>
      <c r="CZ8" s="556"/>
      <c r="DA8" s="556"/>
      <c r="DB8" s="556"/>
    </row>
    <row r="9" spans="1:106" x14ac:dyDescent="0.35">
      <c r="C9" s="11" t="s">
        <v>2</v>
      </c>
      <c r="D9" s="78" t="s">
        <v>3</v>
      </c>
      <c r="E9" s="556">
        <f>SUM(I$18:I$24)</f>
        <v>9796.0082882289389</v>
      </c>
      <c r="F9" s="556"/>
      <c r="G9" s="556"/>
      <c r="H9" s="556"/>
      <c r="I9" s="556"/>
      <c r="J9" s="556"/>
      <c r="K9" s="556">
        <f>SUM(O$18:O$24)</f>
        <v>9796.0082882289389</v>
      </c>
      <c r="L9" s="556"/>
      <c r="M9" s="556"/>
      <c r="N9" s="556"/>
      <c r="O9" s="556"/>
      <c r="P9" s="556"/>
      <c r="Q9" s="556">
        <f>SUM(U$18:U$24)</f>
        <v>9796.0082882289389</v>
      </c>
      <c r="R9" s="556"/>
      <c r="S9" s="556"/>
      <c r="T9" s="556"/>
      <c r="U9" s="556"/>
      <c r="V9" s="556"/>
      <c r="W9" s="556">
        <f>SUM(AA$18:AA$24)</f>
        <v>9795.4382137011762</v>
      </c>
      <c r="X9" s="556"/>
      <c r="Y9" s="556"/>
      <c r="Z9" s="556"/>
      <c r="AA9" s="556"/>
      <c r="AB9" s="556"/>
      <c r="AC9" s="556">
        <f>SUM(AG$18:AG$24)</f>
        <v>9795.4382137011762</v>
      </c>
      <c r="AD9" s="556"/>
      <c r="AE9" s="556"/>
      <c r="AF9" s="556"/>
      <c r="AG9" s="556"/>
      <c r="AH9" s="556"/>
      <c r="AI9" s="556">
        <f>SUM(AM$18:AM$24)</f>
        <v>17971.815652995152</v>
      </c>
      <c r="AJ9" s="556"/>
      <c r="AK9" s="556"/>
      <c r="AL9" s="556"/>
      <c r="AM9" s="556"/>
      <c r="AN9" s="556"/>
      <c r="AO9" s="556">
        <f>SUM(AS$18:AS$24)</f>
        <v>17971.815652995152</v>
      </c>
      <c r="AP9" s="556"/>
      <c r="AQ9" s="556"/>
      <c r="AR9" s="556"/>
      <c r="AS9" s="556"/>
      <c r="AT9" s="556"/>
      <c r="AU9" s="556">
        <f>SUM(AY$18:AY$24)</f>
        <v>17971.815652995152</v>
      </c>
      <c r="AV9" s="556"/>
      <c r="AW9" s="556"/>
      <c r="AX9" s="556"/>
      <c r="AY9" s="556"/>
      <c r="AZ9" s="556"/>
      <c r="BA9" s="556">
        <f>SUM(BE$18:BE$24)</f>
        <v>17971.815652995152</v>
      </c>
      <c r="BB9" s="556"/>
      <c r="BC9" s="556"/>
      <c r="BD9" s="556"/>
      <c r="BE9" s="556"/>
      <c r="BF9" s="556"/>
      <c r="BG9" s="556">
        <f>SUM(BK$18:BK$24)</f>
        <v>17971.815652995152</v>
      </c>
      <c r="BH9" s="556"/>
      <c r="BI9" s="556"/>
      <c r="BJ9" s="556"/>
      <c r="BK9" s="556"/>
      <c r="BL9" s="556"/>
      <c r="BM9" s="556">
        <f>SUM(BQ$18:BQ$24)</f>
        <v>17971.815652995152</v>
      </c>
      <c r="BN9" s="556"/>
      <c r="BO9" s="556"/>
      <c r="BP9" s="556"/>
      <c r="BQ9" s="556"/>
      <c r="BR9" s="556"/>
      <c r="BS9" s="556">
        <f>SUM(BW$18:BW$24)</f>
        <v>17971.815652995152</v>
      </c>
      <c r="BT9" s="556"/>
      <c r="BU9" s="556"/>
      <c r="BV9" s="556"/>
      <c r="BW9" s="556"/>
      <c r="BX9" s="556"/>
      <c r="BY9" s="556">
        <f>SUM(CC$18:CC$24)</f>
        <v>17971.815652995152</v>
      </c>
      <c r="BZ9" s="556"/>
      <c r="CA9" s="556"/>
      <c r="CB9" s="556"/>
      <c r="CC9" s="556"/>
      <c r="CD9" s="556"/>
      <c r="CE9" s="556">
        <f>SUM(CI$18:CI$24)</f>
        <v>3587.0764912074692</v>
      </c>
      <c r="CF9" s="556"/>
      <c r="CG9" s="556"/>
      <c r="CH9" s="556"/>
      <c r="CI9" s="556"/>
      <c r="CJ9" s="556"/>
      <c r="CK9" s="556">
        <f>SUM(CO$18:CO$24)</f>
        <v>8176.3774392939749</v>
      </c>
      <c r="CL9" s="556"/>
      <c r="CM9" s="556"/>
      <c r="CN9" s="556"/>
      <c r="CO9" s="556"/>
      <c r="CP9" s="556"/>
      <c r="CQ9" s="556">
        <f>SUM(CU$18:CU$24)</f>
        <v>6208.3617224937061</v>
      </c>
      <c r="CR9" s="556"/>
      <c r="CS9" s="556"/>
      <c r="CT9" s="556"/>
      <c r="CU9" s="556"/>
      <c r="CV9" s="556"/>
      <c r="CW9" s="556">
        <f>SUM(DA$18:DA$24)</f>
        <v>3587.0764912074692</v>
      </c>
      <c r="CX9" s="556"/>
      <c r="CY9" s="556"/>
      <c r="CZ9" s="556"/>
      <c r="DA9" s="556"/>
      <c r="DB9" s="556"/>
    </row>
    <row r="10" spans="1:106" ht="24.75" customHeight="1" x14ac:dyDescent="0.35">
      <c r="C10" s="11" t="s">
        <v>30</v>
      </c>
      <c r="D10" s="78" t="s">
        <v>31</v>
      </c>
      <c r="E10" s="556">
        <f>SUM(J$18:J$24)</f>
        <v>363.35261430223153</v>
      </c>
      <c r="F10" s="556"/>
      <c r="G10" s="556"/>
      <c r="H10" s="556"/>
      <c r="I10" s="556"/>
      <c r="J10" s="556"/>
      <c r="K10" s="556">
        <f>SUM(P$18:P$24)</f>
        <v>363.35261430223153</v>
      </c>
      <c r="L10" s="556"/>
      <c r="M10" s="556"/>
      <c r="N10" s="556"/>
      <c r="O10" s="556"/>
      <c r="P10" s="556"/>
      <c r="Q10" s="556">
        <f>SUM(V$18:V$24)</f>
        <v>363.35261430223153</v>
      </c>
      <c r="R10" s="556"/>
      <c r="S10" s="556"/>
      <c r="T10" s="556"/>
      <c r="U10" s="556"/>
      <c r="V10" s="556"/>
      <c r="W10" s="556">
        <f>SUM(AB$18:AB$24)</f>
        <v>363.33588676327139</v>
      </c>
      <c r="X10" s="556"/>
      <c r="Y10" s="556"/>
      <c r="Z10" s="556"/>
      <c r="AA10" s="556"/>
      <c r="AB10" s="556"/>
      <c r="AC10" s="556">
        <f>SUM(AH$18:AH$24)</f>
        <v>363.33588676327139</v>
      </c>
      <c r="AD10" s="556"/>
      <c r="AE10" s="556"/>
      <c r="AF10" s="556"/>
      <c r="AG10" s="556"/>
      <c r="AH10" s="556"/>
      <c r="AI10" s="556">
        <f>SUM(AN$18:AN$24)</f>
        <v>644.0335070322684</v>
      </c>
      <c r="AJ10" s="556"/>
      <c r="AK10" s="556"/>
      <c r="AL10" s="556"/>
      <c r="AM10" s="556"/>
      <c r="AN10" s="556"/>
      <c r="AO10" s="556">
        <f>SUM(AT$18:AT$24)</f>
        <v>644.0335070322684</v>
      </c>
      <c r="AP10" s="556"/>
      <c r="AQ10" s="556"/>
      <c r="AR10" s="556"/>
      <c r="AS10" s="556"/>
      <c r="AT10" s="556"/>
      <c r="AU10" s="556">
        <f>SUM(AZ$18:AZ$24)</f>
        <v>644.0335070322684</v>
      </c>
      <c r="AV10" s="556"/>
      <c r="AW10" s="556"/>
      <c r="AX10" s="556"/>
      <c r="AY10" s="556"/>
      <c r="AZ10" s="556"/>
      <c r="BA10" s="556">
        <f>SUM(BF$18:BF$24)</f>
        <v>644.0335070322684</v>
      </c>
      <c r="BB10" s="556"/>
      <c r="BC10" s="556"/>
      <c r="BD10" s="556"/>
      <c r="BE10" s="556"/>
      <c r="BF10" s="556"/>
      <c r="BG10" s="556">
        <f>SUM(BL$18:BL$24)</f>
        <v>644.0335070322684</v>
      </c>
      <c r="BH10" s="556"/>
      <c r="BI10" s="556"/>
      <c r="BJ10" s="556"/>
      <c r="BK10" s="556"/>
      <c r="BL10" s="556"/>
      <c r="BM10" s="556">
        <f>SUM(BR$18:BR$24)</f>
        <v>644.0335070322684</v>
      </c>
      <c r="BN10" s="556"/>
      <c r="BO10" s="556"/>
      <c r="BP10" s="556"/>
      <c r="BQ10" s="556"/>
      <c r="BR10" s="556"/>
      <c r="BS10" s="556">
        <f>SUM(BX$18:BX$24)</f>
        <v>644.0335070322684</v>
      </c>
      <c r="BT10" s="556"/>
      <c r="BU10" s="556"/>
      <c r="BV10" s="556"/>
      <c r="BW10" s="556"/>
      <c r="BX10" s="556"/>
      <c r="BY10" s="556">
        <f>SUM(CD$18:CD$24)</f>
        <v>644.0335070322684</v>
      </c>
      <c r="BZ10" s="556"/>
      <c r="CA10" s="556"/>
      <c r="CB10" s="556"/>
      <c r="CC10" s="556"/>
      <c r="CD10" s="556"/>
      <c r="CE10" s="556">
        <f>SUM(CJ$18:CJ$24)</f>
        <v>220.37972910859295</v>
      </c>
      <c r="CF10" s="556"/>
      <c r="CG10" s="556"/>
      <c r="CH10" s="556"/>
      <c r="CI10" s="556"/>
      <c r="CJ10" s="556"/>
      <c r="CK10" s="556">
        <f>SUM(CP$18:CP$24)</f>
        <v>280.69762026899713</v>
      </c>
      <c r="CL10" s="556"/>
      <c r="CM10" s="556"/>
      <c r="CN10" s="556"/>
      <c r="CO10" s="556"/>
      <c r="CP10" s="556"/>
      <c r="CQ10" s="556">
        <f>SUM(CV$18:CV$24)</f>
        <v>142.95615765467835</v>
      </c>
      <c r="CR10" s="556"/>
      <c r="CS10" s="556"/>
      <c r="CT10" s="556"/>
      <c r="CU10" s="556"/>
      <c r="CV10" s="556"/>
      <c r="CW10" s="556">
        <f>SUM(DB$18:DB$24)</f>
        <v>220.37972910859295</v>
      </c>
      <c r="CX10" s="556"/>
      <c r="CY10" s="556"/>
      <c r="CZ10" s="556"/>
      <c r="DA10" s="556"/>
      <c r="DB10" s="556"/>
    </row>
    <row r="11" spans="1:106" x14ac:dyDescent="0.35">
      <c r="C11" s="11" t="s">
        <v>18</v>
      </c>
      <c r="E11" s="556">
        <f>E9/E10</f>
        <v>26.960060015092555</v>
      </c>
      <c r="F11" s="556"/>
      <c r="G11" s="556"/>
      <c r="H11" s="556"/>
      <c r="I11" s="556"/>
      <c r="J11" s="556"/>
      <c r="K11" s="556">
        <f>K9/K10</f>
        <v>26.960060015092555</v>
      </c>
      <c r="L11" s="556"/>
      <c r="M11" s="556"/>
      <c r="N11" s="556"/>
      <c r="O11" s="556"/>
      <c r="P11" s="556"/>
      <c r="Q11" s="556">
        <f>Q9/Q10</f>
        <v>26.960060015092555</v>
      </c>
      <c r="R11" s="556"/>
      <c r="S11" s="556"/>
      <c r="T11" s="556"/>
      <c r="U11" s="556"/>
      <c r="V11" s="556"/>
      <c r="W11" s="556">
        <f>W9/W10</f>
        <v>26.959732221781099</v>
      </c>
      <c r="X11" s="556"/>
      <c r="Y11" s="556"/>
      <c r="Z11" s="556"/>
      <c r="AA11" s="556"/>
      <c r="AB11" s="556"/>
      <c r="AC11" s="556">
        <f>AC9/AC10</f>
        <v>26.959732221781099</v>
      </c>
      <c r="AD11" s="556"/>
      <c r="AE11" s="556"/>
      <c r="AF11" s="556"/>
      <c r="AG11" s="556"/>
      <c r="AH11" s="556"/>
      <c r="AI11" s="556">
        <f>AI9/AI10</f>
        <v>27.905094155442288</v>
      </c>
      <c r="AJ11" s="556"/>
      <c r="AK11" s="556"/>
      <c r="AL11" s="556"/>
      <c r="AM11" s="556"/>
      <c r="AN11" s="556"/>
      <c r="AO11" s="556">
        <f>AO9/AO10</f>
        <v>27.905094155442288</v>
      </c>
      <c r="AP11" s="556"/>
      <c r="AQ11" s="556"/>
      <c r="AR11" s="556"/>
      <c r="AS11" s="556"/>
      <c r="AT11" s="556"/>
      <c r="AU11" s="556">
        <f>AU9/AU10</f>
        <v>27.905094155442288</v>
      </c>
      <c r="AV11" s="556"/>
      <c r="AW11" s="556"/>
      <c r="AX11" s="556"/>
      <c r="AY11" s="556"/>
      <c r="AZ11" s="556"/>
      <c r="BA11" s="556">
        <f>BA9/BA10</f>
        <v>27.905094155442288</v>
      </c>
      <c r="BB11" s="556"/>
      <c r="BC11" s="556"/>
      <c r="BD11" s="556"/>
      <c r="BE11" s="556"/>
      <c r="BF11" s="556"/>
      <c r="BG11" s="556">
        <f>BG9/BG10</f>
        <v>27.905094155442288</v>
      </c>
      <c r="BH11" s="556"/>
      <c r="BI11" s="556"/>
      <c r="BJ11" s="556"/>
      <c r="BK11" s="556"/>
      <c r="BL11" s="556"/>
      <c r="BM11" s="556">
        <f>BM9/BM10</f>
        <v>27.905094155442288</v>
      </c>
      <c r="BN11" s="556"/>
      <c r="BO11" s="556"/>
      <c r="BP11" s="556"/>
      <c r="BQ11" s="556"/>
      <c r="BR11" s="556"/>
      <c r="BS11" s="556">
        <f>BS9/BS10</f>
        <v>27.905094155442288</v>
      </c>
      <c r="BT11" s="556"/>
      <c r="BU11" s="556"/>
      <c r="BV11" s="556"/>
      <c r="BW11" s="556"/>
      <c r="BX11" s="556"/>
      <c r="BY11" s="556">
        <f>BY9/BY10</f>
        <v>27.905094155442288</v>
      </c>
      <c r="BZ11" s="556"/>
      <c r="CA11" s="556"/>
      <c r="CB11" s="556"/>
      <c r="CC11" s="556"/>
      <c r="CD11" s="556"/>
      <c r="CE11" s="556">
        <f>CE9/CE10</f>
        <v>16.276798713369519</v>
      </c>
      <c r="CF11" s="556"/>
      <c r="CG11" s="556"/>
      <c r="CH11" s="556"/>
      <c r="CI11" s="556"/>
      <c r="CJ11" s="556"/>
      <c r="CK11" s="556">
        <f>CK9/CK10</f>
        <v>29.128773629995219</v>
      </c>
      <c r="CL11" s="556"/>
      <c r="CM11" s="556"/>
      <c r="CN11" s="556"/>
      <c r="CO11" s="556"/>
      <c r="CP11" s="556"/>
      <c r="CQ11" s="556">
        <f>CQ9/CQ10</f>
        <v>43.428431655882108</v>
      </c>
      <c r="CR11" s="556"/>
      <c r="CS11" s="556"/>
      <c r="CT11" s="556"/>
      <c r="CU11" s="556"/>
      <c r="CV11" s="556"/>
      <c r="CW11" s="556">
        <f>CW9/CW10</f>
        <v>16.276798713369519</v>
      </c>
      <c r="CX11" s="556"/>
      <c r="CY11" s="556"/>
      <c r="CZ11" s="556"/>
      <c r="DA11" s="556"/>
      <c r="DB11" s="556"/>
    </row>
    <row r="12" spans="1:106" x14ac:dyDescent="0.35">
      <c r="C12" s="11" t="s">
        <v>22</v>
      </c>
      <c r="D12" s="78" t="s">
        <v>23</v>
      </c>
      <c r="E12" s="557">
        <f>((E4+14.7)*(E8*60))/(10.73*E10*(460+E5))</f>
        <v>0.99980339092408044</v>
      </c>
      <c r="F12" s="557"/>
      <c r="G12" s="557"/>
      <c r="H12" s="557"/>
      <c r="I12" s="557"/>
      <c r="J12" s="557"/>
      <c r="K12" s="557">
        <f>((K4+14.7)*(K8*60))/(10.73*K10*(460+K5))</f>
        <v>0.99980339092408033</v>
      </c>
      <c r="L12" s="557"/>
      <c r="M12" s="557"/>
      <c r="N12" s="557"/>
      <c r="O12" s="557"/>
      <c r="P12" s="557"/>
      <c r="Q12" s="557">
        <f>((Q4+14.7)*(Q8*60))/(10.73*Q10*(460+Q5))</f>
        <v>0.99980339092408055</v>
      </c>
      <c r="R12" s="557"/>
      <c r="S12" s="557"/>
      <c r="T12" s="557"/>
      <c r="U12" s="557"/>
      <c r="V12" s="557"/>
      <c r="W12" s="557">
        <f>((W4+14.7)*(W8*60))/(10.73*W10*(460+W5))</f>
        <v>0.99980339092407999</v>
      </c>
      <c r="X12" s="557"/>
      <c r="Y12" s="557"/>
      <c r="Z12" s="557"/>
      <c r="AA12" s="557"/>
      <c r="AB12" s="557"/>
      <c r="AC12" s="557">
        <f>((AC4+14.7)*(AC8*60))/(10.73*AC10*(460+AC5))</f>
        <v>0.99980339092407999</v>
      </c>
      <c r="AD12" s="557"/>
      <c r="AE12" s="557"/>
      <c r="AF12" s="557"/>
      <c r="AG12" s="557"/>
      <c r="AH12" s="557"/>
      <c r="AI12" s="556">
        <f>((AI4+14.7)*(AI8*60))/(10.73*AI10*(460+AI5))</f>
        <v>0.99980339092408044</v>
      </c>
      <c r="AJ12" s="556"/>
      <c r="AK12" s="556"/>
      <c r="AL12" s="556"/>
      <c r="AM12" s="556"/>
      <c r="AN12" s="556"/>
      <c r="AO12" s="557">
        <f>((AO4+14.7)*(AO8*60))/(10.73*AO10*(460+AO5))</f>
        <v>0.99980339092408044</v>
      </c>
      <c r="AP12" s="557"/>
      <c r="AQ12" s="557"/>
      <c r="AR12" s="557"/>
      <c r="AS12" s="557"/>
      <c r="AT12" s="557"/>
      <c r="AU12" s="557">
        <f>((AU4+14.7)*(AU8*60))/(10.73*AU10*(460+AU5))</f>
        <v>0.99980339092408044</v>
      </c>
      <c r="AV12" s="557"/>
      <c r="AW12" s="557"/>
      <c r="AX12" s="557"/>
      <c r="AY12" s="557"/>
      <c r="AZ12" s="557"/>
      <c r="BA12" s="557">
        <f>((BA4+14.7)*(BA8*60))/(10.73*BA10*(460+BA5))</f>
        <v>0.99980339092408033</v>
      </c>
      <c r="BB12" s="557"/>
      <c r="BC12" s="557"/>
      <c r="BD12" s="557"/>
      <c r="BE12" s="557"/>
      <c r="BF12" s="557"/>
      <c r="BG12" s="557">
        <f>((BG4+14.7)*(BG8*60))/(10.73*BG10*(460+BG5))</f>
        <v>0.99980339092408077</v>
      </c>
      <c r="BH12" s="557"/>
      <c r="BI12" s="557"/>
      <c r="BJ12" s="557"/>
      <c r="BK12" s="557"/>
      <c r="BL12" s="557"/>
      <c r="BM12" s="557">
        <f>((BM4+14.7)*(BM8*60))/(10.73*BM10*(460+BM5))</f>
        <v>0.99980339092408066</v>
      </c>
      <c r="BN12" s="557"/>
      <c r="BO12" s="557"/>
      <c r="BP12" s="557"/>
      <c r="BQ12" s="557"/>
      <c r="BR12" s="557"/>
      <c r="BS12" s="557">
        <f>((BS4+14.7)*(BS8*60))/(10.73*BS10*(460+BS5))</f>
        <v>0.9998033909240801</v>
      </c>
      <c r="BT12" s="557"/>
      <c r="BU12" s="557"/>
      <c r="BV12" s="557"/>
      <c r="BW12" s="557"/>
      <c r="BX12" s="557"/>
      <c r="BY12" s="557">
        <f>((BY4+14.7)*(BY8*60))/(10.73*BY10*(460+BY5))</f>
        <v>0.99980339092408033</v>
      </c>
      <c r="BZ12" s="557"/>
      <c r="CA12" s="557"/>
      <c r="CB12" s="557"/>
      <c r="CC12" s="557"/>
      <c r="CD12" s="557"/>
      <c r="CE12" s="557">
        <f>((CE4+14.7)*(CE8*60))/(10.73*CE10*(460+CE5))</f>
        <v>0.99980339092408033</v>
      </c>
      <c r="CF12" s="557"/>
      <c r="CG12" s="557"/>
      <c r="CH12" s="557"/>
      <c r="CI12" s="557"/>
      <c r="CJ12" s="557"/>
      <c r="CK12" s="557">
        <f>((CK4+14.7)*(CK8*60))/(10.73*CK10*(460+CK5))</f>
        <v>0.9998033909240801</v>
      </c>
      <c r="CL12" s="557"/>
      <c r="CM12" s="557"/>
      <c r="CN12" s="557"/>
      <c r="CO12" s="557"/>
      <c r="CP12" s="557"/>
      <c r="CQ12" s="557">
        <f>((CQ4+14.7)*(CQ8*60))/(10.73*CQ10*(460+CQ5))</f>
        <v>0.99980339092408055</v>
      </c>
      <c r="CR12" s="557"/>
      <c r="CS12" s="557"/>
      <c r="CT12" s="557"/>
      <c r="CU12" s="557"/>
      <c r="CV12" s="557"/>
      <c r="CW12" s="557">
        <f>((CW4+14.7)*(CW8*60))/(10.73*CW10*(460+CW5))</f>
        <v>0.99980339092408033</v>
      </c>
      <c r="CX12" s="557"/>
      <c r="CY12" s="557"/>
      <c r="CZ12" s="557"/>
      <c r="DA12" s="557"/>
      <c r="DB12" s="557"/>
    </row>
    <row r="13" spans="1:106" ht="15.75" customHeight="1" x14ac:dyDescent="0.35">
      <c r="C13" s="11" t="s">
        <v>20</v>
      </c>
      <c r="D13" s="78" t="s">
        <v>21</v>
      </c>
      <c r="E13" s="558">
        <f>E11*(E4+14.7)/((1545/144)*(E5+460)*E12)</f>
        <v>6.6688020679925228E-2</v>
      </c>
      <c r="F13" s="558"/>
      <c r="G13" s="558"/>
      <c r="H13" s="558"/>
      <c r="I13" s="558"/>
      <c r="J13" s="558"/>
      <c r="K13" s="558">
        <f>K11*(K4+14.7)/((1545/144)*(K5+460)*K12)</f>
        <v>8.6862360675088679E-2</v>
      </c>
      <c r="L13" s="558"/>
      <c r="M13" s="558"/>
      <c r="N13" s="558"/>
      <c r="O13" s="558"/>
      <c r="P13" s="558"/>
      <c r="Q13" s="558">
        <f>Q11*(Q4+14.7)/((1545/144)*(Q5+460)*Q12)</f>
        <v>8.1681483832792778E-2</v>
      </c>
      <c r="R13" s="558"/>
      <c r="S13" s="558"/>
      <c r="T13" s="558"/>
      <c r="U13" s="558"/>
      <c r="V13" s="558"/>
      <c r="W13" s="558">
        <f>W11*(W4+14.7)/((1545/144)*(W5+460)*W12)</f>
        <v>7.7192551660211245E-2</v>
      </c>
      <c r="X13" s="558"/>
      <c r="Y13" s="558"/>
      <c r="Z13" s="558"/>
      <c r="AA13" s="558"/>
      <c r="AB13" s="558"/>
      <c r="AC13" s="558">
        <f>AC11*(AC4+14.7)/((1545/144)*(AC5+460)*AC12)</f>
        <v>7.4948582135205111E-2</v>
      </c>
      <c r="AD13" s="558"/>
      <c r="AE13" s="558"/>
      <c r="AF13" s="558"/>
      <c r="AG13" s="558"/>
      <c r="AH13" s="558"/>
      <c r="AI13" s="556">
        <f>AI11*(AI4+14.7)/((1545/144)*(AI5+460)*AI12)</f>
        <v>7.8469206821564996E-2</v>
      </c>
      <c r="AJ13" s="556"/>
      <c r="AK13" s="556"/>
      <c r="AL13" s="556"/>
      <c r="AM13" s="556"/>
      <c r="AN13" s="556"/>
      <c r="AO13" s="558">
        <f>AO11*(AO4+14.7)/((1545/144)*(AO5+460)*AO12)</f>
        <v>0.78886317271927497</v>
      </c>
      <c r="AP13" s="558"/>
      <c r="AQ13" s="558"/>
      <c r="AR13" s="558"/>
      <c r="AS13" s="558"/>
      <c r="AT13" s="558"/>
      <c r="AU13" s="558">
        <f>AU11*(AU4+14.7)/((1545/144)*(AU5+460)*AU12)</f>
        <v>0.81369467218877201</v>
      </c>
      <c r="AV13" s="558"/>
      <c r="AW13" s="558"/>
      <c r="AX13" s="558"/>
      <c r="AY13" s="558"/>
      <c r="AZ13" s="558"/>
      <c r="BA13" s="558">
        <f>BA11*(BA4+14.7)/((1545/144)*(BA5+460)*BA12)</f>
        <v>0.94950172843090386</v>
      </c>
      <c r="BB13" s="558"/>
      <c r="BC13" s="558"/>
      <c r="BD13" s="558"/>
      <c r="BE13" s="558"/>
      <c r="BF13" s="558"/>
      <c r="BG13" s="558">
        <f>BG11*(BG4+14.7)/((1545/144)*(BG5+460)*BG12)</f>
        <v>0.95368575750531892</v>
      </c>
      <c r="BH13" s="558"/>
      <c r="BI13" s="558"/>
      <c r="BJ13" s="558"/>
      <c r="BK13" s="558"/>
      <c r="BL13" s="558"/>
      <c r="BM13" s="558">
        <f>BM11*(BM4+14.7)/((1545/144)*(BM5+460)*BM12)</f>
        <v>1.0858137573892033</v>
      </c>
      <c r="BN13" s="558"/>
      <c r="BO13" s="558"/>
      <c r="BP13" s="558"/>
      <c r="BQ13" s="558"/>
      <c r="BR13" s="558"/>
      <c r="BS13" s="558">
        <f>BS11*(BS4+14.7)/((1545/144)*(BS5+460)*BS12)</f>
        <v>1.0543218225445494</v>
      </c>
      <c r="BT13" s="558"/>
      <c r="BU13" s="558"/>
      <c r="BV13" s="558"/>
      <c r="BW13" s="558"/>
      <c r="BX13" s="558"/>
      <c r="BY13" s="558">
        <f>BY11*(BY4+14.7)/((1545/144)*(BY5+460)*BY12)</f>
        <v>1.0441203535310557</v>
      </c>
      <c r="BZ13" s="558"/>
      <c r="CA13" s="558"/>
      <c r="CB13" s="558"/>
      <c r="CC13" s="558"/>
      <c r="CD13" s="558"/>
      <c r="CE13" s="558">
        <f>CE11*(CE4+14.7)/((1545/144)*(CE5+460)*CE12)</f>
        <v>0.4883897919502263</v>
      </c>
      <c r="CF13" s="558"/>
      <c r="CG13" s="558"/>
      <c r="CH13" s="558"/>
      <c r="CI13" s="558"/>
      <c r="CJ13" s="558"/>
      <c r="CK13" s="558">
        <f>CK11*(CK4+14.7)/((1545/144)*(CK5+460)*CK12)</f>
        <v>9.8969650626341749E-2</v>
      </c>
      <c r="CL13" s="558"/>
      <c r="CM13" s="558"/>
      <c r="CN13" s="558"/>
      <c r="CO13" s="558"/>
      <c r="CP13" s="558"/>
      <c r="CQ13" s="558">
        <f>CQ11*(CQ4+14.7)/((1545/144)*(CQ5+460)*CQ12)</f>
        <v>0.12463012342433576</v>
      </c>
      <c r="CR13" s="558"/>
      <c r="CS13" s="558"/>
      <c r="CT13" s="558"/>
      <c r="CU13" s="558"/>
      <c r="CV13" s="558"/>
      <c r="CW13" s="558">
        <f>CW11*(CW4+14.7)/((1545/144)*(CW5+460)*CW12)</f>
        <v>0.4883897919502263</v>
      </c>
      <c r="CX13" s="558"/>
      <c r="CY13" s="558"/>
      <c r="CZ13" s="558"/>
      <c r="DA13" s="558"/>
      <c r="DB13" s="558"/>
    </row>
    <row r="14" spans="1:106" ht="15.75" customHeight="1" x14ac:dyDescent="0.35">
      <c r="C14" s="11" t="s">
        <v>146</v>
      </c>
      <c r="D14" s="78" t="s">
        <v>148</v>
      </c>
      <c r="E14" s="558">
        <f>6.1121*EXP(17.502*E6/(240.97+E6))*0.1*0.145038</f>
        <v>0.7912009735488108</v>
      </c>
      <c r="F14" s="558"/>
      <c r="G14" s="558"/>
      <c r="H14" s="558"/>
      <c r="I14" s="558"/>
      <c r="J14" s="558"/>
      <c r="K14" s="558">
        <f>6.1121*EXP(17.502*K6/(240.97+K6))*0.1*0.145038</f>
        <v>1.2770714563886127</v>
      </c>
      <c r="L14" s="558"/>
      <c r="M14" s="558"/>
      <c r="N14" s="558"/>
      <c r="O14" s="558"/>
      <c r="P14" s="558"/>
      <c r="Q14" s="558">
        <f>6.1121*EXP(17.502*Q6/(240.97+Q6))*0.1*0.145038</f>
        <v>0.9501977410484399</v>
      </c>
      <c r="R14" s="558"/>
      <c r="S14" s="558"/>
      <c r="T14" s="558"/>
      <c r="U14" s="558"/>
      <c r="V14" s="558"/>
      <c r="W14" s="558">
        <f>6.1121*EXP(17.502*W6/(240.97+W6))*0.1*0.145038</f>
        <v>0.9501977410484399</v>
      </c>
      <c r="X14" s="558"/>
      <c r="Y14" s="558"/>
      <c r="Z14" s="558"/>
      <c r="AA14" s="558"/>
      <c r="AB14" s="558"/>
      <c r="AC14" s="558">
        <f>6.1121*EXP(17.502*AC6/(240.97+AC6))*0.1*0.145038</f>
        <v>0.9501977410484399</v>
      </c>
      <c r="AD14" s="558"/>
      <c r="AE14" s="558"/>
      <c r="AF14" s="558"/>
      <c r="AG14" s="558"/>
      <c r="AH14" s="558"/>
      <c r="AI14" s="557">
        <f>6.1121*EXP(17.502*AI6/(240.97+AI6))*0.1*0.145038</f>
        <v>0.78221823019265069</v>
      </c>
      <c r="AJ14" s="557"/>
      <c r="AK14" s="557"/>
      <c r="AL14" s="557"/>
      <c r="AM14" s="557"/>
      <c r="AN14" s="557"/>
      <c r="AO14" s="558">
        <f>6.1121*EXP(17.502*AO6/(240.97+AO6))*0.1*0.145038</f>
        <v>29.822068417968438</v>
      </c>
      <c r="AP14" s="558"/>
      <c r="AQ14" s="558"/>
      <c r="AR14" s="558"/>
      <c r="AS14" s="558"/>
      <c r="AT14" s="558"/>
      <c r="AU14" s="558">
        <f>6.1121*EXP(17.502*AU6/(240.97+AU6))*0.1*0.145038</f>
        <v>17.620808277010152</v>
      </c>
      <c r="AV14" s="558"/>
      <c r="AW14" s="558"/>
      <c r="AX14" s="558"/>
      <c r="AY14" s="558"/>
      <c r="AZ14" s="558"/>
      <c r="BA14" s="558">
        <f>6.1121*EXP(17.502*BA6/(240.97+BA6))*0.1*0.145038</f>
        <v>1.6970491530776135</v>
      </c>
      <c r="BB14" s="558"/>
      <c r="BC14" s="558"/>
      <c r="BD14" s="558"/>
      <c r="BE14" s="558"/>
      <c r="BF14" s="558"/>
      <c r="BG14" s="558">
        <f>6.1121*EXP(17.502*BG6/(240.97+BG6))*0.1*0.145038</f>
        <v>1.3529931690672197</v>
      </c>
      <c r="BH14" s="558"/>
      <c r="BI14" s="558"/>
      <c r="BJ14" s="558"/>
      <c r="BK14" s="558"/>
      <c r="BL14" s="558"/>
      <c r="BM14" s="558">
        <f>6.1121*EXP(17.502*BM6/(240.97+BM6))*0.1*0.145038</f>
        <v>0.12171004337503714</v>
      </c>
      <c r="BN14" s="558"/>
      <c r="BO14" s="558"/>
      <c r="BP14" s="558"/>
      <c r="BQ14" s="558"/>
      <c r="BR14" s="558"/>
      <c r="BS14" s="558">
        <f>6.1121*EXP(17.502*BS6/(240.97+BS6))*0.1*0.145038</f>
        <v>0.17804837538503848</v>
      </c>
      <c r="BT14" s="558"/>
      <c r="BU14" s="558"/>
      <c r="BV14" s="558"/>
      <c r="BW14" s="558"/>
      <c r="BX14" s="558"/>
      <c r="BY14" s="558">
        <f>6.1121*EXP(17.502*BY6/(240.97+BY6))*0.1*0.145038</f>
        <v>0.17804837538503848</v>
      </c>
      <c r="BZ14" s="558"/>
      <c r="CA14" s="558"/>
      <c r="CB14" s="558"/>
      <c r="CC14" s="558"/>
      <c r="CD14" s="558"/>
      <c r="CE14" s="558">
        <f>6.1121*EXP(17.502*CE6/(240.97+CE6))*0.1*0.145038</f>
        <v>0.18962661874980477</v>
      </c>
      <c r="CF14" s="558"/>
      <c r="CG14" s="558"/>
      <c r="CH14" s="558"/>
      <c r="CI14" s="558"/>
      <c r="CJ14" s="558"/>
      <c r="CK14" s="558">
        <f>6.1121*EXP(17.502*CK6/(240.97+CK6))*0.1*0.145038</f>
        <v>0.61547010739753483</v>
      </c>
      <c r="CL14" s="558"/>
      <c r="CM14" s="558"/>
      <c r="CN14" s="558"/>
      <c r="CO14" s="558"/>
      <c r="CP14" s="558"/>
      <c r="CQ14" s="558">
        <f>6.1121*EXP(17.502*CQ6/(240.97+CQ6))*0.1*0.145038</f>
        <v>0.17804837538503848</v>
      </c>
      <c r="CR14" s="558"/>
      <c r="CS14" s="558"/>
      <c r="CT14" s="558"/>
      <c r="CU14" s="558"/>
      <c r="CV14" s="558"/>
      <c r="CW14" s="558">
        <f>6.1121*EXP(17.502*CW6/(240.97+CW6))*0.1*0.145038</f>
        <v>0.18962661874980477</v>
      </c>
      <c r="CX14" s="558"/>
      <c r="CY14" s="558"/>
      <c r="CZ14" s="558"/>
      <c r="DA14" s="558"/>
      <c r="DB14" s="558"/>
    </row>
    <row r="15" spans="1:106" ht="15" customHeight="1" x14ac:dyDescent="0.35">
      <c r="C15" s="11" t="s">
        <v>147</v>
      </c>
      <c r="D15" s="78" t="s">
        <v>149</v>
      </c>
      <c r="E15" s="559">
        <f>(E23)*(E4+14.7)/E14</f>
        <v>0.63845451710693646</v>
      </c>
      <c r="F15" s="559"/>
      <c r="G15" s="559"/>
      <c r="H15" s="559"/>
      <c r="I15" s="559"/>
      <c r="J15" s="559"/>
      <c r="K15" s="559">
        <f>(K23)*(K4+14.7)/K14</f>
        <v>0.53009104816352659</v>
      </c>
      <c r="L15" s="559"/>
      <c r="M15" s="559"/>
      <c r="N15" s="559"/>
      <c r="O15" s="559"/>
      <c r="P15" s="559"/>
      <c r="Q15" s="559">
        <f>(Q23)*(Q4+14.7)/Q14</f>
        <v>0.65819842171814091</v>
      </c>
      <c r="R15" s="559"/>
      <c r="S15" s="559"/>
      <c r="T15" s="559"/>
      <c r="U15" s="559"/>
      <c r="V15" s="559"/>
      <c r="W15" s="559">
        <f>(W23)*(W4+14.7)/W14</f>
        <v>0.62206231094010722</v>
      </c>
      <c r="X15" s="559"/>
      <c r="Y15" s="559"/>
      <c r="Z15" s="559"/>
      <c r="AA15" s="559"/>
      <c r="AB15" s="559"/>
      <c r="AC15" s="559">
        <f>(AC23)*(AC4+14.7)/AC14</f>
        <v>0.60397910422673196</v>
      </c>
      <c r="AD15" s="559"/>
      <c r="AE15" s="559"/>
      <c r="AF15" s="559"/>
      <c r="AG15" s="559"/>
      <c r="AH15" s="559"/>
      <c r="AI15" s="557">
        <f>(AI23)*(AI4+14.7)/AI14</f>
        <v>1.0651964044297229</v>
      </c>
      <c r="AJ15" s="557"/>
      <c r="AK15" s="557"/>
      <c r="AL15" s="557"/>
      <c r="AM15" s="557"/>
      <c r="AN15" s="557"/>
      <c r="AO15" s="559">
        <f>(AO23)*(AO4+14.7)/AO14</f>
        <v>0.35919926237496946</v>
      </c>
      <c r="AP15" s="559"/>
      <c r="AQ15" s="559"/>
      <c r="AR15" s="559"/>
      <c r="AS15" s="559"/>
      <c r="AT15" s="559"/>
      <c r="AU15" s="559">
        <f>(AU23)*(AU4+14.7)/AU14</f>
        <v>0.60225833336079071</v>
      </c>
      <c r="AV15" s="559"/>
      <c r="AW15" s="559"/>
      <c r="AX15" s="559"/>
      <c r="AY15" s="559"/>
      <c r="AZ15" s="559"/>
      <c r="BA15" s="559">
        <f>(BA23)*(BA4+14.7)/BA14</f>
        <v>6.2239714328858389</v>
      </c>
      <c r="BB15" s="559"/>
      <c r="BC15" s="559"/>
      <c r="BD15" s="559"/>
      <c r="BE15" s="559"/>
      <c r="BF15" s="559"/>
      <c r="BG15" s="559">
        <f>(BG23)*(BG4+14.7)/BG14</f>
        <v>7.7329282477629366</v>
      </c>
      <c r="BH15" s="559"/>
      <c r="BI15" s="559"/>
      <c r="BJ15" s="559"/>
      <c r="BK15" s="559"/>
      <c r="BL15" s="559"/>
      <c r="BM15" s="559">
        <f>(BM23)*(BM4+14.7)/BM14</f>
        <v>85.553382703188376</v>
      </c>
      <c r="BN15" s="559"/>
      <c r="BO15" s="559"/>
      <c r="BP15" s="559"/>
      <c r="BQ15" s="559"/>
      <c r="BR15" s="559"/>
      <c r="BS15" s="559">
        <f>(BS23)*(BS4+14.7)/BS14</f>
        <v>57.922008805393659</v>
      </c>
      <c r="BT15" s="559"/>
      <c r="BU15" s="559"/>
      <c r="BV15" s="559"/>
      <c r="BW15" s="559"/>
      <c r="BX15" s="559"/>
      <c r="BY15" s="559">
        <f>(BY23)*(BY4+14.7)/BY14</f>
        <v>57.361563630692217</v>
      </c>
      <c r="BZ15" s="559"/>
      <c r="CA15" s="559"/>
      <c r="CB15" s="559"/>
      <c r="CC15" s="559"/>
      <c r="CD15" s="559"/>
      <c r="CE15" s="559">
        <f>(CE23)*(CE4+14.7)/CE14</f>
        <v>12.947061904758193</v>
      </c>
      <c r="CF15" s="559"/>
      <c r="CG15" s="559"/>
      <c r="CH15" s="559"/>
      <c r="CI15" s="559"/>
      <c r="CJ15" s="559"/>
      <c r="CK15" s="559">
        <f>(CK23)*(CK4+14.7)/CK14</f>
        <v>2.2630706851704812</v>
      </c>
      <c r="CL15" s="559"/>
      <c r="CM15" s="559"/>
      <c r="CN15" s="559"/>
      <c r="CO15" s="559"/>
      <c r="CP15" s="559"/>
      <c r="CQ15" s="559">
        <f>(CQ23)*(CQ4+14.7)/CQ14</f>
        <v>5.6753815138333765</v>
      </c>
      <c r="CR15" s="559"/>
      <c r="CS15" s="559"/>
      <c r="CT15" s="559"/>
      <c r="CU15" s="559"/>
      <c r="CV15" s="559"/>
      <c r="CW15" s="559">
        <f>(CW23)*(CW4+14.7)/CW14</f>
        <v>12.947061904758193</v>
      </c>
      <c r="CX15" s="559"/>
      <c r="CY15" s="559"/>
      <c r="CZ15" s="559"/>
      <c r="DA15" s="559"/>
      <c r="DB15" s="559"/>
    </row>
    <row r="16" spans="1:106" ht="15" customHeight="1" x14ac:dyDescent="0.35">
      <c r="C16" s="11" t="s">
        <v>159</v>
      </c>
      <c r="D16" s="78" t="s">
        <v>3</v>
      </c>
      <c r="J16"/>
      <c r="P16"/>
      <c r="W16" s="561" t="str">
        <f>IF((U23-AA23)&gt;1,"Condensate Removed","")</f>
        <v/>
      </c>
      <c r="X16" s="561"/>
      <c r="Y16" s="561"/>
      <c r="Z16" s="78" t="str">
        <f>IF((U23-AA23)&gt;1,+(U23-AA23),"")</f>
        <v/>
      </c>
      <c r="AA16" s="78" t="str">
        <f>IF((U23-AA23)&gt;1,"lb/hr","")</f>
        <v/>
      </c>
      <c r="AC16" s="561" t="str">
        <f>IF((AA23-AG23)&gt;1,"Condensate Removed","")</f>
        <v/>
      </c>
      <c r="AD16" s="561"/>
      <c r="AE16" s="561"/>
      <c r="AF16" s="78" t="str">
        <f>IF((AA23-AG23)&gt;1,+(AA23-AG23),"")</f>
        <v/>
      </c>
      <c r="AG16" s="78" t="str">
        <f>IF((AA23-AG23)&gt;1,"lb/hr","")</f>
        <v/>
      </c>
      <c r="AI16" s="561" t="str">
        <f>IF((AA23-AM23)&gt;1,"Condensate Removed","")</f>
        <v/>
      </c>
      <c r="AJ16" s="561"/>
      <c r="AK16" s="561"/>
      <c r="AL16" s="78" t="str">
        <f>IF((AA23-AM23)&gt;1,+(AA23-AM23),"")</f>
        <v/>
      </c>
      <c r="AM16" s="78" t="str">
        <f>IF((AA23-AM23)&gt;1,"lb/hr","")</f>
        <v/>
      </c>
      <c r="AO16" s="561" t="str">
        <f>IF((AM23-AS23)&gt;1,"Condensate Removed","")</f>
        <v/>
      </c>
      <c r="AP16" s="561"/>
      <c r="AQ16" s="561"/>
      <c r="AR16" s="78" t="str">
        <f>IF((AM23-AS23)&gt;1,+(AM23-AS23),"")</f>
        <v/>
      </c>
      <c r="AS16" s="78" t="str">
        <f>IF((AM23-AS23)&gt;1,"lb/hr","")</f>
        <v/>
      </c>
      <c r="AU16" s="559" t="str">
        <f>IF((AS23-AY23)&gt;1,+(AS23-AY23),"")</f>
        <v/>
      </c>
      <c r="AV16" s="559"/>
      <c r="BA16" s="559" t="str">
        <f>IF((AY23-BE23)&gt;1,+(AY23-BE23),"")</f>
        <v/>
      </c>
      <c r="BB16" s="559"/>
      <c r="BG16" s="559" t="str">
        <f>IF((BE23-BK23)&gt;1,+(BE23-BK23),"")</f>
        <v/>
      </c>
      <c r="BH16" s="559"/>
      <c r="BM16" s="559" t="str">
        <f>IF((BK23-BQ23)&gt;1,+(BK23-BQ23),"")</f>
        <v/>
      </c>
      <c r="BN16" s="559"/>
      <c r="BS16" s="559" t="str">
        <f>IF((BQ23-BW23)&gt;1,+(BQ23-BW23),"")</f>
        <v/>
      </c>
      <c r="BT16" s="559"/>
      <c r="BY16" s="559" t="str">
        <f>IF((BW23-CC23)&gt;1,+(BW23-CC23),"")</f>
        <v/>
      </c>
      <c r="BZ16" s="559"/>
      <c r="CE16" s="559"/>
      <c r="CF16" s="559"/>
      <c r="CK16" s="559" t="str">
        <f>IF((CI23-CO23)&gt;1,+(CI23-CO23),"")</f>
        <v/>
      </c>
      <c r="CL16" s="559"/>
      <c r="CQ16" s="559">
        <f>IF((CO23-CU23)&gt;1,+(CO23-CU23),"")</f>
        <v>1.8823194944755075</v>
      </c>
      <c r="CR16" s="559"/>
      <c r="CW16" s="559"/>
      <c r="CX16" s="559"/>
    </row>
    <row r="17" spans="2:106" ht="43.5" x14ac:dyDescent="0.35">
      <c r="B17" s="78" t="s">
        <v>25</v>
      </c>
      <c r="C17" s="11" t="s">
        <v>24</v>
      </c>
      <c r="D17" s="78" t="s">
        <v>13</v>
      </c>
      <c r="E17" s="4" t="s">
        <v>139</v>
      </c>
      <c r="F17" s="72" t="s">
        <v>17</v>
      </c>
      <c r="G17" s="4" t="s">
        <v>15</v>
      </c>
      <c r="H17" s="4" t="s">
        <v>16</v>
      </c>
      <c r="I17" s="4" t="s">
        <v>17</v>
      </c>
      <c r="J17" s="5" t="s">
        <v>19</v>
      </c>
      <c r="K17" s="4" t="s">
        <v>139</v>
      </c>
      <c r="L17" s="72" t="s">
        <v>17</v>
      </c>
      <c r="M17" s="4" t="s">
        <v>15</v>
      </c>
      <c r="N17" s="4" t="s">
        <v>16</v>
      </c>
      <c r="O17" s="4" t="s">
        <v>17</v>
      </c>
      <c r="P17" s="5" t="s">
        <v>19</v>
      </c>
      <c r="Q17" s="4" t="s">
        <v>139</v>
      </c>
      <c r="R17" s="72" t="s">
        <v>17</v>
      </c>
      <c r="S17" s="4" t="s">
        <v>15</v>
      </c>
      <c r="T17" s="4" t="s">
        <v>16</v>
      </c>
      <c r="U17" s="4" t="s">
        <v>17</v>
      </c>
      <c r="V17" s="5" t="s">
        <v>19</v>
      </c>
      <c r="W17" s="4" t="s">
        <v>139</v>
      </c>
      <c r="X17" s="72" t="s">
        <v>17</v>
      </c>
      <c r="Y17" s="4" t="s">
        <v>15</v>
      </c>
      <c r="Z17" s="4" t="s">
        <v>16</v>
      </c>
      <c r="AA17" s="4" t="s">
        <v>17</v>
      </c>
      <c r="AB17" s="5" t="s">
        <v>19</v>
      </c>
      <c r="AC17" s="4" t="s">
        <v>139</v>
      </c>
      <c r="AD17" s="72" t="s">
        <v>15</v>
      </c>
      <c r="AE17" s="4" t="s">
        <v>15</v>
      </c>
      <c r="AF17" s="4" t="s">
        <v>16</v>
      </c>
      <c r="AG17" s="4" t="s">
        <v>17</v>
      </c>
      <c r="AH17" s="5" t="s">
        <v>19</v>
      </c>
      <c r="AI17" s="4" t="s">
        <v>139</v>
      </c>
      <c r="AJ17" s="72" t="s">
        <v>15</v>
      </c>
      <c r="AK17" s="4" t="s">
        <v>15</v>
      </c>
      <c r="AL17" s="4" t="s">
        <v>16</v>
      </c>
      <c r="AM17" s="4" t="s">
        <v>17</v>
      </c>
      <c r="AN17" s="5" t="s">
        <v>19</v>
      </c>
      <c r="AO17" s="4" t="s">
        <v>139</v>
      </c>
      <c r="AP17" s="72" t="s">
        <v>15</v>
      </c>
      <c r="AQ17" s="4" t="s">
        <v>15</v>
      </c>
      <c r="AR17" s="4" t="s">
        <v>16</v>
      </c>
      <c r="AS17" s="4" t="s">
        <v>17</v>
      </c>
      <c r="AT17" s="5" t="s">
        <v>19</v>
      </c>
      <c r="AU17" s="4" t="s">
        <v>139</v>
      </c>
      <c r="AV17" s="72" t="s">
        <v>15</v>
      </c>
      <c r="AW17" s="4" t="s">
        <v>15</v>
      </c>
      <c r="AX17" s="4" t="s">
        <v>16</v>
      </c>
      <c r="AY17" s="4" t="s">
        <v>17</v>
      </c>
      <c r="AZ17" s="5" t="s">
        <v>19</v>
      </c>
      <c r="BA17" s="4" t="s">
        <v>139</v>
      </c>
      <c r="BB17" s="72" t="s">
        <v>15</v>
      </c>
      <c r="BC17" s="4" t="s">
        <v>15</v>
      </c>
      <c r="BD17" s="4" t="s">
        <v>16</v>
      </c>
      <c r="BE17" s="4" t="s">
        <v>17</v>
      </c>
      <c r="BF17" s="5" t="s">
        <v>19</v>
      </c>
      <c r="BG17" s="4" t="s">
        <v>139</v>
      </c>
      <c r="BH17" s="72" t="s">
        <v>15</v>
      </c>
      <c r="BI17" s="4" t="s">
        <v>15</v>
      </c>
      <c r="BJ17" s="4" t="s">
        <v>16</v>
      </c>
      <c r="BK17" s="4" t="s">
        <v>17</v>
      </c>
      <c r="BL17" s="5" t="s">
        <v>19</v>
      </c>
      <c r="BM17" s="4" t="s">
        <v>139</v>
      </c>
      <c r="BN17" s="72" t="s">
        <v>15</v>
      </c>
      <c r="BO17" s="4" t="s">
        <v>15</v>
      </c>
      <c r="BP17" s="4" t="s">
        <v>16</v>
      </c>
      <c r="BQ17" s="4" t="s">
        <v>17</v>
      </c>
      <c r="BR17" s="5" t="s">
        <v>19</v>
      </c>
      <c r="BS17" s="4" t="s">
        <v>139</v>
      </c>
      <c r="BT17" s="72" t="s">
        <v>15</v>
      </c>
      <c r="BU17" s="4" t="s">
        <v>15</v>
      </c>
      <c r="BV17" s="4" t="s">
        <v>16</v>
      </c>
      <c r="BW17" s="4" t="s">
        <v>17</v>
      </c>
      <c r="BX17" s="5" t="s">
        <v>19</v>
      </c>
      <c r="BY17" s="4" t="s">
        <v>139</v>
      </c>
      <c r="BZ17" s="72" t="s">
        <v>15</v>
      </c>
      <c r="CA17" s="4" t="s">
        <v>15</v>
      </c>
      <c r="CB17" s="4" t="s">
        <v>16</v>
      </c>
      <c r="CC17" s="4" t="s">
        <v>17</v>
      </c>
      <c r="CD17" s="5" t="s">
        <v>19</v>
      </c>
      <c r="CE17" s="4" t="s">
        <v>139</v>
      </c>
      <c r="CF17" s="72" t="s">
        <v>17</v>
      </c>
      <c r="CG17" s="4" t="s">
        <v>15</v>
      </c>
      <c r="CH17" s="4" t="s">
        <v>16</v>
      </c>
      <c r="CI17" s="4" t="s">
        <v>17</v>
      </c>
      <c r="CJ17" s="5" t="s">
        <v>19</v>
      </c>
      <c r="CK17" s="4" t="s">
        <v>139</v>
      </c>
      <c r="CL17" s="72" t="s">
        <v>17</v>
      </c>
      <c r="CM17" s="4" t="s">
        <v>15</v>
      </c>
      <c r="CN17" s="4" t="s">
        <v>16</v>
      </c>
      <c r="CO17" s="4" t="s">
        <v>17</v>
      </c>
      <c r="CP17" s="5" t="s">
        <v>19</v>
      </c>
      <c r="CQ17" s="4" t="s">
        <v>139</v>
      </c>
      <c r="CR17" s="72" t="s">
        <v>17</v>
      </c>
      <c r="CS17" s="4" t="s">
        <v>15</v>
      </c>
      <c r="CT17" s="4" t="s">
        <v>16</v>
      </c>
      <c r="CU17" s="4" t="s">
        <v>17</v>
      </c>
      <c r="CV17" s="5" t="s">
        <v>19</v>
      </c>
      <c r="CW17" s="4" t="s">
        <v>139</v>
      </c>
      <c r="CX17" s="72" t="s">
        <v>15</v>
      </c>
      <c r="CY17" s="4" t="s">
        <v>15</v>
      </c>
      <c r="CZ17" s="4" t="s">
        <v>16</v>
      </c>
      <c r="DA17" s="4" t="s">
        <v>17</v>
      </c>
      <c r="DB17" s="5" t="s">
        <v>19</v>
      </c>
    </row>
    <row r="18" spans="2:106" x14ac:dyDescent="0.35">
      <c r="B18" s="86">
        <v>1</v>
      </c>
      <c r="C18" s="11" t="str">
        <f>VLOOKUP(B18,'Input Sheet'!C$9:E$126,2,FALSE)</f>
        <v>Methane (CH4)</v>
      </c>
      <c r="D18" s="78">
        <f>VLOOKUP(B18,'Input Sheet'!C$9:E$126,3,FALSE)</f>
        <v>16.04</v>
      </c>
      <c r="E18" s="84">
        <f>G18*100/E$7</f>
        <v>60.188550526610996</v>
      </c>
      <c r="F18" s="84">
        <f t="shared" ref="F18:F24" si="0">HLOOKUP(F$17,G$17:J$24,+($B18+1),FALSE)</f>
        <v>3507.8946164589315</v>
      </c>
      <c r="G18" s="83">
        <f>I18*379.49/(60*$D18)</f>
        <v>1383.2199999999998</v>
      </c>
      <c r="H18" s="83">
        <f>(14.7*G18)*(460+E$5)/((460+60)*(E$4+14.7))</f>
        <v>1473.6613076923072</v>
      </c>
      <c r="I18" s="83">
        <f>'Input Sheet'!H10</f>
        <v>3507.8946164589315</v>
      </c>
      <c r="J18" s="83">
        <f t="shared" ref="J18:J24" si="1">I18/$D18</f>
        <v>218.69667184906058</v>
      </c>
      <c r="K18" s="84">
        <f>M18*100/K$7</f>
        <v>60.188550526610996</v>
      </c>
      <c r="L18" s="84">
        <f t="shared" ref="L18:L24" si="2">HLOOKUP(L$17,M$17:P$24,+($B18+1),FALSE)</f>
        <v>3507.8946164589315</v>
      </c>
      <c r="M18" s="83">
        <f>O18*379.49/(60*$D18)</f>
        <v>1383.2199999999998</v>
      </c>
      <c r="N18" s="83">
        <f>(14.7*M18)*(460+K$5)/((460+60)*(K$4+14.7))</f>
        <v>1131.3940238188204</v>
      </c>
      <c r="O18" s="83">
        <f>I18</f>
        <v>3507.8946164589315</v>
      </c>
      <c r="P18" s="83">
        <f t="shared" ref="P18:P24" si="3">O18/$D18</f>
        <v>218.69667184906058</v>
      </c>
      <c r="Q18" s="84">
        <f>S18*100/Q$7</f>
        <v>60.188550526610996</v>
      </c>
      <c r="R18" s="84">
        <f t="shared" ref="R18:R24" si="4">HLOOKUP(R$17,S$17:V$24,+($B18+1),FALSE)</f>
        <v>3507.8946164589315</v>
      </c>
      <c r="S18" s="83">
        <f>U18*379.49/(60*$D18)</f>
        <v>1383.2199999999998</v>
      </c>
      <c r="T18" s="83">
        <f>(14.7*S18)*(460+Q$5)/((460+60)*(Q$4+14.7))</f>
        <v>1203.1558579881653</v>
      </c>
      <c r="U18" s="83">
        <f>'Input Sheet'!H10</f>
        <v>3507.8946164589315</v>
      </c>
      <c r="V18" s="83">
        <f t="shared" ref="V18:V24" si="5">U18/$D18</f>
        <v>218.69667184906058</v>
      </c>
      <c r="W18" s="84">
        <f>Y18*100/W$7</f>
        <v>60.191321533716454</v>
      </c>
      <c r="X18" s="84">
        <f t="shared" ref="X18:X24" si="6">HLOOKUP(X$17,Y$17:AB$24,+($B18+1),FALSE)</f>
        <v>3507.8946164589315</v>
      </c>
      <c r="Y18" s="83">
        <f>AA18*379.49/(60*$D18)</f>
        <v>1383.2199999999998</v>
      </c>
      <c r="Z18" s="83">
        <f>(14.7*Y18)*(460+W$5)/((460+60)*(W$4+14.7))</f>
        <v>1273.1067799642215</v>
      </c>
      <c r="AA18" s="83">
        <f>'Input Sheet'!V10</f>
        <v>3507.8946164589315</v>
      </c>
      <c r="AB18" s="83">
        <f>AA18/$D18</f>
        <v>218.69667184906058</v>
      </c>
      <c r="AC18" s="84">
        <f>AE18*100/AC$7</f>
        <v>60.191321533716454</v>
      </c>
      <c r="AD18" s="84">
        <f t="shared" ref="AD18:AD24" si="7">HLOOKUP(AD$17,AE$17:AH$24,+($B18+1),FALSE)</f>
        <v>1383.2199999999998</v>
      </c>
      <c r="AE18" s="83">
        <f>AG18*379.49/(60*$D18)</f>
        <v>1383.2199999999998</v>
      </c>
      <c r="AF18" s="83">
        <f>(14.7*AE18)*(460+AC$5)/((460+60)*(AC$4+14.7))</f>
        <v>1311.2237494242281</v>
      </c>
      <c r="AG18" s="83">
        <f t="shared" ref="AG18:AG24" si="8">AA18</f>
        <v>3507.8946164589315</v>
      </c>
      <c r="AH18" s="83">
        <f>AG18/$D18</f>
        <v>218.69667184906058</v>
      </c>
      <c r="AI18" s="84">
        <f>AK18*100/AI$7</f>
        <v>56.540344226635753</v>
      </c>
      <c r="AJ18" s="84">
        <f t="shared" ref="AJ18:AJ24" si="9">HLOOKUP(AJ$17,AK$17:AN$24,+($B18+1),FALSE)</f>
        <v>2303.1169786604269</v>
      </c>
      <c r="AK18" s="83">
        <f>AM18*379.49/(60*$D18)</f>
        <v>2303.1169786604269</v>
      </c>
      <c r="AL18" s="83">
        <f>(14.7*AK18)*(460+AI$5)/((460+60)*(AI$4+14.7))</f>
        <v>2158.4083903395785</v>
      </c>
      <c r="AM18" s="83">
        <f>AG18+'Input Sheet'!R10</f>
        <v>5840.7857394471393</v>
      </c>
      <c r="AN18" s="83">
        <f>AM18/$D18</f>
        <v>364.13876181091894</v>
      </c>
      <c r="AO18" s="84">
        <f>AQ18*100/AO$7</f>
        <v>56.540344226635753</v>
      </c>
      <c r="AP18" s="84">
        <f t="shared" ref="AP18:AP24" si="10">HLOOKUP(AP$17,AQ$17:AT$24,+($B18+1),FALSE)</f>
        <v>2303.1169786604269</v>
      </c>
      <c r="AQ18" s="83">
        <f t="shared" ref="AQ18:AQ24" si="11">AS18*379.49/(60*$D18)</f>
        <v>2303.1169786604269</v>
      </c>
      <c r="AR18" s="83">
        <f>(14.7*AQ18)*(460+AO$5)/((460+60)*(AO$4+14.7))</f>
        <v>214.69958320291514</v>
      </c>
      <c r="AS18" s="83">
        <f>AM18</f>
        <v>5840.7857394471393</v>
      </c>
      <c r="AT18" s="83">
        <f>AS18/$D18</f>
        <v>364.13876181091894</v>
      </c>
      <c r="AU18" s="84">
        <f>AW18*100/AU$7</f>
        <v>56.540344226635753</v>
      </c>
      <c r="AV18" s="84">
        <f t="shared" ref="AV18:AV24" si="12">HLOOKUP(AV$17,AW$17:AZ$24,+($B18+1),FALSE)</f>
        <v>2303.1169786604269</v>
      </c>
      <c r="AW18" s="83">
        <f t="shared" ref="AW18:AW24" si="13">AY18*379.49/(60*$D18)</f>
        <v>2303.1169786604269</v>
      </c>
      <c r="AX18" s="83">
        <f>(14.7*AW18)*(460+AU$5)/((460+60)*(AU$4+14.7))</f>
        <v>208.147601521551</v>
      </c>
      <c r="AY18" s="83">
        <f>AS18</f>
        <v>5840.7857394471393</v>
      </c>
      <c r="AZ18" s="83">
        <f>AY18/$D18</f>
        <v>364.13876181091894</v>
      </c>
      <c r="BA18" s="84">
        <f>BC18*100/BA$7</f>
        <v>56.540344226635753</v>
      </c>
      <c r="BB18" s="84">
        <f t="shared" ref="BB18:BB24" si="14">HLOOKUP(BB$17,BC$17:BF$24,+($B18+1),FALSE)</f>
        <v>2303.1169786604269</v>
      </c>
      <c r="BC18" s="83">
        <f t="shared" ref="BC18:BC24" si="15">BE18*379.49/(60*$D18)</f>
        <v>2303.1169786604269</v>
      </c>
      <c r="BD18" s="83">
        <f>(14.7*BC18)*(460+BA$5)/((460+60)*(BA$4+14.7))</f>
        <v>178.37628865283602</v>
      </c>
      <c r="BE18" s="83">
        <f>AY18</f>
        <v>5840.7857394471393</v>
      </c>
      <c r="BF18" s="83">
        <f>BE18/$D18</f>
        <v>364.13876181091894</v>
      </c>
      <c r="BG18" s="84">
        <f>BI18*100/BG$7</f>
        <v>56.540344226635753</v>
      </c>
      <c r="BH18" s="84">
        <f t="shared" ref="BH18:BH24" si="16">HLOOKUP(BH$17,BI$17:BL$24,+($B18+1),FALSE)</f>
        <v>2303.1169786604269</v>
      </c>
      <c r="BI18" s="83">
        <f t="shared" ref="BI18:BI24" si="17">BK18*379.49/(60*$D18)</f>
        <v>2303.1169786604269</v>
      </c>
      <c r="BJ18" s="83">
        <f>(14.7*BI18)*(460+BG$5)/((460+60)*(BG$4+14.7))</f>
        <v>177.59371266065381</v>
      </c>
      <c r="BK18" s="83">
        <f>BE18</f>
        <v>5840.7857394471393</v>
      </c>
      <c r="BL18" s="83">
        <f>BK18/$D18</f>
        <v>364.13876181091894</v>
      </c>
      <c r="BM18" s="84">
        <f>BO18*100/BM$7</f>
        <v>56.540344226635753</v>
      </c>
      <c r="BN18" s="84">
        <f t="shared" ref="BN18:BN24" si="18">HLOOKUP(BN$17,BO$17:BR$24,+($B18+1),FALSE)</f>
        <v>2303.1169786604269</v>
      </c>
      <c r="BO18" s="83">
        <f t="shared" ref="BO18:BO24" si="19">BQ18*379.49/(60*$D18)</f>
        <v>2303.1169786604269</v>
      </c>
      <c r="BP18" s="83">
        <f>(14.7*BO18)*(460+BM$5)/((460+60)*(BM$4+14.7))</f>
        <v>155.98309860633717</v>
      </c>
      <c r="BQ18" s="83">
        <f>BK18</f>
        <v>5840.7857394471393</v>
      </c>
      <c r="BR18" s="83">
        <f>BQ18/$D18</f>
        <v>364.13876181091894</v>
      </c>
      <c r="BS18" s="84">
        <f>BU18*100/BS$7</f>
        <v>56.540344226635753</v>
      </c>
      <c r="BT18" s="84">
        <f t="shared" ref="BT18:BT24" si="20">HLOOKUP(BT$17,BU$17:BX$24,+($B18+1),FALSE)</f>
        <v>2303.1169786604269</v>
      </c>
      <c r="BU18" s="83">
        <f t="shared" ref="BU18:BU24" si="21">BW18*379.49/(60*$D18)</f>
        <v>2303.1169786604269</v>
      </c>
      <c r="BV18" s="83">
        <f>(14.7*BU18)*(460+BS$5)/((460+60)*(BS$4+14.7))</f>
        <v>160.64221641376594</v>
      </c>
      <c r="BW18" s="83">
        <f>BQ18</f>
        <v>5840.7857394471393</v>
      </c>
      <c r="BX18" s="83">
        <f>BW18/$D18</f>
        <v>364.13876181091894</v>
      </c>
      <c r="BY18" s="84">
        <f>CA18*100/BY$7</f>
        <v>56.540344226635753</v>
      </c>
      <c r="BZ18" s="84">
        <f t="shared" ref="BZ18:BZ24" si="22">HLOOKUP(BZ$17,CA$17:CD$24,+($B18+1),FALSE)</f>
        <v>2303.1169786604269</v>
      </c>
      <c r="CA18" s="83">
        <f t="shared" ref="CA18:CA24" si="23">CC18*379.49/(60*$D18)</f>
        <v>2303.1169786604269</v>
      </c>
      <c r="CB18" s="83">
        <f>(14.7*CA18)*(460+BY$5)/((460+60)*(BY$4+14.7))</f>
        <v>162.21175443441828</v>
      </c>
      <c r="CC18" s="83">
        <f>BW18</f>
        <v>5840.7857394471393</v>
      </c>
      <c r="CD18" s="83">
        <f>CC18/$D18</f>
        <v>364.13876181091894</v>
      </c>
      <c r="CE18" s="84">
        <f>CG18*100/CE$7</f>
        <v>98.243929242641002</v>
      </c>
      <c r="CF18" s="84">
        <f t="shared" ref="CF18:CF24" si="24">HLOOKUP(CF$17,CG$17:CJ$24,+($B18+1),FALSE)</f>
        <v>3472.815670294342</v>
      </c>
      <c r="CG18" s="83">
        <f t="shared" ref="CG18:CG24" si="25">CI18*379.49/(60*$D18)</f>
        <v>1369.3878</v>
      </c>
      <c r="CH18" s="83">
        <f>(14.7*CG18)*(460+CE$5)/((460+60)*(CE$4+14.7))</f>
        <v>120.27137146469101</v>
      </c>
      <c r="CI18" s="83">
        <f>'Input Sheet'!M10</f>
        <v>3472.815670294342</v>
      </c>
      <c r="CJ18" s="83">
        <f>CI18/$D18</f>
        <v>216.50970513056996</v>
      </c>
      <c r="CK18" s="84">
        <f>CM18*100/CK$7</f>
        <v>51.814507662187808</v>
      </c>
      <c r="CL18" s="84">
        <f t="shared" ref="CL18:CL24" si="26">HLOOKUP(CL$17,CM$17:CP$24,+($B18+1),FALSE)</f>
        <v>2332.8911229882078</v>
      </c>
      <c r="CM18" s="83">
        <f t="shared" ref="CM18:CM24" si="27">CO18*379.49/(60*$D18)</f>
        <v>919.89697866042707</v>
      </c>
      <c r="CN18" s="83">
        <f>(14.7*CM18)*(460+CK$5)/((460+60)*(CK$4+14.7))</f>
        <v>713.49798319717036</v>
      </c>
      <c r="CO18" s="83">
        <f>'Input Sheet'!R10</f>
        <v>2332.8911229882078</v>
      </c>
      <c r="CP18" s="83">
        <f>CO18/$D18</f>
        <v>145.44208996185836</v>
      </c>
      <c r="CQ18" s="84">
        <f>CS18*100/CQ$7</f>
        <v>1.5298163817283097</v>
      </c>
      <c r="CR18" s="84">
        <f t="shared" ref="CR18:CR24" si="28">HLOOKUP(CR$17,CS$17:CV$24,+($B18+1),FALSE)</f>
        <v>35.078946164589524</v>
      </c>
      <c r="CS18" s="83">
        <f t="shared" ref="CS18:CS24" si="29">CU18*379.49/(60*$D18)</f>
        <v>13.832200000000082</v>
      </c>
      <c r="CT18" s="83">
        <f>(14.7*CS18)*(460+CQ$5)/((460+60)*(CQ$4+14.7))</f>
        <v>12.702107226849657</v>
      </c>
      <c r="CU18" s="83">
        <f t="shared" ref="CU18:CU24" si="30">CC18-CI18-CO18</f>
        <v>35.078946164589524</v>
      </c>
      <c r="CV18" s="83">
        <f>CU18/$D18</f>
        <v>2.186966718490619</v>
      </c>
      <c r="CW18" s="84">
        <f>CY18*100/CW$7</f>
        <v>98.243929242641002</v>
      </c>
      <c r="CX18" s="84">
        <f t="shared" ref="CX18:CX24" si="31">HLOOKUP(CX$17,CY$17:DB$24,+($B18+1),FALSE)</f>
        <v>1369.3878</v>
      </c>
      <c r="CY18" s="83">
        <f t="shared" ref="CY18:CY24" si="32">DA18*379.49/(60*$D18)</f>
        <v>1369.3878</v>
      </c>
      <c r="CZ18" s="83">
        <f>(14.7*CY18)*(460+CW$5)/((460+60)*(CW$4+14.7))</f>
        <v>120.27137146469101</v>
      </c>
      <c r="DA18" s="83">
        <f>CI18</f>
        <v>3472.815670294342</v>
      </c>
      <c r="DB18" s="83">
        <f>DA18/$D18</f>
        <v>216.50970513056996</v>
      </c>
    </row>
    <row r="19" spans="2:106" x14ac:dyDescent="0.35">
      <c r="B19" s="86">
        <v>2</v>
      </c>
      <c r="C19" s="11" t="str">
        <f>VLOOKUP(B19,'Input Sheet'!C$9:E$126,2,FALSE)</f>
        <v>Carbon Dioxide (CO2)</v>
      </c>
      <c r="D19" s="78">
        <f>VLOOKUP(B19,'Input Sheet'!C$9:E$126,3,FALSE)</f>
        <v>44.01</v>
      </c>
      <c r="E19" s="84">
        <f t="shared" ref="E19:E24" si="33">G19*100/E$7</f>
        <v>38.370951566183344</v>
      </c>
      <c r="F19" s="84">
        <f t="shared" si="0"/>
        <v>6135.9558670847719</v>
      </c>
      <c r="G19" s="83">
        <f t="shared" ref="G19:G24" si="34">I19*379.49/(60*$D19)</f>
        <v>881.82</v>
      </c>
      <c r="H19" s="83">
        <f t="shared" ref="H19:H24" si="35">(14.7*G19)*(460+E$5)/((460+60)*(E$4+14.7))</f>
        <v>939.47746153846151</v>
      </c>
      <c r="I19" s="83">
        <f>'Input Sheet'!H11</f>
        <v>6135.9558670847719</v>
      </c>
      <c r="J19" s="83">
        <f t="shared" si="1"/>
        <v>139.42185564837018</v>
      </c>
      <c r="K19" s="84">
        <f t="shared" ref="K19:K24" si="36">M19*100/K$7</f>
        <v>38.370951566183344</v>
      </c>
      <c r="L19" s="84">
        <f t="shared" si="2"/>
        <v>6135.9558670847719</v>
      </c>
      <c r="M19" s="83">
        <f t="shared" ref="M19:M24" si="37">O19*379.49/(60*$D19)</f>
        <v>881.82</v>
      </c>
      <c r="N19" s="83">
        <f t="shared" ref="N19:N24" si="38">(14.7*M19)*(460+K$5)/((460+60)*(K$4+14.7))</f>
        <v>721.27779968762206</v>
      </c>
      <c r="O19" s="83">
        <f t="shared" ref="O19:O24" si="39">I19</f>
        <v>6135.9558670847719</v>
      </c>
      <c r="P19" s="83">
        <f t="shared" si="3"/>
        <v>139.42185564837018</v>
      </c>
      <c r="Q19" s="84">
        <f t="shared" ref="Q19:Q24" si="40">S19*100/Q$7</f>
        <v>38.370951566183344</v>
      </c>
      <c r="R19" s="84">
        <f t="shared" si="4"/>
        <v>6135.9558670847719</v>
      </c>
      <c r="S19" s="83">
        <f t="shared" ref="S19:S24" si="41">U19*379.49/(60*$D19)</f>
        <v>881.82</v>
      </c>
      <c r="T19" s="83">
        <f t="shared" ref="T19:T24" si="42">(14.7*S19)*(460+Q$5)/((460+60)*(Q$4+14.7))</f>
        <v>767.02686390532551</v>
      </c>
      <c r="U19" s="83">
        <f>'Input Sheet'!H11</f>
        <v>6135.9558670847719</v>
      </c>
      <c r="V19" s="83">
        <f t="shared" si="5"/>
        <v>139.42185564837018</v>
      </c>
      <c r="W19" s="84">
        <f t="shared" ref="W19:W24" si="43">Y19*100/W$7</f>
        <v>38.37271811777002</v>
      </c>
      <c r="X19" s="84">
        <f t="shared" si="6"/>
        <v>6135.9558670847719</v>
      </c>
      <c r="Y19" s="83">
        <f t="shared" ref="Y19:Y24" si="44">AA19*379.49/(60*$D19)</f>
        <v>881.82</v>
      </c>
      <c r="Z19" s="83">
        <f>(14.7*Y19)*(460+W$5)/((460+60)*(W$4+14.7))</f>
        <v>811.6214490161002</v>
      </c>
      <c r="AA19" s="83">
        <f>'Input Sheet'!V11</f>
        <v>6135.9558670847719</v>
      </c>
      <c r="AB19" s="83">
        <f t="shared" ref="AB19:AB24" si="45">AA19/$D19</f>
        <v>139.42185564837018</v>
      </c>
      <c r="AC19" s="84">
        <f t="shared" ref="AC19:AC24" si="46">AE19*100/AC$7</f>
        <v>38.37271811777002</v>
      </c>
      <c r="AD19" s="84">
        <f t="shared" si="7"/>
        <v>881.82</v>
      </c>
      <c r="AE19" s="83">
        <f t="shared" ref="AE19:AE24" si="47">AG19*379.49/(60*$D19)</f>
        <v>881.82</v>
      </c>
      <c r="AF19" s="83">
        <f>(14.7*AE19)*(460+AC$5)/((460+60)*(AC$4+14.7))</f>
        <v>835.92149239981575</v>
      </c>
      <c r="AG19" s="83">
        <f t="shared" si="8"/>
        <v>6135.9558670847719</v>
      </c>
      <c r="AH19" s="83">
        <f t="shared" ref="AH19:AH24" si="48">AG19/$D19</f>
        <v>139.42185564837018</v>
      </c>
      <c r="AI19" s="84">
        <f t="shared" ref="AI19:AI24" si="49">AK19*100/AI$7</f>
        <v>41.450845743707355</v>
      </c>
      <c r="AJ19" s="84">
        <f t="shared" si="9"/>
        <v>1688.4606543869127</v>
      </c>
      <c r="AK19" s="83">
        <f t="shared" ref="AK19:AK24" si="50">AM19*379.49/(60*$D19)</f>
        <v>1688.4606543869127</v>
      </c>
      <c r="AL19" s="83">
        <f>(14.7*AK19)*(460+AI$5)/((460+60)*(AI$4+14.7))</f>
        <v>1582.3719233343807</v>
      </c>
      <c r="AM19" s="83">
        <f>AG19+'Input Sheet'!R11</f>
        <v>11748.792337015682</v>
      </c>
      <c r="AN19" s="83">
        <f t="shared" ref="AN19:AN24" si="51">AM19/$D19</f>
        <v>266.9573355377342</v>
      </c>
      <c r="AO19" s="84">
        <f t="shared" ref="AO19:AO24" si="52">AQ19*100/AO$7</f>
        <v>41.450845743707355</v>
      </c>
      <c r="AP19" s="84">
        <f t="shared" si="10"/>
        <v>1688.4606543869127</v>
      </c>
      <c r="AQ19" s="83">
        <f t="shared" si="11"/>
        <v>1688.4606543869127</v>
      </c>
      <c r="AR19" s="83">
        <f>(14.7*AQ19)*(460+AO$5)/((460+60)*(AO$4+14.7))</f>
        <v>157.40051508900819</v>
      </c>
      <c r="AS19" s="83">
        <f t="shared" ref="AS19:AS24" si="53">AM19</f>
        <v>11748.792337015682</v>
      </c>
      <c r="AT19" s="83">
        <f t="shared" ref="AT19:AT24" si="54">AS19/$D19</f>
        <v>266.9573355377342</v>
      </c>
      <c r="AU19" s="84">
        <f t="shared" ref="AU19:AU24" si="55">AW19*100/AU$7</f>
        <v>41.450845743707355</v>
      </c>
      <c r="AV19" s="84">
        <f t="shared" si="12"/>
        <v>1688.4606543869127</v>
      </c>
      <c r="AW19" s="83">
        <f t="shared" si="13"/>
        <v>1688.4606543869127</v>
      </c>
      <c r="AX19" s="83">
        <f>(14.7*AW19)*(460+AU$5)/((460+60)*(AU$4+14.7))</f>
        <v>152.59712760163808</v>
      </c>
      <c r="AY19" s="83">
        <f t="shared" ref="AY19:AY24" si="56">AS19</f>
        <v>11748.792337015682</v>
      </c>
      <c r="AZ19" s="83">
        <f t="shared" ref="AZ19:AZ24" si="57">AY19/$D19</f>
        <v>266.9573355377342</v>
      </c>
      <c r="BA19" s="84">
        <f t="shared" ref="BA19:BA24" si="58">BC19*100/BA$7</f>
        <v>41.450845743707355</v>
      </c>
      <c r="BB19" s="84">
        <f t="shared" si="14"/>
        <v>1688.4606543869127</v>
      </c>
      <c r="BC19" s="83">
        <f t="shared" si="15"/>
        <v>1688.4606543869127</v>
      </c>
      <c r="BD19" s="83">
        <f>(14.7*BC19)*(460+BA$5)/((460+60)*(BA$4+14.7))</f>
        <v>130.77118872227405</v>
      </c>
      <c r="BE19" s="83">
        <f t="shared" ref="BE19:BE24" si="59">AY19</f>
        <v>11748.792337015682</v>
      </c>
      <c r="BF19" s="83">
        <f t="shared" ref="BF19:BF24" si="60">BE19/$D19</f>
        <v>266.9573355377342</v>
      </c>
      <c r="BG19" s="84">
        <f t="shared" ref="BG19:BG24" si="61">BI19*100/BG$7</f>
        <v>41.450845743707355</v>
      </c>
      <c r="BH19" s="84">
        <f t="shared" si="16"/>
        <v>1688.4606543869127</v>
      </c>
      <c r="BI19" s="83">
        <f t="shared" si="17"/>
        <v>1688.4606543869127</v>
      </c>
      <c r="BJ19" s="83">
        <f>(14.7*BI19)*(460+BG$5)/((460+60)*(BG$4+14.7))</f>
        <v>130.19746676889068</v>
      </c>
      <c r="BK19" s="83">
        <f t="shared" ref="BK19:BK24" si="62">BE19</f>
        <v>11748.792337015682</v>
      </c>
      <c r="BL19" s="83">
        <f t="shared" ref="BL19:BL24" si="63">BK19/$D19</f>
        <v>266.9573355377342</v>
      </c>
      <c r="BM19" s="84">
        <f t="shared" ref="BM19:BM24" si="64">BO19*100/BM$7</f>
        <v>41.450845743707355</v>
      </c>
      <c r="BN19" s="84">
        <f t="shared" si="18"/>
        <v>1688.4606543869127</v>
      </c>
      <c r="BO19" s="83">
        <f t="shared" si="19"/>
        <v>1688.4606543869127</v>
      </c>
      <c r="BP19" s="83">
        <f>(14.7*BO19)*(460+BM$5)/((460+60)*(BM$4+14.7))</f>
        <v>114.35429775666034</v>
      </c>
      <c r="BQ19" s="83">
        <f t="shared" ref="BQ19:BQ24" si="65">BK19</f>
        <v>11748.792337015682</v>
      </c>
      <c r="BR19" s="83">
        <f t="shared" ref="BR19:BR24" si="66">BQ19/$D19</f>
        <v>266.9573355377342</v>
      </c>
      <c r="BS19" s="84">
        <f t="shared" ref="BS19:BS24" si="67">BU19*100/BS$7</f>
        <v>41.450845743707355</v>
      </c>
      <c r="BT19" s="84">
        <f t="shared" si="20"/>
        <v>1688.4606543869127</v>
      </c>
      <c r="BU19" s="83">
        <f t="shared" si="21"/>
        <v>1688.4606543869127</v>
      </c>
      <c r="BV19" s="83">
        <f>(14.7*BU19)*(460+BS$5)/((460+60)*(BS$4+14.7))</f>
        <v>117.76998926294783</v>
      </c>
      <c r="BW19" s="83">
        <f t="shared" ref="BW19:BW24" si="68">BQ19</f>
        <v>11748.792337015682</v>
      </c>
      <c r="BX19" s="83">
        <f t="shared" ref="BX19:BX24" si="69">BW19/$D19</f>
        <v>266.9573355377342</v>
      </c>
      <c r="BY19" s="84">
        <f t="shared" ref="BY19:BY24" si="70">CA19*100/BY$7</f>
        <v>41.450845743707355</v>
      </c>
      <c r="BZ19" s="84">
        <f t="shared" si="22"/>
        <v>1688.4606543869127</v>
      </c>
      <c r="CA19" s="83">
        <f t="shared" si="23"/>
        <v>1688.4606543869127</v>
      </c>
      <c r="CB19" s="83">
        <f>(14.7*CA19)*(460+BY$5)/((460+60)*(BY$4+14.7))</f>
        <v>118.9206486597524</v>
      </c>
      <c r="CC19" s="83">
        <f t="shared" ref="CC19:CC24" si="71">BW19</f>
        <v>11748.792337015682</v>
      </c>
      <c r="CD19" s="83">
        <f t="shared" ref="CD19:CD24" si="72">CC19/$D19</f>
        <v>266.9573355377342</v>
      </c>
      <c r="CE19" s="84">
        <f t="shared" ref="CE19:CE24" si="73">CG19*100/CE$7</f>
        <v>0.15006586543830169</v>
      </c>
      <c r="CF19" s="84">
        <f t="shared" si="24"/>
        <v>14.554756047922748</v>
      </c>
      <c r="CG19" s="83">
        <f t="shared" si="25"/>
        <v>2.0917156603143998</v>
      </c>
      <c r="CH19" s="83">
        <f>(14.7*CG19)*(460+CE$5)/((460+60)*(CE$4+14.7))</f>
        <v>0.18371239409332013</v>
      </c>
      <c r="CI19" s="83">
        <f>'Input Sheet'!M11</f>
        <v>14.554756047922748</v>
      </c>
      <c r="CJ19" s="83">
        <f t="shared" ref="CJ19:CJ24" si="74">CI19/$D19</f>
        <v>0.3307147477373949</v>
      </c>
      <c r="CK19" s="84">
        <f t="shared" ref="CK19:CK24" si="75">CM19*100/CK$7</f>
        <v>45.435183870509718</v>
      </c>
      <c r="CL19" s="84">
        <f t="shared" si="26"/>
        <v>5612.8364699309095</v>
      </c>
      <c r="CM19" s="83">
        <f t="shared" si="27"/>
        <v>806.64065438691239</v>
      </c>
      <c r="CN19" s="83">
        <f>(14.7*CM19)*(460+CK$5)/((460+60)*(CK$4+14.7))</f>
        <v>625.65319097798954</v>
      </c>
      <c r="CO19" s="83">
        <f>'Input Sheet'!R11</f>
        <v>5612.8364699309095</v>
      </c>
      <c r="CP19" s="83">
        <f t="shared" ref="CP19:CP24" si="76">CO19/$D19</f>
        <v>127.535479889364</v>
      </c>
      <c r="CQ19" s="84">
        <f t="shared" ref="CQ19:CQ24" si="77">CS19*100/CQ$7</f>
        <v>97.296362173232296</v>
      </c>
      <c r="CR19" s="84">
        <f t="shared" si="28"/>
        <v>6121.4011110368501</v>
      </c>
      <c r="CS19" s="83">
        <f t="shared" si="29"/>
        <v>879.72828433968584</v>
      </c>
      <c r="CT19" s="83">
        <f>(14.7*CS19)*(460+CQ$5)/((460+60)*(CQ$4+14.7))</f>
        <v>807.85435420071337</v>
      </c>
      <c r="CU19" s="83">
        <f t="shared" si="30"/>
        <v>6121.4011110368501</v>
      </c>
      <c r="CV19" s="83">
        <f t="shared" ref="CV19:CV24" si="78">CU19/$D19</f>
        <v>139.09114090063281</v>
      </c>
      <c r="CW19" s="84">
        <f t="shared" ref="CW19:CW24" si="79">CY19*100/CW$7</f>
        <v>0.15006586543830169</v>
      </c>
      <c r="CX19" s="84">
        <f t="shared" si="31"/>
        <v>2.0917156603143998</v>
      </c>
      <c r="CY19" s="83">
        <f t="shared" si="32"/>
        <v>2.0917156603143998</v>
      </c>
      <c r="CZ19" s="83">
        <f>(14.7*CY19)*(460+CW$5)/((460+60)*(CW$4+14.7))</f>
        <v>0.18371239409332013</v>
      </c>
      <c r="DA19" s="83">
        <f t="shared" ref="DA19:DA24" si="80">CI19</f>
        <v>14.554756047922748</v>
      </c>
      <c r="DB19" s="83">
        <f t="shared" ref="DB19:DB24" si="81">DA19/$D19</f>
        <v>0.3307147477373949</v>
      </c>
    </row>
    <row r="20" spans="2:106" x14ac:dyDescent="0.35">
      <c r="B20" s="86">
        <v>3</v>
      </c>
      <c r="C20" s="11" t="str">
        <f>VLOOKUP(B20,'Input Sheet'!C$9:E$126,2,FALSE)</f>
        <v>Nitrogen (N2)</v>
      </c>
      <c r="D20" s="78">
        <f>VLOOKUP(B20,'Input Sheet'!C$9:E$126,3,FALSE)</f>
        <v>28.013999999999999</v>
      </c>
      <c r="E20" s="84">
        <f t="shared" si="33"/>
        <v>0.9407588542569727</v>
      </c>
      <c r="F20" s="84">
        <f t="shared" si="0"/>
        <v>95.759468760705147</v>
      </c>
      <c r="G20" s="83">
        <f t="shared" si="34"/>
        <v>21.619999999999997</v>
      </c>
      <c r="H20" s="83">
        <f t="shared" si="35"/>
        <v>23.033615384615381</v>
      </c>
      <c r="I20" s="83">
        <f>'Input Sheet'!H12</f>
        <v>95.759468760705147</v>
      </c>
      <c r="J20" s="83">
        <f t="shared" si="1"/>
        <v>3.4182718912224299</v>
      </c>
      <c r="K20" s="84">
        <f t="shared" si="36"/>
        <v>0.9407588542569727</v>
      </c>
      <c r="L20" s="84">
        <f t="shared" si="2"/>
        <v>95.759468760705147</v>
      </c>
      <c r="M20" s="83">
        <f t="shared" si="37"/>
        <v>21.619999999999997</v>
      </c>
      <c r="N20" s="83">
        <f t="shared" si="38"/>
        <v>17.683910581803982</v>
      </c>
      <c r="O20" s="83">
        <f t="shared" si="39"/>
        <v>95.759468760705147</v>
      </c>
      <c r="P20" s="83">
        <f t="shared" si="3"/>
        <v>3.4182718912224299</v>
      </c>
      <c r="Q20" s="84">
        <f t="shared" si="40"/>
        <v>0.9407588542569727</v>
      </c>
      <c r="R20" s="84">
        <f t="shared" si="4"/>
        <v>95.759468760705147</v>
      </c>
      <c r="S20" s="83">
        <f t="shared" si="41"/>
        <v>21.619999999999997</v>
      </c>
      <c r="T20" s="83">
        <f t="shared" si="42"/>
        <v>18.80556213017751</v>
      </c>
      <c r="U20" s="83">
        <f>'Input Sheet'!H12</f>
        <v>95.759468760705147</v>
      </c>
      <c r="V20" s="83">
        <f t="shared" si="5"/>
        <v>3.4182718912224299</v>
      </c>
      <c r="W20" s="84">
        <f t="shared" si="43"/>
        <v>0.94080216564172703</v>
      </c>
      <c r="X20" s="84">
        <f t="shared" si="6"/>
        <v>95.759468760705147</v>
      </c>
      <c r="Y20" s="83">
        <f t="shared" si="44"/>
        <v>21.619999999999997</v>
      </c>
      <c r="Z20" s="79">
        <f t="shared" ref="Z20:Z24" si="82">(14.7*Y20)*(460+W$5)/((460+60)*(W$4+14.7))</f>
        <v>19.898908765652948</v>
      </c>
      <c r="AA20" s="83">
        <f>'Input Sheet'!V12</f>
        <v>95.759468760705147</v>
      </c>
      <c r="AB20" s="83">
        <f t="shared" si="45"/>
        <v>3.4182718912224299</v>
      </c>
      <c r="AC20" s="84">
        <f t="shared" si="46"/>
        <v>0.94080216564172703</v>
      </c>
      <c r="AD20" s="84">
        <f t="shared" si="7"/>
        <v>21.619999999999997</v>
      </c>
      <c r="AE20" s="83">
        <f t="shared" si="47"/>
        <v>21.619999999999997</v>
      </c>
      <c r="AF20" s="79">
        <f t="shared" ref="AF20:AF24" si="83">(14.7*AE20)*(460+AC$5)/((460+60)*(AC$4+14.7))</f>
        <v>20.494684477199442</v>
      </c>
      <c r="AG20" s="83">
        <f t="shared" si="8"/>
        <v>95.759468760705147</v>
      </c>
      <c r="AH20" s="83">
        <f t="shared" si="48"/>
        <v>3.4182718912224299</v>
      </c>
      <c r="AI20" s="84">
        <f t="shared" si="49"/>
        <v>1.0624322840507987</v>
      </c>
      <c r="AJ20" s="84">
        <f t="shared" si="9"/>
        <v>43.277165456690874</v>
      </c>
      <c r="AK20" s="83">
        <f t="shared" si="50"/>
        <v>43.277165456690874</v>
      </c>
      <c r="AL20" s="79">
        <f t="shared" ref="AL20:AL24" si="84">(14.7*AK20)*(460+AI$5)/((460+60)*(AI$4+14.7))</f>
        <v>40.557990713162191</v>
      </c>
      <c r="AM20" s="83">
        <f>AG20+'Input Sheet'!R12</f>
        <v>191.68355104541433</v>
      </c>
      <c r="AN20" s="83">
        <f t="shared" si="51"/>
        <v>6.8424198988153897</v>
      </c>
      <c r="AO20" s="84">
        <f t="shared" si="52"/>
        <v>1.0624322840507987</v>
      </c>
      <c r="AP20" s="84">
        <f t="shared" si="10"/>
        <v>43.277165456690874</v>
      </c>
      <c r="AQ20" s="83">
        <f t="shared" si="11"/>
        <v>43.277165456690874</v>
      </c>
      <c r="AR20" s="79">
        <f t="shared" ref="AR20:AR24" si="85">(14.7*AQ20)*(460+AO$5)/((460+60)*(AO$4+14.7))</f>
        <v>4.034354082682956</v>
      </c>
      <c r="AS20" s="83">
        <f t="shared" si="53"/>
        <v>191.68355104541433</v>
      </c>
      <c r="AT20" s="83">
        <f t="shared" si="54"/>
        <v>6.8424198988153897</v>
      </c>
      <c r="AU20" s="84">
        <f t="shared" si="55"/>
        <v>1.0624322840507987</v>
      </c>
      <c r="AV20" s="84">
        <f t="shared" si="12"/>
        <v>43.277165456690874</v>
      </c>
      <c r="AW20" s="83">
        <f t="shared" si="13"/>
        <v>43.277165456690874</v>
      </c>
      <c r="AX20" s="79">
        <f t="shared" ref="AX20:AX24" si="86">(14.7*AW20)*(460+AU$5)/((460+60)*(AU$4+14.7))</f>
        <v>3.9112378024762391</v>
      </c>
      <c r="AY20" s="83">
        <f t="shared" si="56"/>
        <v>191.68355104541433</v>
      </c>
      <c r="AZ20" s="83">
        <f t="shared" si="57"/>
        <v>6.8424198988153897</v>
      </c>
      <c r="BA20" s="84">
        <f t="shared" si="58"/>
        <v>1.0624322840507987</v>
      </c>
      <c r="BB20" s="84">
        <f t="shared" si="14"/>
        <v>43.277165456690874</v>
      </c>
      <c r="BC20" s="83">
        <f t="shared" si="15"/>
        <v>43.277165456690874</v>
      </c>
      <c r="BD20" s="79">
        <f t="shared" ref="BD20:BD24" si="87">(14.7*BC20)*(460+BA$5)/((460+60)*(BA$4+14.7))</f>
        <v>3.3518141844750042</v>
      </c>
      <c r="BE20" s="83">
        <f t="shared" si="59"/>
        <v>191.68355104541433</v>
      </c>
      <c r="BF20" s="83">
        <f t="shared" si="60"/>
        <v>6.8424198988153897</v>
      </c>
      <c r="BG20" s="84">
        <f t="shared" si="61"/>
        <v>1.0624322840507987</v>
      </c>
      <c r="BH20" s="84">
        <f t="shared" si="16"/>
        <v>43.277165456690874</v>
      </c>
      <c r="BI20" s="83">
        <f t="shared" si="17"/>
        <v>43.277165456690874</v>
      </c>
      <c r="BJ20" s="79">
        <f t="shared" ref="BJ20:BJ24" si="88">(14.7*BI20)*(460+BG$5)/((460+60)*(BG$4+14.7))</f>
        <v>3.3371090387920432</v>
      </c>
      <c r="BK20" s="83">
        <f t="shared" si="62"/>
        <v>191.68355104541433</v>
      </c>
      <c r="BL20" s="83">
        <f t="shared" si="63"/>
        <v>6.8424198988153897</v>
      </c>
      <c r="BM20" s="84">
        <f t="shared" si="64"/>
        <v>1.0624322840507987</v>
      </c>
      <c r="BN20" s="84">
        <f t="shared" si="18"/>
        <v>43.277165456690874</v>
      </c>
      <c r="BO20" s="83">
        <f t="shared" si="19"/>
        <v>43.277165456690874</v>
      </c>
      <c r="BP20" s="79">
        <f t="shared" ref="BP20:BP24" si="89">(14.7*BO20)*(460+BM$5)/((460+60)*(BM$4+14.7))</f>
        <v>2.9310306117234703</v>
      </c>
      <c r="BQ20" s="83">
        <f t="shared" si="65"/>
        <v>191.68355104541433</v>
      </c>
      <c r="BR20" s="83">
        <f t="shared" si="66"/>
        <v>6.8424198988153897</v>
      </c>
      <c r="BS20" s="84">
        <f t="shared" si="67"/>
        <v>1.0624322840507987</v>
      </c>
      <c r="BT20" s="84">
        <f t="shared" si="20"/>
        <v>43.277165456690874</v>
      </c>
      <c r="BU20" s="83">
        <f t="shared" si="21"/>
        <v>43.277165456690874</v>
      </c>
      <c r="BV20" s="79">
        <f t="shared" ref="BV20:BV24" si="90">(14.7*BU20)*(460+BS$5)/((460+60)*(BS$4+14.7))</f>
        <v>3.0185786668602903</v>
      </c>
      <c r="BW20" s="83">
        <f t="shared" si="68"/>
        <v>191.68355104541433</v>
      </c>
      <c r="BX20" s="83">
        <f t="shared" si="69"/>
        <v>6.8424198988153897</v>
      </c>
      <c r="BY20" s="84">
        <f t="shared" si="70"/>
        <v>1.0624322840507987</v>
      </c>
      <c r="BZ20" s="84">
        <f t="shared" si="22"/>
        <v>43.277165456690874</v>
      </c>
      <c r="CA20" s="83">
        <f t="shared" si="23"/>
        <v>43.277165456690874</v>
      </c>
      <c r="CB20" s="79">
        <f t="shared" ref="CB20:CB24" si="91">(14.7*CA20)*(460+BY$5)/((460+60)*(BY$4+14.7))</f>
        <v>3.0480713748901906</v>
      </c>
      <c r="CC20" s="83">
        <f t="shared" si="71"/>
        <v>191.68355104541433</v>
      </c>
      <c r="CD20" s="83">
        <f t="shared" si="72"/>
        <v>6.8424198988153897</v>
      </c>
      <c r="CE20" s="84">
        <f t="shared" si="73"/>
        <v>1.4906542633537971</v>
      </c>
      <c r="CF20" s="84">
        <f t="shared" si="24"/>
        <v>92.028786568279443</v>
      </c>
      <c r="CG20" s="83">
        <f t="shared" si="25"/>
        <v>20.777708892456374</v>
      </c>
      <c r="CH20" s="79">
        <f t="shared" ref="CH20:CH24" si="92">(14.7*CG20)*(460+CE$5)/((460+60)*(CE$4+14.7))</f>
        <v>1.8248764479936472</v>
      </c>
      <c r="CI20" s="83">
        <f>'Input Sheet'!M12</f>
        <v>92.028786568279443</v>
      </c>
      <c r="CJ20" s="83">
        <f t="shared" si="74"/>
        <v>3.2850998275247894</v>
      </c>
      <c r="CK20" s="84">
        <f t="shared" si="75"/>
        <v>1.2198706937064672</v>
      </c>
      <c r="CL20" s="84">
        <f t="shared" si="26"/>
        <v>95.924082284709172</v>
      </c>
      <c r="CM20" s="83">
        <f t="shared" si="27"/>
        <v>21.657165456690873</v>
      </c>
      <c r="CN20" s="79">
        <f t="shared" ref="CN20:CN24" si="93">(14.7*CM20)*(460+CK$5)/((460+60)*(CK$4+14.7))</f>
        <v>16.797906976081588</v>
      </c>
      <c r="CO20" s="83">
        <f>'Input Sheet'!R12</f>
        <v>95.924082284709172</v>
      </c>
      <c r="CP20" s="83">
        <f t="shared" si="76"/>
        <v>3.4241480075929598</v>
      </c>
      <c r="CQ20" s="84">
        <f t="shared" si="77"/>
        <v>9.3155877915611376E-2</v>
      </c>
      <c r="CR20" s="84">
        <f t="shared" si="28"/>
        <v>3.7306821924257179</v>
      </c>
      <c r="CS20" s="83">
        <f t="shared" si="29"/>
        <v>0.84229110754363046</v>
      </c>
      <c r="CT20" s="79">
        <f t="shared" ref="CT20:CT24" si="94">(14.7*CS20)*(460+CQ$5)/((460+60)*(CQ$4+14.7))</f>
        <v>0.77347580025166551</v>
      </c>
      <c r="CU20" s="83">
        <f t="shared" si="30"/>
        <v>3.7306821924257179</v>
      </c>
      <c r="CV20" s="83">
        <f t="shared" si="78"/>
        <v>0.13317206369764112</v>
      </c>
      <c r="CW20" s="84">
        <f t="shared" si="79"/>
        <v>1.4906542633537971</v>
      </c>
      <c r="CX20" s="84">
        <f t="shared" si="31"/>
        <v>20.777708892456374</v>
      </c>
      <c r="CY20" s="83">
        <f t="shared" si="32"/>
        <v>20.777708892456374</v>
      </c>
      <c r="CZ20" s="79">
        <f t="shared" ref="CZ20:CZ24" si="95">(14.7*CY20)*(460+CW$5)/((460+60)*(CW$4+14.7))</f>
        <v>1.8248764479936472</v>
      </c>
      <c r="DA20" s="83">
        <f t="shared" si="80"/>
        <v>92.028786568279443</v>
      </c>
      <c r="DB20" s="83">
        <f t="shared" si="81"/>
        <v>3.2850998275247894</v>
      </c>
    </row>
    <row r="21" spans="2:106" x14ac:dyDescent="0.35">
      <c r="B21" s="86">
        <v>4</v>
      </c>
      <c r="C21" s="11" t="str">
        <f>VLOOKUP(B21,'Input Sheet'!C$9:E$126,2,FALSE)</f>
        <v>Oxygen (O2)</v>
      </c>
      <c r="D21" s="78">
        <f>VLOOKUP(B21,'Input Sheet'!C$9:E$126,3,FALSE)</f>
        <v>32</v>
      </c>
      <c r="E21" s="84">
        <f t="shared" si="33"/>
        <v>0.46037135421085906</v>
      </c>
      <c r="F21" s="84">
        <f t="shared" si="0"/>
        <v>53.528683232759754</v>
      </c>
      <c r="G21" s="83">
        <f t="shared" si="34"/>
        <v>10.58</v>
      </c>
      <c r="H21" s="83">
        <f t="shared" si="35"/>
        <v>11.27176923076923</v>
      </c>
      <c r="I21" s="83">
        <f>'Input Sheet'!H13</f>
        <v>53.528683232759754</v>
      </c>
      <c r="J21" s="83">
        <f t="shared" si="1"/>
        <v>1.6727713510237423</v>
      </c>
      <c r="K21" s="84">
        <f t="shared" si="36"/>
        <v>0.46037135421085906</v>
      </c>
      <c r="L21" s="84">
        <f t="shared" si="2"/>
        <v>53.528683232759754</v>
      </c>
      <c r="M21" s="83">
        <f t="shared" si="37"/>
        <v>10.58</v>
      </c>
      <c r="N21" s="83">
        <f t="shared" si="38"/>
        <v>8.6538285825849268</v>
      </c>
      <c r="O21" s="83">
        <f t="shared" si="39"/>
        <v>53.528683232759754</v>
      </c>
      <c r="P21" s="83">
        <f t="shared" si="3"/>
        <v>1.6727713510237423</v>
      </c>
      <c r="Q21" s="84">
        <f t="shared" si="40"/>
        <v>0.46037135421085906</v>
      </c>
      <c r="R21" s="84">
        <f t="shared" si="4"/>
        <v>53.528683232759754</v>
      </c>
      <c r="S21" s="83">
        <f t="shared" si="41"/>
        <v>10.58</v>
      </c>
      <c r="T21" s="83">
        <f t="shared" si="42"/>
        <v>9.2027218934911232</v>
      </c>
      <c r="U21" s="83">
        <f>'Input Sheet'!H13</f>
        <v>53.528683232759754</v>
      </c>
      <c r="V21" s="83">
        <f t="shared" si="5"/>
        <v>1.6727713510237423</v>
      </c>
      <c r="W21" s="84">
        <f t="shared" si="43"/>
        <v>0.46039254914382399</v>
      </c>
      <c r="X21" s="84">
        <f t="shared" si="6"/>
        <v>53.528683232759754</v>
      </c>
      <c r="Y21" s="83">
        <f t="shared" si="44"/>
        <v>10.58</v>
      </c>
      <c r="Z21" s="79">
        <f t="shared" si="82"/>
        <v>9.7377638640429325</v>
      </c>
      <c r="AA21" s="83">
        <f>'Input Sheet'!V13</f>
        <v>53.528683232759754</v>
      </c>
      <c r="AB21" s="83">
        <f t="shared" si="45"/>
        <v>1.6727713510237423</v>
      </c>
      <c r="AC21" s="84">
        <f t="shared" si="46"/>
        <v>0.46039254914382399</v>
      </c>
      <c r="AD21" s="84">
        <f t="shared" si="7"/>
        <v>10.58</v>
      </c>
      <c r="AE21" s="83">
        <f t="shared" si="47"/>
        <v>10.58</v>
      </c>
      <c r="AF21" s="79">
        <f t="shared" si="83"/>
        <v>10.029313680331642</v>
      </c>
      <c r="AG21" s="83">
        <f t="shared" si="8"/>
        <v>53.528683232759754</v>
      </c>
      <c r="AH21" s="83">
        <f t="shared" si="48"/>
        <v>1.6727713510237423</v>
      </c>
      <c r="AI21" s="84">
        <f t="shared" si="49"/>
        <v>0.89599720858423881</v>
      </c>
      <c r="AJ21" s="84">
        <f t="shared" si="9"/>
        <v>36.49759144817105</v>
      </c>
      <c r="AK21" s="83">
        <f t="shared" si="50"/>
        <v>36.49759144817105</v>
      </c>
      <c r="AL21" s="79">
        <f t="shared" si="84"/>
        <v>34.204388374027673</v>
      </c>
      <c r="AM21" s="83">
        <f>AG21+'Input Sheet'!R13</f>
        <v>184.65671185140164</v>
      </c>
      <c r="AN21" s="83">
        <f t="shared" si="51"/>
        <v>5.7705222453563012</v>
      </c>
      <c r="AO21" s="84">
        <f t="shared" si="52"/>
        <v>0.89599720858423881</v>
      </c>
      <c r="AP21" s="84">
        <f t="shared" si="10"/>
        <v>36.49759144817105</v>
      </c>
      <c r="AQ21" s="83">
        <f t="shared" si="11"/>
        <v>36.49759144817105</v>
      </c>
      <c r="AR21" s="79">
        <f t="shared" si="85"/>
        <v>3.4023533083370801</v>
      </c>
      <c r="AS21" s="83">
        <f t="shared" si="53"/>
        <v>184.65671185140164</v>
      </c>
      <c r="AT21" s="83">
        <f t="shared" si="54"/>
        <v>5.7705222453563012</v>
      </c>
      <c r="AU21" s="84">
        <f t="shared" si="55"/>
        <v>0.89599720858423881</v>
      </c>
      <c r="AV21" s="84">
        <f t="shared" si="12"/>
        <v>36.49759144817105</v>
      </c>
      <c r="AW21" s="83">
        <f t="shared" si="13"/>
        <v>36.49759144817105</v>
      </c>
      <c r="AX21" s="79">
        <f t="shared" si="86"/>
        <v>3.2985237795732321</v>
      </c>
      <c r="AY21" s="83">
        <f t="shared" si="56"/>
        <v>184.65671185140164</v>
      </c>
      <c r="AZ21" s="83">
        <f t="shared" si="57"/>
        <v>5.7705222453563012</v>
      </c>
      <c r="BA21" s="84">
        <f t="shared" si="58"/>
        <v>0.89599720858423881</v>
      </c>
      <c r="BB21" s="84">
        <f t="shared" si="14"/>
        <v>36.49759144817105</v>
      </c>
      <c r="BC21" s="83">
        <f t="shared" si="15"/>
        <v>36.49759144817105</v>
      </c>
      <c r="BD21" s="79">
        <f t="shared" si="87"/>
        <v>2.8267365347108235</v>
      </c>
      <c r="BE21" s="83">
        <f t="shared" si="59"/>
        <v>184.65671185140164</v>
      </c>
      <c r="BF21" s="83">
        <f t="shared" si="60"/>
        <v>5.7705222453563012</v>
      </c>
      <c r="BG21" s="84">
        <f t="shared" si="61"/>
        <v>0.89599720858423881</v>
      </c>
      <c r="BH21" s="84">
        <f t="shared" si="16"/>
        <v>36.49759144817105</v>
      </c>
      <c r="BI21" s="83">
        <f t="shared" si="17"/>
        <v>36.49759144817105</v>
      </c>
      <c r="BJ21" s="79">
        <f t="shared" si="88"/>
        <v>2.8143350201093265</v>
      </c>
      <c r="BK21" s="83">
        <f t="shared" si="62"/>
        <v>184.65671185140164</v>
      </c>
      <c r="BL21" s="83">
        <f t="shared" si="63"/>
        <v>5.7705222453563012</v>
      </c>
      <c r="BM21" s="84">
        <f t="shared" si="64"/>
        <v>0.89599720858423881</v>
      </c>
      <c r="BN21" s="84">
        <f t="shared" si="18"/>
        <v>36.49759144817105</v>
      </c>
      <c r="BO21" s="83">
        <f t="shared" si="19"/>
        <v>36.49759144817105</v>
      </c>
      <c r="BP21" s="79">
        <f t="shared" si="89"/>
        <v>2.4718707119536432</v>
      </c>
      <c r="BQ21" s="83">
        <f t="shared" si="65"/>
        <v>184.65671185140164</v>
      </c>
      <c r="BR21" s="83">
        <f t="shared" si="66"/>
        <v>5.7705222453563012</v>
      </c>
      <c r="BS21" s="84">
        <f t="shared" si="67"/>
        <v>0.89599720858423881</v>
      </c>
      <c r="BT21" s="84">
        <f t="shared" si="20"/>
        <v>36.49759144817105</v>
      </c>
      <c r="BU21" s="83">
        <f t="shared" si="21"/>
        <v>36.49759144817105</v>
      </c>
      <c r="BV21" s="79">
        <f t="shared" si="90"/>
        <v>2.545703947442767</v>
      </c>
      <c r="BW21" s="83">
        <f t="shared" si="68"/>
        <v>184.65671185140164</v>
      </c>
      <c r="BX21" s="83">
        <f t="shared" si="69"/>
        <v>5.7705222453563012</v>
      </c>
      <c r="BY21" s="84">
        <f t="shared" si="70"/>
        <v>0.89599720858423881</v>
      </c>
      <c r="BZ21" s="84">
        <f t="shared" si="22"/>
        <v>36.49759144817105</v>
      </c>
      <c r="CA21" s="83">
        <f t="shared" si="23"/>
        <v>36.49759144817105</v>
      </c>
      <c r="CB21" s="79">
        <f t="shared" si="91"/>
        <v>2.5705764823469464</v>
      </c>
      <c r="CC21" s="83">
        <f t="shared" si="71"/>
        <v>184.65671185140164</v>
      </c>
      <c r="CD21" s="83">
        <f t="shared" si="72"/>
        <v>5.7705222453563012</v>
      </c>
      <c r="CE21" s="84">
        <f t="shared" si="73"/>
        <v>0.10004391029220111</v>
      </c>
      <c r="CF21" s="84">
        <f t="shared" si="24"/>
        <v>7.05524795173109</v>
      </c>
      <c r="CG21" s="83">
        <f t="shared" si="25"/>
        <v>1.3944771068762662</v>
      </c>
      <c r="CH21" s="79">
        <f t="shared" si="92"/>
        <v>0.12247492939554674</v>
      </c>
      <c r="CI21" s="83">
        <f>'Input Sheet'!M13</f>
        <v>7.05524795173109</v>
      </c>
      <c r="CJ21" s="83">
        <f t="shared" si="74"/>
        <v>0.22047649849159656</v>
      </c>
      <c r="CK21" s="84">
        <f t="shared" si="75"/>
        <v>1.4598452564028215</v>
      </c>
      <c r="CL21" s="84">
        <f t="shared" si="26"/>
        <v>131.12802861864188</v>
      </c>
      <c r="CM21" s="83">
        <f t="shared" si="27"/>
        <v>25.917591448171045</v>
      </c>
      <c r="CN21" s="79">
        <f t="shared" si="93"/>
        <v>20.102413266458296</v>
      </c>
      <c r="CO21" s="83">
        <f>'Input Sheet'!R13</f>
        <v>131.12802861864188</v>
      </c>
      <c r="CP21" s="83">
        <f t="shared" si="76"/>
        <v>4.0977508943325587</v>
      </c>
      <c r="CQ21" s="84">
        <f t="shared" si="77"/>
        <v>1.015902271268563</v>
      </c>
      <c r="CR21" s="84">
        <f t="shared" si="28"/>
        <v>46.473435281028657</v>
      </c>
      <c r="CS21" s="83">
        <f t="shared" si="29"/>
        <v>9.185522893123732</v>
      </c>
      <c r="CT21" s="79">
        <f t="shared" si="94"/>
        <v>8.4350643226051716</v>
      </c>
      <c r="CU21" s="83">
        <f t="shared" si="30"/>
        <v>46.473435281028657</v>
      </c>
      <c r="CV21" s="83">
        <f t="shared" si="78"/>
        <v>1.4522948525321455</v>
      </c>
      <c r="CW21" s="84">
        <f t="shared" si="79"/>
        <v>0.10004391029220111</v>
      </c>
      <c r="CX21" s="84">
        <f t="shared" si="31"/>
        <v>1.3944771068762662</v>
      </c>
      <c r="CY21" s="83">
        <f t="shared" si="32"/>
        <v>1.3944771068762662</v>
      </c>
      <c r="CZ21" s="79">
        <f t="shared" si="95"/>
        <v>0.12247492939554674</v>
      </c>
      <c r="DA21" s="83">
        <f t="shared" si="80"/>
        <v>7.05524795173109</v>
      </c>
      <c r="DB21" s="83">
        <f t="shared" si="81"/>
        <v>0.22047649849159656</v>
      </c>
    </row>
    <row r="22" spans="2:106" x14ac:dyDescent="0.35">
      <c r="B22" s="86">
        <v>5</v>
      </c>
      <c r="C22" s="11" t="str">
        <f>VLOOKUP(B22,'Input Sheet'!C$9:E$126,2,FALSE)</f>
        <v>Hydrogen Sulfide (H2S)</v>
      </c>
      <c r="D22" s="78">
        <f>VLOOKUP(B22,'Input Sheet'!C$9:E$126,3,FALSE)</f>
        <v>34.08</v>
      </c>
      <c r="E22" s="84">
        <f t="shared" si="33"/>
        <v>5.0040364588136857E-3</v>
      </c>
      <c r="F22" s="84">
        <f t="shared" si="0"/>
        <v>0.61965269177053406</v>
      </c>
      <c r="G22" s="83">
        <f t="shared" si="34"/>
        <v>0.11499999999999999</v>
      </c>
      <c r="H22" s="83">
        <f t="shared" si="35"/>
        <v>0.12251923076923076</v>
      </c>
      <c r="I22" s="83">
        <f>'Input Sheet'!H14</f>
        <v>0.61965269177053406</v>
      </c>
      <c r="J22" s="83">
        <f t="shared" si="1"/>
        <v>1.818229729373633E-2</v>
      </c>
      <c r="K22" s="84">
        <f t="shared" si="36"/>
        <v>5.0040364588136857E-3</v>
      </c>
      <c r="L22" s="84">
        <f t="shared" si="2"/>
        <v>0.61965269177053406</v>
      </c>
      <c r="M22" s="83">
        <f t="shared" si="37"/>
        <v>0.11499999999999999</v>
      </c>
      <c r="N22" s="83">
        <f t="shared" si="38"/>
        <v>9.4063354158531814E-2</v>
      </c>
      <c r="O22" s="83">
        <f t="shared" si="39"/>
        <v>0.61965269177053406</v>
      </c>
      <c r="P22" s="83">
        <f t="shared" si="3"/>
        <v>1.818229729373633E-2</v>
      </c>
      <c r="Q22" s="84">
        <f t="shared" si="40"/>
        <v>5.0040364588136857E-3</v>
      </c>
      <c r="R22" s="84">
        <f t="shared" si="4"/>
        <v>0.61965269177053406</v>
      </c>
      <c r="S22" s="83">
        <f t="shared" si="41"/>
        <v>0.11499999999999999</v>
      </c>
      <c r="T22" s="83">
        <f t="shared" si="42"/>
        <v>0.10002958579881656</v>
      </c>
      <c r="U22" s="83">
        <f>'Input Sheet'!H14</f>
        <v>0.61965269177053406</v>
      </c>
      <c r="V22" s="83">
        <f t="shared" si="5"/>
        <v>1.818229729373633E-2</v>
      </c>
      <c r="W22" s="84">
        <f t="shared" si="43"/>
        <v>4.0038938804323575E-4</v>
      </c>
      <c r="X22" s="84">
        <f t="shared" si="6"/>
        <v>4.9578164007483709E-2</v>
      </c>
      <c r="Y22" s="83">
        <f t="shared" si="44"/>
        <v>9.2011039999999981E-3</v>
      </c>
      <c r="Z22" s="79">
        <f t="shared" si="82"/>
        <v>8.4686368658318401E-3</v>
      </c>
      <c r="AA22" s="83">
        <f>'Input Sheet'!V14</f>
        <v>4.9578164007483709E-2</v>
      </c>
      <c r="AB22" s="83">
        <f t="shared" si="45"/>
        <v>1.4547583335529257E-3</v>
      </c>
      <c r="AC22" s="84">
        <f t="shared" si="46"/>
        <v>4.0038938804323575E-4</v>
      </c>
      <c r="AD22" s="84">
        <f t="shared" si="7"/>
        <v>9.2011039999999981E-3</v>
      </c>
      <c r="AE22" s="83">
        <f t="shared" si="47"/>
        <v>9.2011039999999981E-3</v>
      </c>
      <c r="AF22" s="79">
        <f t="shared" si="83"/>
        <v>8.7221888678028544E-3</v>
      </c>
      <c r="AG22" s="83">
        <f t="shared" si="8"/>
        <v>4.9578164007483709E-2</v>
      </c>
      <c r="AH22" s="83">
        <f t="shared" si="48"/>
        <v>1.4547583335529257E-3</v>
      </c>
      <c r="AI22" s="84">
        <f t="shared" si="49"/>
        <v>4.8736059787719377E-4</v>
      </c>
      <c r="AJ22" s="84">
        <f t="shared" si="9"/>
        <v>1.9852168978700423E-2</v>
      </c>
      <c r="AK22" s="83">
        <f t="shared" si="50"/>
        <v>1.9852168978700423E-2</v>
      </c>
      <c r="AL22" s="79">
        <f t="shared" si="84"/>
        <v>1.8604824890392072E-2</v>
      </c>
      <c r="AM22" s="83">
        <f>AG22+'Input Sheet'!R14</f>
        <v>0.1069691299576975</v>
      </c>
      <c r="AN22" s="83">
        <f t="shared" si="51"/>
        <v>3.1387655504019219E-3</v>
      </c>
      <c r="AO22" s="84">
        <f t="shared" si="52"/>
        <v>4.8736059787719377E-4</v>
      </c>
      <c r="AP22" s="84">
        <f t="shared" si="10"/>
        <v>1.9852168978700423E-2</v>
      </c>
      <c r="AQ22" s="83">
        <f t="shared" si="11"/>
        <v>1.9852168978700423E-2</v>
      </c>
      <c r="AR22" s="79">
        <f t="shared" si="85"/>
        <v>1.8506452103357325E-3</v>
      </c>
      <c r="AS22" s="83">
        <f t="shared" si="53"/>
        <v>0.1069691299576975</v>
      </c>
      <c r="AT22" s="83">
        <f t="shared" si="54"/>
        <v>3.1387655504019219E-3</v>
      </c>
      <c r="AU22" s="84">
        <f t="shared" si="55"/>
        <v>4.8736059787719377E-4</v>
      </c>
      <c r="AV22" s="84">
        <f t="shared" si="12"/>
        <v>1.9852168978700423E-2</v>
      </c>
      <c r="AW22" s="83">
        <f t="shared" si="13"/>
        <v>1.9852168978700423E-2</v>
      </c>
      <c r="AX22" s="79">
        <f t="shared" si="86"/>
        <v>1.794169117853689E-3</v>
      </c>
      <c r="AY22" s="83">
        <f t="shared" si="56"/>
        <v>0.1069691299576975</v>
      </c>
      <c r="AZ22" s="83">
        <f t="shared" si="57"/>
        <v>3.1387655504019219E-3</v>
      </c>
      <c r="BA22" s="84">
        <f t="shared" si="58"/>
        <v>4.8736059787719377E-4</v>
      </c>
      <c r="BB22" s="84">
        <f t="shared" si="14"/>
        <v>1.9852168978700423E-2</v>
      </c>
      <c r="BC22" s="83">
        <f t="shared" si="15"/>
        <v>1.9852168978700423E-2</v>
      </c>
      <c r="BD22" s="79">
        <f t="shared" si="87"/>
        <v>1.5375494414483469E-3</v>
      </c>
      <c r="BE22" s="83">
        <f t="shared" si="59"/>
        <v>0.1069691299576975</v>
      </c>
      <c r="BF22" s="83">
        <f t="shared" si="60"/>
        <v>3.1387655504019219E-3</v>
      </c>
      <c r="BG22" s="84">
        <f t="shared" si="61"/>
        <v>4.8736059787719377E-4</v>
      </c>
      <c r="BH22" s="84">
        <f t="shared" si="16"/>
        <v>1.9852168978700423E-2</v>
      </c>
      <c r="BI22" s="83">
        <f t="shared" si="17"/>
        <v>1.9852168978700423E-2</v>
      </c>
      <c r="BJ22" s="79">
        <f t="shared" si="88"/>
        <v>1.5308038740371285E-3</v>
      </c>
      <c r="BK22" s="83">
        <f t="shared" si="62"/>
        <v>0.1069691299576975</v>
      </c>
      <c r="BL22" s="83">
        <f t="shared" si="63"/>
        <v>3.1387655504019219E-3</v>
      </c>
      <c r="BM22" s="84">
        <f t="shared" si="64"/>
        <v>4.8736059787719377E-4</v>
      </c>
      <c r="BN22" s="84">
        <f t="shared" si="18"/>
        <v>1.9852168978700423E-2</v>
      </c>
      <c r="BO22" s="83">
        <f t="shared" si="19"/>
        <v>1.9852168978700423E-2</v>
      </c>
      <c r="BP22" s="79">
        <f t="shared" si="89"/>
        <v>1.344526943288564E-3</v>
      </c>
      <c r="BQ22" s="83">
        <f t="shared" si="65"/>
        <v>0.1069691299576975</v>
      </c>
      <c r="BR22" s="83">
        <f t="shared" si="66"/>
        <v>3.1387655504019219E-3</v>
      </c>
      <c r="BS22" s="84">
        <f t="shared" si="67"/>
        <v>4.8736059787719377E-4</v>
      </c>
      <c r="BT22" s="84">
        <f t="shared" si="20"/>
        <v>1.9852168978700423E-2</v>
      </c>
      <c r="BU22" s="83">
        <f t="shared" si="21"/>
        <v>1.9852168978700423E-2</v>
      </c>
      <c r="BV22" s="79">
        <f t="shared" si="90"/>
        <v>1.3846871239748899E-3</v>
      </c>
      <c r="BW22" s="83">
        <f t="shared" si="68"/>
        <v>0.1069691299576975</v>
      </c>
      <c r="BX22" s="83">
        <f t="shared" si="69"/>
        <v>3.1387655504019219E-3</v>
      </c>
      <c r="BY22" s="84">
        <f t="shared" si="70"/>
        <v>4.8736059787719377E-4</v>
      </c>
      <c r="BZ22" s="84">
        <f t="shared" si="22"/>
        <v>1.9852168978700423E-2</v>
      </c>
      <c r="CA22" s="83">
        <f t="shared" si="23"/>
        <v>1.9852168978700423E-2</v>
      </c>
      <c r="CB22" s="79">
        <f t="shared" si="91"/>
        <v>1.39821606509824E-3</v>
      </c>
      <c r="CC22" s="83">
        <f t="shared" si="71"/>
        <v>0.1069691299576975</v>
      </c>
      <c r="CD22" s="83">
        <f t="shared" si="72"/>
        <v>3.1387655504019219E-3</v>
      </c>
      <c r="CE22" s="84">
        <f t="shared" si="73"/>
        <v>4.0017564116880447E-4</v>
      </c>
      <c r="CF22" s="84">
        <f t="shared" si="24"/>
        <v>3.0055356274374445E-2</v>
      </c>
      <c r="CG22" s="83">
        <f t="shared" si="25"/>
        <v>5.5779084275050664E-3</v>
      </c>
      <c r="CH22" s="79">
        <f t="shared" si="92"/>
        <v>4.8989971758218716E-4</v>
      </c>
      <c r="CI22" s="83">
        <f>'Input Sheet'!M14</f>
        <v>3.0055356274374445E-2</v>
      </c>
      <c r="CJ22" s="83">
        <f t="shared" si="74"/>
        <v>8.819059939663863E-4</v>
      </c>
      <c r="CK22" s="84">
        <f t="shared" si="75"/>
        <v>5.9993640674088546E-4</v>
      </c>
      <c r="CL22" s="84">
        <f t="shared" si="26"/>
        <v>5.7390965950213799E-2</v>
      </c>
      <c r="CM22" s="83">
        <f t="shared" si="27"/>
        <v>1.0651064978700428E-2</v>
      </c>
      <c r="CN22" s="79">
        <f t="shared" si="93"/>
        <v>8.2612657259417636E-3</v>
      </c>
      <c r="CO22" s="83">
        <f>'Input Sheet'!R14</f>
        <v>5.7390965950213799E-2</v>
      </c>
      <c r="CP22" s="83">
        <f t="shared" si="76"/>
        <v>1.6840072168489966E-3</v>
      </c>
      <c r="CQ22" s="84">
        <f t="shared" si="77"/>
        <v>4.007188980066939E-4</v>
      </c>
      <c r="CR22" s="84">
        <f t="shared" si="28"/>
        <v>1.9522807733109257E-2</v>
      </c>
      <c r="CS22" s="83">
        <f t="shared" si="29"/>
        <v>3.6231955724949296E-3</v>
      </c>
      <c r="CT22" s="79">
        <f t="shared" si="94"/>
        <v>3.3271799616602753E-3</v>
      </c>
      <c r="CU22" s="83">
        <f t="shared" si="30"/>
        <v>1.9522807733109257E-2</v>
      </c>
      <c r="CV22" s="83">
        <f t="shared" si="78"/>
        <v>5.7285233958653922E-4</v>
      </c>
      <c r="CW22" s="84">
        <f t="shared" si="79"/>
        <v>4.0017564116880447E-4</v>
      </c>
      <c r="CX22" s="84">
        <f t="shared" si="31"/>
        <v>5.5779084275050664E-3</v>
      </c>
      <c r="CY22" s="83">
        <f t="shared" si="32"/>
        <v>5.5779084275050664E-3</v>
      </c>
      <c r="CZ22" s="79">
        <f t="shared" si="95"/>
        <v>4.8989971758218716E-4</v>
      </c>
      <c r="DA22" s="83">
        <f t="shared" si="80"/>
        <v>3.0055356274374445E-2</v>
      </c>
      <c r="DB22" s="83">
        <f t="shared" si="81"/>
        <v>8.819059939663863E-4</v>
      </c>
    </row>
    <row r="23" spans="2:106" x14ac:dyDescent="0.35">
      <c r="B23" s="86">
        <v>6</v>
      </c>
      <c r="C23" s="11" t="str">
        <f>VLOOKUP(B23,'Input Sheet'!C$9:E$126,2,FALSE)</f>
        <v>Water (H2O)</v>
      </c>
      <c r="D23" s="78">
        <f>VLOOKUP(B23,'Input Sheet'!C$9:E$126,3,FALSE)</f>
        <v>18.02</v>
      </c>
      <c r="E23" s="84">
        <f t="shared" si="33"/>
        <v>3.4363662279023405E-2</v>
      </c>
      <c r="F23" s="84">
        <f t="shared" si="0"/>
        <v>2.25</v>
      </c>
      <c r="G23" s="83">
        <f t="shared" si="34"/>
        <v>0.78972669256381789</v>
      </c>
      <c r="H23" s="83">
        <f t="shared" si="35"/>
        <v>0.84136266861606746</v>
      </c>
      <c r="I23" s="83">
        <v>2.25</v>
      </c>
      <c r="J23" s="83">
        <f t="shared" si="1"/>
        <v>0.12486126526082131</v>
      </c>
      <c r="K23" s="84">
        <f t="shared" si="36"/>
        <v>3.4363662279023405E-2</v>
      </c>
      <c r="L23" s="84">
        <f t="shared" si="2"/>
        <v>2.25</v>
      </c>
      <c r="M23" s="83">
        <f t="shared" si="37"/>
        <v>0.78972669256381789</v>
      </c>
      <c r="N23" s="83">
        <f t="shared" si="38"/>
        <v>0.64595079627022933</v>
      </c>
      <c r="O23" s="83">
        <f t="shared" si="39"/>
        <v>2.25</v>
      </c>
      <c r="P23" s="83">
        <f t="shared" si="3"/>
        <v>0.12486126526082131</v>
      </c>
      <c r="Q23" s="84">
        <f t="shared" si="40"/>
        <v>3.4363662279023405E-2</v>
      </c>
      <c r="R23" s="84">
        <f t="shared" si="4"/>
        <v>2.25</v>
      </c>
      <c r="S23" s="83">
        <f t="shared" si="41"/>
        <v>0.78972669256381789</v>
      </c>
      <c r="T23" s="83">
        <f t="shared" si="42"/>
        <v>0.6869220343602439</v>
      </c>
      <c r="U23" s="83">
        <f>O23</f>
        <v>2.25</v>
      </c>
      <c r="V23" s="83">
        <f t="shared" si="5"/>
        <v>0.12486126526082131</v>
      </c>
      <c r="W23" s="84">
        <f t="shared" si="43"/>
        <v>3.4365244339922218E-2</v>
      </c>
      <c r="X23" s="84">
        <f t="shared" si="6"/>
        <v>2.25</v>
      </c>
      <c r="Y23" s="83">
        <f t="shared" si="44"/>
        <v>0.78972669256381789</v>
      </c>
      <c r="Z23" s="79">
        <f t="shared" si="82"/>
        <v>0.72685936193932776</v>
      </c>
      <c r="AA23" s="83">
        <f>U23</f>
        <v>2.25</v>
      </c>
      <c r="AB23" s="83">
        <f t="shared" si="45"/>
        <v>0.12486126526082131</v>
      </c>
      <c r="AC23" s="84">
        <f t="shared" si="46"/>
        <v>3.4365244339922218E-2</v>
      </c>
      <c r="AD23" s="84">
        <f t="shared" si="7"/>
        <v>0.78972669256381789</v>
      </c>
      <c r="AE23" s="83">
        <f t="shared" si="47"/>
        <v>0.78972669256381789</v>
      </c>
      <c r="AF23" s="79">
        <f t="shared" si="83"/>
        <v>0.74862161828481666</v>
      </c>
      <c r="AG23" s="83">
        <f t="shared" si="8"/>
        <v>2.25</v>
      </c>
      <c r="AH23" s="83">
        <f t="shared" si="48"/>
        <v>0.12486126526082131</v>
      </c>
      <c r="AI23" s="84">
        <f t="shared" si="49"/>
        <v>4.9893176423987592E-2</v>
      </c>
      <c r="AJ23" s="84">
        <f t="shared" si="9"/>
        <v>2.0323509400788677</v>
      </c>
      <c r="AK23" s="83">
        <f t="shared" si="50"/>
        <v>2.0323509400788677</v>
      </c>
      <c r="AL23" s="79">
        <f t="shared" si="84"/>
        <v>1.9046550226607175</v>
      </c>
      <c r="AM23" s="83">
        <f>AG23+'Input Sheet'!R15</f>
        <v>5.7903445055555398</v>
      </c>
      <c r="AN23" s="83">
        <f t="shared" si="51"/>
        <v>0.32132877389320419</v>
      </c>
      <c r="AO23" s="84">
        <f t="shared" si="52"/>
        <v>4.9893176423987592E-2</v>
      </c>
      <c r="AP23" s="84">
        <f t="shared" si="10"/>
        <v>2.0323509400788677</v>
      </c>
      <c r="AQ23" s="83">
        <f t="shared" si="11"/>
        <v>2.0323509400788677</v>
      </c>
      <c r="AR23" s="79">
        <f t="shared" si="85"/>
        <v>0.18945841822189122</v>
      </c>
      <c r="AS23" s="83">
        <f t="shared" si="53"/>
        <v>5.7903445055555398</v>
      </c>
      <c r="AT23" s="83">
        <f t="shared" si="54"/>
        <v>0.32132877389320419</v>
      </c>
      <c r="AU23" s="84">
        <f t="shared" si="55"/>
        <v>4.9893176423987592E-2</v>
      </c>
      <c r="AV23" s="84">
        <f t="shared" si="12"/>
        <v>2.0323509400788677</v>
      </c>
      <c r="AW23" s="83">
        <f t="shared" si="13"/>
        <v>2.0323509400788677</v>
      </c>
      <c r="AX23" s="79">
        <f t="shared" si="86"/>
        <v>0.18367672052573472</v>
      </c>
      <c r="AY23" s="83">
        <f t="shared" si="56"/>
        <v>5.7903445055555398</v>
      </c>
      <c r="AZ23" s="83">
        <f t="shared" si="57"/>
        <v>0.32132877389320419</v>
      </c>
      <c r="BA23" s="84">
        <f t="shared" si="58"/>
        <v>4.9893176423987592E-2</v>
      </c>
      <c r="BB23" s="84">
        <f t="shared" si="14"/>
        <v>2.0323509400788677</v>
      </c>
      <c r="BC23" s="83">
        <f t="shared" si="15"/>
        <v>2.0323509400788677</v>
      </c>
      <c r="BD23" s="79">
        <f t="shared" si="87"/>
        <v>0.15740547323055509</v>
      </c>
      <c r="BE23" s="83">
        <f t="shared" si="59"/>
        <v>5.7903445055555398</v>
      </c>
      <c r="BF23" s="83">
        <f t="shared" si="60"/>
        <v>0.32132877389320419</v>
      </c>
      <c r="BG23" s="84">
        <f t="shared" si="61"/>
        <v>4.9893176423987592E-2</v>
      </c>
      <c r="BH23" s="84">
        <f t="shared" si="16"/>
        <v>2.0323509400788677</v>
      </c>
      <c r="BI23" s="83">
        <f t="shared" si="17"/>
        <v>2.0323509400788677</v>
      </c>
      <c r="BJ23" s="79">
        <f t="shared" si="88"/>
        <v>0.15671490081580969</v>
      </c>
      <c r="BK23" s="83">
        <f t="shared" si="62"/>
        <v>5.7903445055555398</v>
      </c>
      <c r="BL23" s="83">
        <f t="shared" si="63"/>
        <v>0.32132877389320419</v>
      </c>
      <c r="BM23" s="84">
        <f t="shared" si="64"/>
        <v>4.9893176423987592E-2</v>
      </c>
      <c r="BN23" s="84">
        <f t="shared" si="18"/>
        <v>2.0323509400788677</v>
      </c>
      <c r="BO23" s="83">
        <f t="shared" si="19"/>
        <v>2.0323509400788677</v>
      </c>
      <c r="BP23" s="79">
        <f t="shared" si="89"/>
        <v>0.13764493945652279</v>
      </c>
      <c r="BQ23" s="83">
        <f t="shared" si="65"/>
        <v>5.7903445055555398</v>
      </c>
      <c r="BR23" s="83">
        <f t="shared" si="66"/>
        <v>0.32132877389320419</v>
      </c>
      <c r="BS23" s="84">
        <f t="shared" si="67"/>
        <v>4.9893176423987592E-2</v>
      </c>
      <c r="BT23" s="84">
        <f t="shared" si="20"/>
        <v>2.0323509400788677</v>
      </c>
      <c r="BU23" s="83">
        <f t="shared" si="21"/>
        <v>2.0323509400788677</v>
      </c>
      <c r="BV23" s="79">
        <f t="shared" si="90"/>
        <v>0.14175630789486129</v>
      </c>
      <c r="BW23" s="83">
        <f t="shared" si="68"/>
        <v>5.7903445055555398</v>
      </c>
      <c r="BX23" s="83">
        <f t="shared" si="69"/>
        <v>0.32132877389320419</v>
      </c>
      <c r="BY23" s="84">
        <f t="shared" si="70"/>
        <v>4.9893176423987592E-2</v>
      </c>
      <c r="BZ23" s="84">
        <f t="shared" si="22"/>
        <v>2.0323509400788677</v>
      </c>
      <c r="CA23" s="83">
        <f t="shared" si="23"/>
        <v>2.0323509400788677</v>
      </c>
      <c r="CB23" s="79">
        <f t="shared" si="91"/>
        <v>0.14314132311611055</v>
      </c>
      <c r="CC23" s="83">
        <f t="shared" si="71"/>
        <v>5.7903445055555398</v>
      </c>
      <c r="CD23" s="83">
        <f t="shared" si="72"/>
        <v>0.32132877389320419</v>
      </c>
      <c r="CE23" s="84">
        <f t="shared" si="73"/>
        <v>1.4906542633537967E-2</v>
      </c>
      <c r="CF23" s="84">
        <f t="shared" si="24"/>
        <v>0.59197498891996703</v>
      </c>
      <c r="CG23" s="83">
        <f t="shared" si="25"/>
        <v>0.2077770889245637</v>
      </c>
      <c r="CH23" s="79">
        <f t="shared" si="92"/>
        <v>1.8248764479936466E-2</v>
      </c>
      <c r="CI23" s="83">
        <f>'Input Sheet'!M15</f>
        <v>0.59197498891996703</v>
      </c>
      <c r="CJ23" s="83">
        <f t="shared" si="74"/>
        <v>3.2850998275247893E-2</v>
      </c>
      <c r="CK23" s="84">
        <f t="shared" si="75"/>
        <v>6.9992580786436623E-2</v>
      </c>
      <c r="CL23" s="84">
        <f t="shared" si="26"/>
        <v>3.5403445055555403</v>
      </c>
      <c r="CM23" s="83">
        <f t="shared" si="27"/>
        <v>1.24262424751505</v>
      </c>
      <c r="CN23" s="79">
        <f t="shared" si="93"/>
        <v>0.96381433469320577</v>
      </c>
      <c r="CO23" s="83">
        <f>'Input Sheet'!R15</f>
        <v>3.5403445055555403</v>
      </c>
      <c r="CP23" s="83">
        <f t="shared" si="76"/>
        <v>0.19646750863238294</v>
      </c>
      <c r="CQ23" s="84">
        <f t="shared" si="77"/>
        <v>6.4362576957217393E-2</v>
      </c>
      <c r="CR23" s="84">
        <f t="shared" si="28"/>
        <v>1.6580250110800328</v>
      </c>
      <c r="CS23" s="83">
        <f t="shared" si="29"/>
        <v>0.58194960363925419</v>
      </c>
      <c r="CT23" s="79">
        <f t="shared" si="94"/>
        <v>0.53440423548303395</v>
      </c>
      <c r="CU23" s="83">
        <f t="shared" si="30"/>
        <v>1.6580250110800328</v>
      </c>
      <c r="CV23" s="83">
        <f t="shared" si="78"/>
        <v>9.2010266985573408E-2</v>
      </c>
      <c r="CW23" s="84">
        <f t="shared" si="79"/>
        <v>1.4906542633537967E-2</v>
      </c>
      <c r="CX23" s="84">
        <f t="shared" si="31"/>
        <v>0.2077770889245637</v>
      </c>
      <c r="CY23" s="83">
        <f t="shared" si="32"/>
        <v>0.2077770889245637</v>
      </c>
      <c r="CZ23" s="79">
        <f t="shared" si="95"/>
        <v>1.8248764479936466E-2</v>
      </c>
      <c r="DA23" s="83">
        <f t="shared" si="80"/>
        <v>0.59197498891996703</v>
      </c>
      <c r="DB23" s="83">
        <f t="shared" si="81"/>
        <v>3.2850998275247893E-2</v>
      </c>
    </row>
    <row r="24" spans="2:106" x14ac:dyDescent="0.35">
      <c r="B24" s="86">
        <v>7</v>
      </c>
      <c r="C24" s="11" t="str">
        <f>VLOOKUP(B24,'Input Sheet'!C$9:E$126,2,FALSE)</f>
        <v>Hydrogen (H2)</v>
      </c>
      <c r="D24" s="78">
        <f>VLOOKUP(B24,'Input Sheet'!C$9:E$126,3,FALSE)</f>
        <v>2</v>
      </c>
      <c r="E24" s="84">
        <f t="shared" si="33"/>
        <v>0</v>
      </c>
      <c r="F24" s="84">
        <f t="shared" si="0"/>
        <v>0</v>
      </c>
      <c r="G24" s="83">
        <f t="shared" si="34"/>
        <v>0</v>
      </c>
      <c r="H24" s="83">
        <f t="shared" si="35"/>
        <v>0</v>
      </c>
      <c r="I24" s="83">
        <f>'Input Sheet'!H16</f>
        <v>0</v>
      </c>
      <c r="J24" s="83">
        <f t="shared" si="1"/>
        <v>0</v>
      </c>
      <c r="K24" s="84">
        <f t="shared" si="36"/>
        <v>0</v>
      </c>
      <c r="L24" s="84">
        <f t="shared" si="2"/>
        <v>0</v>
      </c>
      <c r="M24" s="83">
        <f t="shared" si="37"/>
        <v>0</v>
      </c>
      <c r="N24" s="83">
        <f t="shared" si="38"/>
        <v>0</v>
      </c>
      <c r="O24" s="83">
        <f t="shared" si="39"/>
        <v>0</v>
      </c>
      <c r="P24" s="83">
        <f t="shared" si="3"/>
        <v>0</v>
      </c>
      <c r="Q24" s="84">
        <f t="shared" si="40"/>
        <v>0</v>
      </c>
      <c r="R24" s="84">
        <f t="shared" si="4"/>
        <v>0</v>
      </c>
      <c r="S24" s="83">
        <f t="shared" si="41"/>
        <v>0</v>
      </c>
      <c r="T24" s="83">
        <f t="shared" si="42"/>
        <v>0</v>
      </c>
      <c r="U24" s="83">
        <f>'Input Sheet'!H16</f>
        <v>0</v>
      </c>
      <c r="V24" s="83">
        <f t="shared" si="5"/>
        <v>0</v>
      </c>
      <c r="W24" s="84">
        <f t="shared" si="43"/>
        <v>0</v>
      </c>
      <c r="X24" s="84">
        <f t="shared" si="6"/>
        <v>0</v>
      </c>
      <c r="Y24" s="83">
        <f t="shared" si="44"/>
        <v>0</v>
      </c>
      <c r="Z24" s="79">
        <f t="shared" si="82"/>
        <v>0</v>
      </c>
      <c r="AA24" s="83">
        <f>'Input Sheet'!V16</f>
        <v>0</v>
      </c>
      <c r="AB24" s="83">
        <f t="shared" si="45"/>
        <v>0</v>
      </c>
      <c r="AC24" s="84">
        <f t="shared" si="46"/>
        <v>0</v>
      </c>
      <c r="AD24" s="84">
        <f t="shared" si="7"/>
        <v>0</v>
      </c>
      <c r="AE24" s="83">
        <f t="shared" si="47"/>
        <v>0</v>
      </c>
      <c r="AF24" s="79">
        <f t="shared" si="83"/>
        <v>0</v>
      </c>
      <c r="AG24" s="83">
        <f t="shared" si="8"/>
        <v>0</v>
      </c>
      <c r="AH24" s="83">
        <f t="shared" si="48"/>
        <v>0</v>
      </c>
      <c r="AI24" s="84">
        <f t="shared" si="49"/>
        <v>0</v>
      </c>
      <c r="AJ24" s="84">
        <f t="shared" si="9"/>
        <v>0</v>
      </c>
      <c r="AK24" s="83">
        <f t="shared" si="50"/>
        <v>0</v>
      </c>
      <c r="AL24" s="79">
        <f t="shared" si="84"/>
        <v>0</v>
      </c>
      <c r="AM24" s="83">
        <f>AG24+'Input Sheet'!R16</f>
        <v>0</v>
      </c>
      <c r="AN24" s="83">
        <f t="shared" si="51"/>
        <v>0</v>
      </c>
      <c r="AO24" s="84">
        <f t="shared" si="52"/>
        <v>0</v>
      </c>
      <c r="AP24" s="84">
        <f t="shared" si="10"/>
        <v>0</v>
      </c>
      <c r="AQ24" s="83">
        <f t="shared" si="11"/>
        <v>0</v>
      </c>
      <c r="AR24" s="79">
        <f t="shared" si="85"/>
        <v>0</v>
      </c>
      <c r="AS24" s="83">
        <f t="shared" si="53"/>
        <v>0</v>
      </c>
      <c r="AT24" s="83">
        <f t="shared" si="54"/>
        <v>0</v>
      </c>
      <c r="AU24" s="84">
        <f t="shared" si="55"/>
        <v>0</v>
      </c>
      <c r="AV24" s="84">
        <f t="shared" si="12"/>
        <v>0</v>
      </c>
      <c r="AW24" s="83">
        <f t="shared" si="13"/>
        <v>0</v>
      </c>
      <c r="AX24" s="79">
        <f t="shared" si="86"/>
        <v>0</v>
      </c>
      <c r="AY24" s="83">
        <f t="shared" si="56"/>
        <v>0</v>
      </c>
      <c r="AZ24" s="83">
        <f t="shared" si="57"/>
        <v>0</v>
      </c>
      <c r="BA24" s="84">
        <f t="shared" si="58"/>
        <v>0</v>
      </c>
      <c r="BB24" s="84">
        <f t="shared" si="14"/>
        <v>0</v>
      </c>
      <c r="BC24" s="83">
        <f t="shared" si="15"/>
        <v>0</v>
      </c>
      <c r="BD24" s="79">
        <f t="shared" si="87"/>
        <v>0</v>
      </c>
      <c r="BE24" s="83">
        <f t="shared" si="59"/>
        <v>0</v>
      </c>
      <c r="BF24" s="83">
        <f t="shared" si="60"/>
        <v>0</v>
      </c>
      <c r="BG24" s="84">
        <f t="shared" si="61"/>
        <v>0</v>
      </c>
      <c r="BH24" s="84">
        <f t="shared" si="16"/>
        <v>0</v>
      </c>
      <c r="BI24" s="83">
        <f t="shared" si="17"/>
        <v>0</v>
      </c>
      <c r="BJ24" s="79">
        <f t="shared" si="88"/>
        <v>0</v>
      </c>
      <c r="BK24" s="83">
        <f t="shared" si="62"/>
        <v>0</v>
      </c>
      <c r="BL24" s="83">
        <f t="shared" si="63"/>
        <v>0</v>
      </c>
      <c r="BM24" s="84">
        <f t="shared" si="64"/>
        <v>0</v>
      </c>
      <c r="BN24" s="84">
        <f t="shared" si="18"/>
        <v>0</v>
      </c>
      <c r="BO24" s="83">
        <f t="shared" si="19"/>
        <v>0</v>
      </c>
      <c r="BP24" s="79">
        <f t="shared" si="89"/>
        <v>0</v>
      </c>
      <c r="BQ24" s="83">
        <f t="shared" si="65"/>
        <v>0</v>
      </c>
      <c r="BR24" s="83">
        <f t="shared" si="66"/>
        <v>0</v>
      </c>
      <c r="BS24" s="84">
        <f t="shared" si="67"/>
        <v>0</v>
      </c>
      <c r="BT24" s="84">
        <f t="shared" si="20"/>
        <v>0</v>
      </c>
      <c r="BU24" s="83">
        <f t="shared" si="21"/>
        <v>0</v>
      </c>
      <c r="BV24" s="79">
        <f t="shared" si="90"/>
        <v>0</v>
      </c>
      <c r="BW24" s="83">
        <f t="shared" si="68"/>
        <v>0</v>
      </c>
      <c r="BX24" s="83">
        <f t="shared" si="69"/>
        <v>0</v>
      </c>
      <c r="BY24" s="84">
        <f t="shared" si="70"/>
        <v>0</v>
      </c>
      <c r="BZ24" s="84">
        <f t="shared" si="22"/>
        <v>0</v>
      </c>
      <c r="CA24" s="83">
        <f t="shared" si="23"/>
        <v>0</v>
      </c>
      <c r="CB24" s="79">
        <f t="shared" si="91"/>
        <v>0</v>
      </c>
      <c r="CC24" s="83">
        <f t="shared" si="71"/>
        <v>0</v>
      </c>
      <c r="CD24" s="83">
        <f t="shared" si="72"/>
        <v>0</v>
      </c>
      <c r="CE24" s="84">
        <f t="shared" si="73"/>
        <v>0</v>
      </c>
      <c r="CF24" s="84">
        <f t="shared" si="24"/>
        <v>0</v>
      </c>
      <c r="CG24" s="83">
        <f t="shared" si="25"/>
        <v>0</v>
      </c>
      <c r="CH24" s="79">
        <f t="shared" si="92"/>
        <v>0</v>
      </c>
      <c r="CI24" s="83">
        <f>'Input Sheet'!M16</f>
        <v>0</v>
      </c>
      <c r="CJ24" s="83">
        <f t="shared" si="74"/>
        <v>0</v>
      </c>
      <c r="CK24" s="84">
        <f t="shared" si="75"/>
        <v>0</v>
      </c>
      <c r="CL24" s="84">
        <f t="shared" si="26"/>
        <v>0</v>
      </c>
      <c r="CM24" s="83">
        <f t="shared" si="27"/>
        <v>0</v>
      </c>
      <c r="CN24" s="79">
        <f t="shared" si="93"/>
        <v>0</v>
      </c>
      <c r="CO24" s="83">
        <f>'Input Sheet'!R16</f>
        <v>0</v>
      </c>
      <c r="CP24" s="83">
        <f t="shared" si="76"/>
        <v>0</v>
      </c>
      <c r="CQ24" s="84">
        <f t="shared" si="77"/>
        <v>0</v>
      </c>
      <c r="CR24" s="84">
        <f t="shared" si="28"/>
        <v>0</v>
      </c>
      <c r="CS24" s="83">
        <f t="shared" si="29"/>
        <v>0</v>
      </c>
      <c r="CT24" s="79">
        <f t="shared" si="94"/>
        <v>0</v>
      </c>
      <c r="CU24" s="83">
        <f t="shared" si="30"/>
        <v>0</v>
      </c>
      <c r="CV24" s="83">
        <f t="shared" si="78"/>
        <v>0</v>
      </c>
      <c r="CW24" s="84">
        <f t="shared" si="79"/>
        <v>0</v>
      </c>
      <c r="CX24" s="84">
        <f t="shared" si="31"/>
        <v>0</v>
      </c>
      <c r="CY24" s="83">
        <f t="shared" si="32"/>
        <v>0</v>
      </c>
      <c r="CZ24" s="79">
        <f t="shared" si="95"/>
        <v>0</v>
      </c>
      <c r="DA24" s="83">
        <f t="shared" si="80"/>
        <v>0</v>
      </c>
      <c r="DB24" s="83">
        <f t="shared" si="81"/>
        <v>0</v>
      </c>
    </row>
    <row r="25" spans="2:106" x14ac:dyDescent="0.35">
      <c r="B25" s="85"/>
      <c r="E25" s="20"/>
      <c r="F25" s="20"/>
      <c r="G25" s="83"/>
      <c r="H25" s="79"/>
      <c r="I25" s="83"/>
      <c r="J25" s="83"/>
      <c r="K25" s="20"/>
      <c r="L25" s="20"/>
      <c r="M25" s="83"/>
      <c r="N25" s="79"/>
      <c r="O25" s="83"/>
      <c r="P25" s="83"/>
      <c r="Q25" s="20"/>
      <c r="R25" s="20"/>
      <c r="S25" s="83"/>
      <c r="T25" s="79"/>
      <c r="U25" s="83"/>
      <c r="V25" s="83"/>
      <c r="W25" s="20"/>
      <c r="X25" s="20"/>
      <c r="Y25" s="83"/>
      <c r="Z25" s="79"/>
      <c r="AA25" s="83"/>
      <c r="AB25" s="83"/>
      <c r="AC25" s="20"/>
      <c r="AD25" s="20"/>
      <c r="AE25" s="83"/>
      <c r="AF25" s="79"/>
      <c r="AG25" s="83"/>
      <c r="AH25" s="83"/>
      <c r="AI25" s="20"/>
      <c r="AJ25" s="20"/>
      <c r="AK25" s="83"/>
      <c r="AL25" s="79"/>
      <c r="AM25" s="83"/>
      <c r="AN25" s="83"/>
      <c r="AO25" s="20"/>
      <c r="AP25" s="20"/>
      <c r="AQ25" s="83"/>
      <c r="AR25" s="79"/>
      <c r="AS25" s="83"/>
      <c r="AT25" s="83"/>
      <c r="AU25" s="20"/>
      <c r="AV25" s="20"/>
      <c r="AW25" s="83"/>
      <c r="AX25" s="79"/>
      <c r="AY25" s="83"/>
      <c r="AZ25" s="83"/>
      <c r="BA25" s="20"/>
      <c r="BB25" s="20"/>
      <c r="BC25" s="83"/>
      <c r="BD25" s="79"/>
      <c r="BE25" s="83"/>
      <c r="BF25" s="83"/>
      <c r="BG25" s="20"/>
      <c r="BH25" s="20"/>
      <c r="BI25" s="83"/>
      <c r="BJ25" s="79"/>
      <c r="BK25" s="83"/>
      <c r="BL25" s="83"/>
      <c r="BM25" s="20"/>
      <c r="BN25" s="20"/>
      <c r="BO25" s="83"/>
      <c r="BP25" s="79"/>
      <c r="BQ25" s="83"/>
      <c r="BR25" s="83"/>
      <c r="BS25" s="20"/>
      <c r="BT25" s="20"/>
      <c r="BU25" s="83"/>
      <c r="BV25" s="79"/>
      <c r="BW25" s="83"/>
      <c r="BX25" s="83"/>
      <c r="BY25" s="20"/>
      <c r="BZ25" s="20"/>
      <c r="CA25" s="83"/>
      <c r="CB25" s="79"/>
      <c r="CC25" s="83"/>
      <c r="CD25" s="83"/>
      <c r="CE25" s="20"/>
      <c r="CF25" s="20"/>
      <c r="CG25" s="83"/>
      <c r="CH25" s="79"/>
      <c r="CI25" s="83"/>
      <c r="CJ25" s="83"/>
      <c r="CK25" s="20"/>
      <c r="CL25" s="20"/>
      <c r="CM25" s="83"/>
      <c r="CN25" s="79"/>
      <c r="CO25" s="83"/>
      <c r="CP25" s="83"/>
      <c r="CQ25" s="20"/>
      <c r="CR25" s="20"/>
      <c r="CS25" s="83"/>
      <c r="CT25" s="79"/>
      <c r="CU25" s="83"/>
      <c r="CV25" s="83"/>
      <c r="CW25" s="20"/>
      <c r="CX25" s="20"/>
      <c r="CY25" s="83"/>
      <c r="CZ25" s="79"/>
      <c r="DA25" s="83"/>
      <c r="DB25" s="83"/>
    </row>
    <row r="26" spans="2:106" x14ac:dyDescent="0.35">
      <c r="B26" s="85"/>
      <c r="C26" s="33" t="s">
        <v>61</v>
      </c>
      <c r="G26" s="83"/>
      <c r="H26" s="79"/>
      <c r="I26" s="83"/>
      <c r="J26" s="83"/>
      <c r="M26" s="83"/>
      <c r="N26" s="79"/>
      <c r="O26" s="83"/>
      <c r="P26" s="83"/>
      <c r="S26" s="83"/>
      <c r="T26" s="79"/>
      <c r="U26" s="83"/>
      <c r="V26" s="83"/>
      <c r="Y26" s="83"/>
      <c r="Z26" s="79"/>
      <c r="AA26" s="83"/>
      <c r="AB26" s="83"/>
      <c r="AE26" s="83"/>
      <c r="AF26" s="79"/>
      <c r="AG26" s="83"/>
      <c r="AH26" s="83"/>
      <c r="AK26" s="83"/>
      <c r="AL26" s="79"/>
      <c r="AM26" s="83"/>
      <c r="AN26" s="83"/>
      <c r="AQ26" s="83"/>
      <c r="AR26" s="79"/>
      <c r="AS26" s="83"/>
      <c r="AT26" s="83"/>
      <c r="AW26" s="83"/>
      <c r="AX26" s="79"/>
      <c r="AY26" s="83"/>
      <c r="AZ26" s="83"/>
      <c r="BC26" s="83"/>
      <c r="BD26" s="79"/>
      <c r="BE26" s="83"/>
      <c r="BF26" s="83"/>
      <c r="BI26" s="83"/>
      <c r="BJ26" s="79"/>
      <c r="BK26" s="83"/>
      <c r="BL26" s="83"/>
      <c r="BO26" s="83"/>
      <c r="BP26" s="79"/>
      <c r="BQ26" s="83"/>
      <c r="BR26" s="83"/>
      <c r="BU26" s="83"/>
      <c r="BV26" s="79"/>
      <c r="BW26" s="83"/>
      <c r="BX26" s="83"/>
      <c r="CA26" s="83"/>
      <c r="CB26" s="79"/>
      <c r="CC26" s="83"/>
      <c r="CD26" s="83"/>
      <c r="CG26" s="83"/>
      <c r="CH26" s="79"/>
      <c r="CI26" s="83"/>
      <c r="CJ26" s="83"/>
      <c r="CM26" s="83"/>
      <c r="CN26" s="79"/>
      <c r="CO26" s="83"/>
      <c r="CP26" s="83"/>
      <c r="CS26" s="83"/>
      <c r="CT26" s="79"/>
      <c r="CU26" s="83"/>
      <c r="CV26" s="83"/>
      <c r="CY26" s="83"/>
      <c r="CZ26" s="79"/>
      <c r="DA26" s="83"/>
      <c r="DB26" s="83"/>
    </row>
    <row r="27" spans="2:106" x14ac:dyDescent="0.35">
      <c r="B27" s="85"/>
      <c r="C27" s="11" t="s">
        <v>73</v>
      </c>
      <c r="D27" s="7" t="s">
        <v>84</v>
      </c>
      <c r="E27" s="560">
        <v>10</v>
      </c>
      <c r="F27" s="560"/>
      <c r="G27" s="560"/>
      <c r="H27" s="560"/>
      <c r="I27" s="560"/>
      <c r="J27" s="560"/>
      <c r="K27" s="560">
        <v>10</v>
      </c>
      <c r="L27" s="560"/>
      <c r="M27" s="560"/>
      <c r="N27" s="560"/>
      <c r="O27" s="560"/>
      <c r="P27" s="560"/>
      <c r="Q27" s="560">
        <v>10</v>
      </c>
      <c r="R27" s="560"/>
      <c r="S27" s="560"/>
      <c r="T27" s="560"/>
      <c r="U27" s="560"/>
      <c r="V27" s="560"/>
      <c r="W27" s="560">
        <v>10</v>
      </c>
      <c r="X27" s="560"/>
      <c r="Y27" s="560"/>
      <c r="Z27" s="560"/>
      <c r="AA27" s="560"/>
      <c r="AB27" s="560"/>
      <c r="AC27" s="560">
        <v>10</v>
      </c>
      <c r="AD27" s="560"/>
      <c r="AE27" s="560"/>
      <c r="AF27" s="560"/>
      <c r="AG27" s="560"/>
      <c r="AH27" s="560"/>
      <c r="AI27" s="560">
        <v>18</v>
      </c>
      <c r="AJ27" s="560"/>
      <c r="AK27" s="560"/>
      <c r="AL27" s="560"/>
      <c r="AM27" s="560"/>
      <c r="AN27" s="560"/>
      <c r="AO27" s="560">
        <v>8</v>
      </c>
      <c r="AP27" s="560"/>
      <c r="AQ27" s="560"/>
      <c r="AR27" s="560"/>
      <c r="AS27" s="560"/>
      <c r="AT27" s="560"/>
      <c r="AU27" s="560">
        <v>8</v>
      </c>
      <c r="AV27" s="560"/>
      <c r="AW27" s="560"/>
      <c r="AX27" s="560"/>
      <c r="AY27" s="560"/>
      <c r="AZ27" s="560"/>
      <c r="BA27" s="560">
        <v>8</v>
      </c>
      <c r="BB27" s="560"/>
      <c r="BC27" s="560"/>
      <c r="BD27" s="560"/>
      <c r="BE27" s="560"/>
      <c r="BF27" s="560"/>
      <c r="BG27" s="560">
        <v>8</v>
      </c>
      <c r="BH27" s="560"/>
      <c r="BI27" s="560"/>
      <c r="BJ27" s="560"/>
      <c r="BK27" s="560"/>
      <c r="BL27" s="560"/>
      <c r="BM27" s="560">
        <v>8</v>
      </c>
      <c r="BN27" s="560"/>
      <c r="BO27" s="560"/>
      <c r="BP27" s="560"/>
      <c r="BQ27" s="560"/>
      <c r="BR27" s="560"/>
      <c r="BS27" s="560">
        <v>8</v>
      </c>
      <c r="BT27" s="560"/>
      <c r="BU27" s="560"/>
      <c r="BV27" s="560"/>
      <c r="BW27" s="560"/>
      <c r="BX27" s="560"/>
      <c r="BY27" s="560">
        <v>6</v>
      </c>
      <c r="BZ27" s="560"/>
      <c r="CA27" s="560"/>
      <c r="CB27" s="560"/>
      <c r="CC27" s="560"/>
      <c r="CD27" s="560"/>
      <c r="CE27" s="560">
        <v>3</v>
      </c>
      <c r="CF27" s="560"/>
      <c r="CG27" s="560"/>
      <c r="CH27" s="560"/>
      <c r="CI27" s="560"/>
      <c r="CJ27" s="560"/>
      <c r="CK27" s="560">
        <v>8</v>
      </c>
      <c r="CL27" s="560"/>
      <c r="CM27" s="560"/>
      <c r="CN27" s="560"/>
      <c r="CO27" s="560"/>
      <c r="CP27" s="560"/>
      <c r="CQ27" s="560">
        <v>8</v>
      </c>
      <c r="CR27" s="560"/>
      <c r="CS27" s="560"/>
      <c r="CT27" s="560"/>
      <c r="CU27" s="560"/>
      <c r="CV27" s="560"/>
      <c r="CW27" s="560">
        <v>3</v>
      </c>
      <c r="CX27" s="560"/>
      <c r="CY27" s="560"/>
      <c r="CZ27" s="560"/>
      <c r="DA27" s="560"/>
      <c r="DB27" s="560"/>
    </row>
    <row r="28" spans="2:106" x14ac:dyDescent="0.35">
      <c r="B28" s="85"/>
      <c r="C28" s="11" t="s">
        <v>74</v>
      </c>
      <c r="D28" s="7"/>
      <c r="E28" s="560">
        <v>20</v>
      </c>
      <c r="F28" s="560"/>
      <c r="G28" s="560"/>
      <c r="H28" s="560"/>
      <c r="I28" s="560"/>
      <c r="J28" s="560"/>
      <c r="K28" s="560">
        <v>20</v>
      </c>
      <c r="L28" s="560"/>
      <c r="M28" s="560"/>
      <c r="N28" s="560"/>
      <c r="O28" s="560"/>
      <c r="P28" s="560"/>
      <c r="Q28" s="560">
        <v>20</v>
      </c>
      <c r="R28" s="560"/>
      <c r="S28" s="560"/>
      <c r="T28" s="560"/>
      <c r="U28" s="560"/>
      <c r="V28" s="560"/>
      <c r="W28" s="560">
        <v>20</v>
      </c>
      <c r="X28" s="560"/>
      <c r="Y28" s="560"/>
      <c r="Z28" s="560"/>
      <c r="AA28" s="560"/>
      <c r="AB28" s="560"/>
      <c r="AC28" s="560">
        <v>20</v>
      </c>
      <c r="AD28" s="560"/>
      <c r="AE28" s="560"/>
      <c r="AF28" s="560"/>
      <c r="AG28" s="560"/>
      <c r="AH28" s="560"/>
      <c r="AI28" s="560">
        <v>20</v>
      </c>
      <c r="AJ28" s="560"/>
      <c r="AK28" s="560"/>
      <c r="AL28" s="560"/>
      <c r="AM28" s="560"/>
      <c r="AN28" s="560"/>
      <c r="AO28" s="560">
        <v>40</v>
      </c>
      <c r="AP28" s="560"/>
      <c r="AQ28" s="560"/>
      <c r="AR28" s="560"/>
      <c r="AS28" s="560"/>
      <c r="AT28" s="560"/>
      <c r="AU28" s="560">
        <v>40</v>
      </c>
      <c r="AV28" s="560"/>
      <c r="AW28" s="560"/>
      <c r="AX28" s="560"/>
      <c r="AY28" s="560"/>
      <c r="AZ28" s="560"/>
      <c r="BA28" s="560">
        <v>40</v>
      </c>
      <c r="BB28" s="560"/>
      <c r="BC28" s="560"/>
      <c r="BD28" s="560"/>
      <c r="BE28" s="560"/>
      <c r="BF28" s="560"/>
      <c r="BG28" s="560">
        <v>40</v>
      </c>
      <c r="BH28" s="560"/>
      <c r="BI28" s="560"/>
      <c r="BJ28" s="560"/>
      <c r="BK28" s="560"/>
      <c r="BL28" s="560"/>
      <c r="BM28" s="560">
        <v>40</v>
      </c>
      <c r="BN28" s="560"/>
      <c r="BO28" s="560"/>
      <c r="BP28" s="560"/>
      <c r="BQ28" s="560"/>
      <c r="BR28" s="560"/>
      <c r="BS28" s="560">
        <v>40</v>
      </c>
      <c r="BT28" s="560"/>
      <c r="BU28" s="560"/>
      <c r="BV28" s="560"/>
      <c r="BW28" s="560"/>
      <c r="BX28" s="560"/>
      <c r="BY28" s="560">
        <v>40</v>
      </c>
      <c r="BZ28" s="560"/>
      <c r="CA28" s="560"/>
      <c r="CB28" s="560"/>
      <c r="CC28" s="560"/>
      <c r="CD28" s="560"/>
      <c r="CE28" s="560">
        <v>40</v>
      </c>
      <c r="CF28" s="560"/>
      <c r="CG28" s="560"/>
      <c r="CH28" s="560"/>
      <c r="CI28" s="560"/>
      <c r="CJ28" s="560"/>
      <c r="CK28" s="560">
        <v>40</v>
      </c>
      <c r="CL28" s="560"/>
      <c r="CM28" s="560"/>
      <c r="CN28" s="560"/>
      <c r="CO28" s="560"/>
      <c r="CP28" s="560"/>
      <c r="CQ28" s="560">
        <v>40</v>
      </c>
      <c r="CR28" s="560"/>
      <c r="CS28" s="560"/>
      <c r="CT28" s="560"/>
      <c r="CU28" s="560"/>
      <c r="CV28" s="560"/>
      <c r="CW28" s="560">
        <v>80</v>
      </c>
      <c r="CX28" s="560"/>
      <c r="CY28" s="560"/>
      <c r="CZ28" s="560"/>
      <c r="DA28" s="560"/>
      <c r="DB28" s="560"/>
    </row>
    <row r="29" spans="2:106" x14ac:dyDescent="0.35">
      <c r="B29" s="85"/>
      <c r="C29" s="87" t="s">
        <v>60</v>
      </c>
      <c r="D29" s="7" t="s">
        <v>84</v>
      </c>
      <c r="E29" s="562">
        <f>VLOOKUP(E27,'Calculation Basis'!$F$4:$T$47,MATCH(E28,'Calculation Basis'!$F$3:$T$3,0),0)</f>
        <v>10.25</v>
      </c>
      <c r="F29" s="562"/>
      <c r="G29" s="562"/>
      <c r="H29" s="562"/>
      <c r="I29" s="562"/>
      <c r="J29" s="562"/>
      <c r="K29" s="562">
        <f>VLOOKUP(K27,'Calculation Basis'!$F$4:$T$47,MATCH(K28,'Calculation Basis'!$F$3:$T$3,0),0)</f>
        <v>10.25</v>
      </c>
      <c r="L29" s="562"/>
      <c r="M29" s="562"/>
      <c r="N29" s="562"/>
      <c r="O29" s="562"/>
      <c r="P29" s="562"/>
      <c r="Q29" s="562">
        <f>VLOOKUP(Q27,'Calculation Basis'!$F$4:$T$47,MATCH(Q28,'Calculation Basis'!$F$3:$T$3,0),0)</f>
        <v>10.25</v>
      </c>
      <c r="R29" s="562"/>
      <c r="S29" s="562"/>
      <c r="T29" s="562"/>
      <c r="U29" s="562"/>
      <c r="V29" s="562"/>
      <c r="W29" s="562">
        <f>VLOOKUP(W27,'Calculation Basis'!$F$4:$T$47,MATCH(W28,'Calculation Basis'!$F$3:$T$3,0),0)</f>
        <v>10.25</v>
      </c>
      <c r="X29" s="562"/>
      <c r="Y29" s="562"/>
      <c r="Z29" s="562"/>
      <c r="AA29" s="562"/>
      <c r="AB29" s="562"/>
      <c r="AC29" s="562">
        <f>VLOOKUP(AC27,'Calculation Basis'!$F$4:$T$47,MATCH(AC28,'Calculation Basis'!$F$3:$T$3,0),0)</f>
        <v>10.25</v>
      </c>
      <c r="AD29" s="562"/>
      <c r="AE29" s="562"/>
      <c r="AF29" s="562"/>
      <c r="AG29" s="562"/>
      <c r="AH29" s="562"/>
      <c r="AI29" s="562">
        <f>VLOOKUP(AI27,'Calculation Basis'!$F$4:$T$47,MATCH(AI28,'Calculation Basis'!$F$3:$T$3,0),0)</f>
        <v>17.376000000000001</v>
      </c>
      <c r="AJ29" s="562"/>
      <c r="AK29" s="562"/>
      <c r="AL29" s="562"/>
      <c r="AM29" s="562"/>
      <c r="AN29" s="562"/>
      <c r="AO29" s="562">
        <f>VLOOKUP(AO27,'Calculation Basis'!$F$4:$T$47,MATCH(AO28,'Calculation Basis'!$F$3:$T$3,0),0)</f>
        <v>7.9809999999999999</v>
      </c>
      <c r="AP29" s="562"/>
      <c r="AQ29" s="562"/>
      <c r="AR29" s="562"/>
      <c r="AS29" s="562"/>
      <c r="AT29" s="562"/>
      <c r="AU29" s="562">
        <f>VLOOKUP(AU27,'Calculation Basis'!$F$4:$T$47,MATCH(AU28,'Calculation Basis'!$F$3:$T$3,0),0)</f>
        <v>7.9809999999999999</v>
      </c>
      <c r="AV29" s="562"/>
      <c r="AW29" s="562"/>
      <c r="AX29" s="562"/>
      <c r="AY29" s="562"/>
      <c r="AZ29" s="562"/>
      <c r="BA29" s="562">
        <f>VLOOKUP(BA27,'Calculation Basis'!$F$4:$T$47,MATCH(BA28,'Calculation Basis'!$F$3:$T$3,0),0)</f>
        <v>7.9809999999999999</v>
      </c>
      <c r="BB29" s="562"/>
      <c r="BC29" s="562"/>
      <c r="BD29" s="562"/>
      <c r="BE29" s="562"/>
      <c r="BF29" s="562"/>
      <c r="BG29" s="562">
        <f>VLOOKUP(BG27,'Calculation Basis'!$F$4:$T$47,MATCH(BG28,'Calculation Basis'!$F$3:$T$3,0),0)</f>
        <v>7.9809999999999999</v>
      </c>
      <c r="BH29" s="562"/>
      <c r="BI29" s="562"/>
      <c r="BJ29" s="562"/>
      <c r="BK29" s="562"/>
      <c r="BL29" s="562"/>
      <c r="BM29" s="562">
        <f>VLOOKUP(BM27,'Calculation Basis'!$F$4:$T$47,MATCH(BM28,'Calculation Basis'!$F$3:$T$3,0),0)</f>
        <v>7.9809999999999999</v>
      </c>
      <c r="BN29" s="562"/>
      <c r="BO29" s="562"/>
      <c r="BP29" s="562"/>
      <c r="BQ29" s="562"/>
      <c r="BR29" s="562"/>
      <c r="BS29" s="562">
        <f>VLOOKUP(BS27,'Calculation Basis'!$F$4:$T$47,MATCH(BS28,'Calculation Basis'!$F$3:$T$3,0),0)</f>
        <v>7.9809999999999999</v>
      </c>
      <c r="BT29" s="562"/>
      <c r="BU29" s="562"/>
      <c r="BV29" s="562"/>
      <c r="BW29" s="562"/>
      <c r="BX29" s="562"/>
      <c r="BY29" s="562">
        <f>VLOOKUP(BY27,'Calculation Basis'!$F$4:$T$47,MATCH(BY28,'Calculation Basis'!$F$3:$T$3,0),0)</f>
        <v>6.0650000000000004</v>
      </c>
      <c r="BZ29" s="562"/>
      <c r="CA29" s="562"/>
      <c r="CB29" s="562"/>
      <c r="CC29" s="562"/>
      <c r="CD29" s="562"/>
      <c r="CE29" s="562">
        <f>VLOOKUP(CE27,'Calculation Basis'!$F$4:$T$47,MATCH(CE28,'Calculation Basis'!$F$3:$T$3,0),0)</f>
        <v>3.0680000000000001</v>
      </c>
      <c r="CF29" s="562"/>
      <c r="CG29" s="562"/>
      <c r="CH29" s="562"/>
      <c r="CI29" s="562"/>
      <c r="CJ29" s="562"/>
      <c r="CK29" s="562">
        <f>VLOOKUP(CK27,'Calculation Basis'!$F$4:$T$47,MATCH(CK28,'Calculation Basis'!$F$3:$T$3,0),0)</f>
        <v>7.9809999999999999</v>
      </c>
      <c r="CL29" s="562"/>
      <c r="CM29" s="562"/>
      <c r="CN29" s="562"/>
      <c r="CO29" s="562"/>
      <c r="CP29" s="562"/>
      <c r="CQ29" s="562">
        <f>VLOOKUP(CQ27,'Calculation Basis'!$F$4:$T$47,MATCH(CQ28,'Calculation Basis'!$F$3:$T$3,0),0)</f>
        <v>7.9809999999999999</v>
      </c>
      <c r="CR29" s="562"/>
      <c r="CS29" s="562"/>
      <c r="CT29" s="562"/>
      <c r="CU29" s="562"/>
      <c r="CV29" s="562"/>
      <c r="CW29" s="562">
        <f>VLOOKUP(CW27,'Calculation Basis'!$F$4:$T$47,MATCH(CW28,'Calculation Basis'!$F$3:$T$3,0),0)</f>
        <v>2.9</v>
      </c>
      <c r="CX29" s="562"/>
      <c r="CY29" s="562"/>
      <c r="CZ29" s="562"/>
      <c r="DA29" s="562"/>
      <c r="DB29" s="562"/>
    </row>
    <row r="30" spans="2:106" ht="14.5" customHeight="1" x14ac:dyDescent="0.35">
      <c r="B30" s="85"/>
      <c r="C30" s="11" t="s">
        <v>75</v>
      </c>
      <c r="D30" s="7"/>
      <c r="E30" s="560" t="s">
        <v>82</v>
      </c>
      <c r="F30" s="560"/>
      <c r="G30" s="560"/>
      <c r="H30" s="560"/>
      <c r="I30" s="560"/>
      <c r="J30" s="560"/>
      <c r="K30" s="560" t="s">
        <v>82</v>
      </c>
      <c r="L30" s="560"/>
      <c r="M30" s="560"/>
      <c r="N30" s="560"/>
      <c r="O30" s="560"/>
      <c r="P30" s="560"/>
      <c r="Q30" s="560" t="s">
        <v>82</v>
      </c>
      <c r="R30" s="560"/>
      <c r="S30" s="560"/>
      <c r="T30" s="560"/>
      <c r="U30" s="560"/>
      <c r="V30" s="560"/>
      <c r="W30" s="560" t="s">
        <v>82</v>
      </c>
      <c r="X30" s="560"/>
      <c r="Y30" s="560"/>
      <c r="Z30" s="560"/>
      <c r="AA30" s="560"/>
      <c r="AB30" s="560"/>
      <c r="AC30" s="560" t="s">
        <v>82</v>
      </c>
      <c r="AD30" s="560"/>
      <c r="AE30" s="560"/>
      <c r="AF30" s="560"/>
      <c r="AG30" s="560"/>
      <c r="AH30" s="560"/>
      <c r="AI30" s="560" t="s">
        <v>82</v>
      </c>
      <c r="AJ30" s="560"/>
      <c r="AK30" s="560"/>
      <c r="AL30" s="560"/>
      <c r="AM30" s="560"/>
      <c r="AN30" s="560"/>
      <c r="AO30" s="560" t="s">
        <v>82</v>
      </c>
      <c r="AP30" s="560"/>
      <c r="AQ30" s="560"/>
      <c r="AR30" s="560"/>
      <c r="AS30" s="560"/>
      <c r="AT30" s="560"/>
      <c r="AU30" s="560" t="s">
        <v>82</v>
      </c>
      <c r="AV30" s="560"/>
      <c r="AW30" s="560"/>
      <c r="AX30" s="560"/>
      <c r="AY30" s="560"/>
      <c r="AZ30" s="560"/>
      <c r="BA30" s="560" t="s">
        <v>82</v>
      </c>
      <c r="BB30" s="560"/>
      <c r="BC30" s="560"/>
      <c r="BD30" s="560"/>
      <c r="BE30" s="560"/>
      <c r="BF30" s="560"/>
      <c r="BG30" s="560" t="s">
        <v>82</v>
      </c>
      <c r="BH30" s="560"/>
      <c r="BI30" s="560"/>
      <c r="BJ30" s="560"/>
      <c r="BK30" s="560"/>
      <c r="BL30" s="560"/>
      <c r="BM30" s="560" t="s">
        <v>82</v>
      </c>
      <c r="BN30" s="560"/>
      <c r="BO30" s="560"/>
      <c r="BP30" s="560"/>
      <c r="BQ30" s="560"/>
      <c r="BR30" s="560"/>
      <c r="BS30" s="560" t="s">
        <v>82</v>
      </c>
      <c r="BT30" s="560"/>
      <c r="BU30" s="560"/>
      <c r="BV30" s="560"/>
      <c r="BW30" s="560"/>
      <c r="BX30" s="560"/>
      <c r="BY30" s="560" t="s">
        <v>82</v>
      </c>
      <c r="BZ30" s="560"/>
      <c r="CA30" s="560"/>
      <c r="CB30" s="560"/>
      <c r="CC30" s="560"/>
      <c r="CD30" s="560"/>
      <c r="CE30" s="560" t="s">
        <v>82</v>
      </c>
      <c r="CF30" s="560"/>
      <c r="CG30" s="560"/>
      <c r="CH30" s="560"/>
      <c r="CI30" s="560"/>
      <c r="CJ30" s="560"/>
      <c r="CK30" s="560" t="s">
        <v>82</v>
      </c>
      <c r="CL30" s="560"/>
      <c r="CM30" s="560"/>
      <c r="CN30" s="560"/>
      <c r="CO30" s="560"/>
      <c r="CP30" s="560"/>
      <c r="CQ30" s="560" t="s">
        <v>82</v>
      </c>
      <c r="CR30" s="560"/>
      <c r="CS30" s="560"/>
      <c r="CT30" s="560"/>
      <c r="CU30" s="560"/>
      <c r="CV30" s="560"/>
      <c r="CW30" s="560" t="s">
        <v>82</v>
      </c>
      <c r="CX30" s="560"/>
      <c r="CY30" s="560"/>
      <c r="CZ30" s="560"/>
      <c r="DA30" s="560"/>
      <c r="DB30" s="560"/>
    </row>
    <row r="31" spans="2:106" x14ac:dyDescent="0.35">
      <c r="B31" s="85"/>
      <c r="C31" s="11" t="s">
        <v>83</v>
      </c>
      <c r="D31" s="7" t="s">
        <v>84</v>
      </c>
      <c r="E31" s="562">
        <f>VLOOKUP(E30,'Calculation Basis'!$X$4:$Y$9,2,FALSE)</f>
        <v>1.8E-3</v>
      </c>
      <c r="F31" s="562"/>
      <c r="G31" s="562"/>
      <c r="H31" s="562"/>
      <c r="I31" s="562"/>
      <c r="J31" s="562"/>
      <c r="K31" s="562">
        <f>VLOOKUP(K30,'Calculation Basis'!$X$4:$Y$9,2,FALSE)</f>
        <v>1.8E-3</v>
      </c>
      <c r="L31" s="562"/>
      <c r="M31" s="562"/>
      <c r="N31" s="562"/>
      <c r="O31" s="562"/>
      <c r="P31" s="562"/>
      <c r="Q31" s="562">
        <f>VLOOKUP(Q30,'Calculation Basis'!$X$4:$Y$9,2,FALSE)</f>
        <v>1.8E-3</v>
      </c>
      <c r="R31" s="562"/>
      <c r="S31" s="562"/>
      <c r="T31" s="562"/>
      <c r="U31" s="562"/>
      <c r="V31" s="562"/>
      <c r="W31" s="562">
        <f>VLOOKUP(W30,'Calculation Basis'!$X$4:$Y$9,2,FALSE)</f>
        <v>1.8E-3</v>
      </c>
      <c r="X31" s="562"/>
      <c r="Y31" s="562"/>
      <c r="Z31" s="562"/>
      <c r="AA31" s="562"/>
      <c r="AB31" s="562"/>
      <c r="AC31" s="562">
        <f>VLOOKUP(AC30,'Calculation Basis'!$X$4:$Y$9,2,FALSE)</f>
        <v>1.8E-3</v>
      </c>
      <c r="AD31" s="562"/>
      <c r="AE31" s="562"/>
      <c r="AF31" s="562"/>
      <c r="AG31" s="562"/>
      <c r="AH31" s="562"/>
      <c r="AI31" s="562">
        <f>VLOOKUP(AI30,'Calculation Basis'!$X$4:$Y$9,2,FALSE)</f>
        <v>1.8E-3</v>
      </c>
      <c r="AJ31" s="562"/>
      <c r="AK31" s="562"/>
      <c r="AL31" s="562"/>
      <c r="AM31" s="562"/>
      <c r="AN31" s="562"/>
      <c r="AO31" s="562">
        <f>VLOOKUP(AO30,'Calculation Basis'!$X$4:$Y$9,2,FALSE)</f>
        <v>1.8E-3</v>
      </c>
      <c r="AP31" s="562"/>
      <c r="AQ31" s="562"/>
      <c r="AR31" s="562"/>
      <c r="AS31" s="562"/>
      <c r="AT31" s="562"/>
      <c r="AU31" s="562">
        <f>VLOOKUP(AU30,'Calculation Basis'!$X$4:$Y$9,2,FALSE)</f>
        <v>1.8E-3</v>
      </c>
      <c r="AV31" s="562"/>
      <c r="AW31" s="562"/>
      <c r="AX31" s="562"/>
      <c r="AY31" s="562"/>
      <c r="AZ31" s="562"/>
      <c r="BA31" s="562">
        <f>VLOOKUP(BA30,'Calculation Basis'!$X$4:$Y$9,2,FALSE)</f>
        <v>1.8E-3</v>
      </c>
      <c r="BB31" s="562"/>
      <c r="BC31" s="562"/>
      <c r="BD31" s="562"/>
      <c r="BE31" s="562"/>
      <c r="BF31" s="562"/>
      <c r="BG31" s="562">
        <f>VLOOKUP(BG30,'Calculation Basis'!$X$4:$Y$9,2,FALSE)</f>
        <v>1.8E-3</v>
      </c>
      <c r="BH31" s="562"/>
      <c r="BI31" s="562"/>
      <c r="BJ31" s="562"/>
      <c r="BK31" s="562"/>
      <c r="BL31" s="562"/>
      <c r="BM31" s="562">
        <f>VLOOKUP(BM30,'Calculation Basis'!$X$4:$Y$9,2,FALSE)</f>
        <v>1.8E-3</v>
      </c>
      <c r="BN31" s="562"/>
      <c r="BO31" s="562"/>
      <c r="BP31" s="562"/>
      <c r="BQ31" s="562"/>
      <c r="BR31" s="562"/>
      <c r="BS31" s="562">
        <f>VLOOKUP(BS30,'Calculation Basis'!$X$4:$Y$9,2,FALSE)</f>
        <v>1.8E-3</v>
      </c>
      <c r="BT31" s="562"/>
      <c r="BU31" s="562"/>
      <c r="BV31" s="562"/>
      <c r="BW31" s="562"/>
      <c r="BX31" s="562"/>
      <c r="BY31" s="562">
        <f>VLOOKUP(BY30,'Calculation Basis'!$X$4:$Y$9,2,FALSE)</f>
        <v>1.8E-3</v>
      </c>
      <c r="BZ31" s="562"/>
      <c r="CA31" s="562"/>
      <c r="CB31" s="562"/>
      <c r="CC31" s="562"/>
      <c r="CD31" s="562"/>
      <c r="CE31" s="562">
        <f>VLOOKUP(CE30,'Calculation Basis'!$X$4:$Y$9,2,FALSE)</f>
        <v>1.8E-3</v>
      </c>
      <c r="CF31" s="562"/>
      <c r="CG31" s="562"/>
      <c r="CH31" s="562"/>
      <c r="CI31" s="562"/>
      <c r="CJ31" s="562"/>
      <c r="CK31" s="562">
        <f>VLOOKUP(CK30,'Calculation Basis'!$X$4:$Y$9,2,FALSE)</f>
        <v>1.8E-3</v>
      </c>
      <c r="CL31" s="562"/>
      <c r="CM31" s="562"/>
      <c r="CN31" s="562"/>
      <c r="CO31" s="562"/>
      <c r="CP31" s="562"/>
      <c r="CQ31" s="562">
        <f>VLOOKUP(CQ30,'Calculation Basis'!$X$4:$Y$9,2,FALSE)</f>
        <v>1.8E-3</v>
      </c>
      <c r="CR31" s="562"/>
      <c r="CS31" s="562"/>
      <c r="CT31" s="562"/>
      <c r="CU31" s="562"/>
      <c r="CV31" s="562"/>
      <c r="CW31" s="562">
        <f>VLOOKUP(CW30,'Calculation Basis'!$X$4:$Y$9,2,FALSE)</f>
        <v>1.8E-3</v>
      </c>
      <c r="CX31" s="562"/>
      <c r="CY31" s="562"/>
      <c r="CZ31" s="562"/>
      <c r="DA31" s="562"/>
      <c r="DB31" s="562"/>
    </row>
    <row r="32" spans="2:106" x14ac:dyDescent="0.35">
      <c r="B32" s="85"/>
      <c r="C32" s="33" t="s">
        <v>59</v>
      </c>
      <c r="D32" s="7"/>
      <c r="E32"/>
      <c r="F32"/>
      <c r="G32"/>
      <c r="H32"/>
      <c r="I32"/>
      <c r="J32"/>
      <c r="K32"/>
      <c r="L32"/>
      <c r="M32"/>
      <c r="N32"/>
      <c r="O32"/>
      <c r="P32"/>
      <c r="Q32"/>
      <c r="R32"/>
      <c r="S32"/>
      <c r="T32"/>
      <c r="U32"/>
      <c r="W32"/>
      <c r="X32"/>
      <c r="Y32"/>
      <c r="Z32"/>
      <c r="AA32"/>
      <c r="AC32"/>
      <c r="AD32"/>
      <c r="AE32"/>
      <c r="AF32"/>
      <c r="AG32"/>
      <c r="AI32"/>
      <c r="AJ32"/>
      <c r="AK32"/>
      <c r="AL32"/>
      <c r="AM32"/>
      <c r="AO32"/>
      <c r="AP32"/>
      <c r="AQ32"/>
      <c r="AR32"/>
      <c r="AS32"/>
      <c r="AU32"/>
      <c r="AV32"/>
      <c r="AW32"/>
      <c r="AX32"/>
      <c r="AY32"/>
      <c r="BA32"/>
      <c r="BB32"/>
      <c r="BC32"/>
      <c r="BD32"/>
      <c r="BE32"/>
      <c r="BG32"/>
      <c r="BH32"/>
      <c r="BI32"/>
      <c r="BJ32"/>
      <c r="BK32"/>
      <c r="BM32"/>
      <c r="BN32"/>
      <c r="BO32"/>
      <c r="BP32"/>
      <c r="BQ32"/>
      <c r="BS32"/>
      <c r="BT32"/>
      <c r="BU32"/>
      <c r="BV32"/>
      <c r="BW32"/>
      <c r="BY32"/>
      <c r="BZ32"/>
      <c r="CA32"/>
      <c r="CB32"/>
      <c r="CC32"/>
      <c r="CE32"/>
      <c r="CF32"/>
      <c r="CG32"/>
      <c r="CH32"/>
      <c r="CI32"/>
      <c r="CK32"/>
      <c r="CL32"/>
      <c r="CM32"/>
      <c r="CN32"/>
      <c r="CO32"/>
      <c r="CQ32"/>
      <c r="CR32"/>
      <c r="CS32"/>
      <c r="CT32"/>
      <c r="CU32"/>
      <c r="CW32"/>
      <c r="CX32"/>
      <c r="CY32"/>
      <c r="CZ32"/>
      <c r="DA32"/>
    </row>
    <row r="33" spans="2:106" x14ac:dyDescent="0.35">
      <c r="B33" s="85"/>
      <c r="C33" s="87" t="s">
        <v>35</v>
      </c>
      <c r="D33" s="42" t="s">
        <v>68</v>
      </c>
      <c r="E33" s="563">
        <f>E9</f>
        <v>9796.0082882289389</v>
      </c>
      <c r="F33" s="563"/>
      <c r="G33" s="564"/>
      <c r="H33" s="564"/>
      <c r="I33" s="564"/>
      <c r="J33" s="564"/>
      <c r="K33" s="563">
        <f>K9</f>
        <v>9796.0082882289389</v>
      </c>
      <c r="L33" s="563"/>
      <c r="M33" s="564"/>
      <c r="N33" s="564"/>
      <c r="O33" s="564"/>
      <c r="P33" s="564"/>
      <c r="Q33" s="563">
        <f>Q9</f>
        <v>9796.0082882289389</v>
      </c>
      <c r="R33" s="563"/>
      <c r="S33" s="564"/>
      <c r="T33" s="564"/>
      <c r="U33" s="564"/>
      <c r="V33" s="564"/>
      <c r="W33" s="563">
        <f>W9</f>
        <v>9795.4382137011762</v>
      </c>
      <c r="X33" s="563"/>
      <c r="Y33" s="564"/>
      <c r="Z33" s="564"/>
      <c r="AA33" s="564"/>
      <c r="AB33" s="564"/>
      <c r="AC33" s="563">
        <f>AC9</f>
        <v>9795.4382137011762</v>
      </c>
      <c r="AD33" s="563"/>
      <c r="AE33" s="564"/>
      <c r="AF33" s="564"/>
      <c r="AG33" s="564"/>
      <c r="AH33" s="564"/>
      <c r="AI33" s="563">
        <f>AI9</f>
        <v>17971.815652995152</v>
      </c>
      <c r="AJ33" s="563"/>
      <c r="AK33" s="564"/>
      <c r="AL33" s="564"/>
      <c r="AM33" s="564"/>
      <c r="AN33" s="564"/>
      <c r="AO33" s="563">
        <f>AO9</f>
        <v>17971.815652995152</v>
      </c>
      <c r="AP33" s="563"/>
      <c r="AQ33" s="564"/>
      <c r="AR33" s="564"/>
      <c r="AS33" s="564"/>
      <c r="AT33" s="564"/>
      <c r="AU33" s="563">
        <f>AU9</f>
        <v>17971.815652995152</v>
      </c>
      <c r="AV33" s="563"/>
      <c r="AW33" s="564"/>
      <c r="AX33" s="564"/>
      <c r="AY33" s="564"/>
      <c r="AZ33" s="564"/>
      <c r="BA33" s="563">
        <f>BA9</f>
        <v>17971.815652995152</v>
      </c>
      <c r="BB33" s="563"/>
      <c r="BC33" s="564"/>
      <c r="BD33" s="564"/>
      <c r="BE33" s="564"/>
      <c r="BF33" s="564"/>
      <c r="BG33" s="563">
        <f>BG9</f>
        <v>17971.815652995152</v>
      </c>
      <c r="BH33" s="563"/>
      <c r="BI33" s="564"/>
      <c r="BJ33" s="564"/>
      <c r="BK33" s="564"/>
      <c r="BL33" s="564"/>
      <c r="BM33" s="563">
        <f>BM9</f>
        <v>17971.815652995152</v>
      </c>
      <c r="BN33" s="563"/>
      <c r="BO33" s="564"/>
      <c r="BP33" s="564"/>
      <c r="BQ33" s="564"/>
      <c r="BR33" s="564"/>
      <c r="BS33" s="563">
        <f>BS9</f>
        <v>17971.815652995152</v>
      </c>
      <c r="BT33" s="563"/>
      <c r="BU33" s="564"/>
      <c r="BV33" s="564"/>
      <c r="BW33" s="564"/>
      <c r="BX33" s="564"/>
      <c r="BY33" s="563">
        <f>BY9</f>
        <v>17971.815652995152</v>
      </c>
      <c r="BZ33" s="563"/>
      <c r="CA33" s="564"/>
      <c r="CB33" s="564"/>
      <c r="CC33" s="564"/>
      <c r="CD33" s="564"/>
      <c r="CE33" s="563">
        <f>CE9</f>
        <v>3587.0764912074692</v>
      </c>
      <c r="CF33" s="563"/>
      <c r="CG33" s="564"/>
      <c r="CH33" s="564"/>
      <c r="CI33" s="564"/>
      <c r="CJ33" s="564"/>
      <c r="CK33" s="563">
        <f>CK9</f>
        <v>8176.3774392939749</v>
      </c>
      <c r="CL33" s="563"/>
      <c r="CM33" s="564"/>
      <c r="CN33" s="564"/>
      <c r="CO33" s="564"/>
      <c r="CP33" s="564"/>
      <c r="CQ33" s="563">
        <f>CQ9</f>
        <v>6208.3617224937061</v>
      </c>
      <c r="CR33" s="563"/>
      <c r="CS33" s="564"/>
      <c r="CT33" s="564"/>
      <c r="CU33" s="564"/>
      <c r="CV33" s="564"/>
      <c r="CW33" s="563">
        <f>CW9</f>
        <v>3587.0764912074692</v>
      </c>
      <c r="CX33" s="563"/>
      <c r="CY33" s="564"/>
      <c r="CZ33" s="564"/>
      <c r="DA33" s="564"/>
      <c r="DB33" s="564"/>
    </row>
    <row r="34" spans="2:106" x14ac:dyDescent="0.35">
      <c r="B34" s="85"/>
      <c r="C34" s="87" t="s">
        <v>58</v>
      </c>
      <c r="D34" s="42" t="s">
        <v>57</v>
      </c>
      <c r="E34" s="560">
        <v>0.01</v>
      </c>
      <c r="F34" s="560"/>
      <c r="G34" s="560"/>
      <c r="H34" s="560"/>
      <c r="I34" s="560"/>
      <c r="J34" s="560"/>
      <c r="K34" s="560">
        <v>0.01</v>
      </c>
      <c r="L34" s="560"/>
      <c r="M34" s="560"/>
      <c r="N34" s="560"/>
      <c r="O34" s="560"/>
      <c r="P34" s="560"/>
      <c r="Q34" s="560">
        <v>0.01</v>
      </c>
      <c r="R34" s="560"/>
      <c r="S34" s="560"/>
      <c r="T34" s="560"/>
      <c r="U34" s="560"/>
      <c r="V34" s="560"/>
      <c r="W34" s="560">
        <v>0.01</v>
      </c>
      <c r="X34" s="560"/>
      <c r="Y34" s="560"/>
      <c r="Z34" s="560"/>
      <c r="AA34" s="560"/>
      <c r="AB34" s="560"/>
      <c r="AC34" s="560">
        <v>0.01</v>
      </c>
      <c r="AD34" s="560"/>
      <c r="AE34" s="560"/>
      <c r="AF34" s="560"/>
      <c r="AG34" s="560"/>
      <c r="AH34" s="560"/>
      <c r="AI34" s="560">
        <v>0.01</v>
      </c>
      <c r="AJ34" s="560"/>
      <c r="AK34" s="560"/>
      <c r="AL34" s="560"/>
      <c r="AM34" s="560"/>
      <c r="AN34" s="560"/>
      <c r="AO34" s="560">
        <v>0.01</v>
      </c>
      <c r="AP34" s="560"/>
      <c r="AQ34" s="560"/>
      <c r="AR34" s="560"/>
      <c r="AS34" s="560"/>
      <c r="AT34" s="560"/>
      <c r="AU34" s="560">
        <v>0.01</v>
      </c>
      <c r="AV34" s="560"/>
      <c r="AW34" s="560"/>
      <c r="AX34" s="560"/>
      <c r="AY34" s="560"/>
      <c r="AZ34" s="560"/>
      <c r="BA34" s="560">
        <v>0.01</v>
      </c>
      <c r="BB34" s="560"/>
      <c r="BC34" s="560"/>
      <c r="BD34" s="560"/>
      <c r="BE34" s="560"/>
      <c r="BF34" s="560"/>
      <c r="BG34" s="560">
        <v>0.01</v>
      </c>
      <c r="BH34" s="560"/>
      <c r="BI34" s="560"/>
      <c r="BJ34" s="560"/>
      <c r="BK34" s="560"/>
      <c r="BL34" s="560"/>
      <c r="BM34" s="560">
        <v>0.01</v>
      </c>
      <c r="BN34" s="560"/>
      <c r="BO34" s="560"/>
      <c r="BP34" s="560"/>
      <c r="BQ34" s="560"/>
      <c r="BR34" s="560"/>
      <c r="BS34" s="560">
        <v>0.01</v>
      </c>
      <c r="BT34" s="560"/>
      <c r="BU34" s="560"/>
      <c r="BV34" s="560"/>
      <c r="BW34" s="560"/>
      <c r="BX34" s="560"/>
      <c r="BY34" s="560">
        <v>0.01</v>
      </c>
      <c r="BZ34" s="560"/>
      <c r="CA34" s="560"/>
      <c r="CB34" s="560"/>
      <c r="CC34" s="560"/>
      <c r="CD34" s="560"/>
      <c r="CE34" s="560">
        <v>0.01</v>
      </c>
      <c r="CF34" s="560"/>
      <c r="CG34" s="560"/>
      <c r="CH34" s="560"/>
      <c r="CI34" s="560"/>
      <c r="CJ34" s="560"/>
      <c r="CK34" s="560">
        <v>0.01</v>
      </c>
      <c r="CL34" s="560"/>
      <c r="CM34" s="560"/>
      <c r="CN34" s="560"/>
      <c r="CO34" s="560"/>
      <c r="CP34" s="560"/>
      <c r="CQ34" s="560">
        <v>0.01</v>
      </c>
      <c r="CR34" s="560"/>
      <c r="CS34" s="560"/>
      <c r="CT34" s="560"/>
      <c r="CU34" s="560"/>
      <c r="CV34" s="560"/>
      <c r="CW34" s="560">
        <v>0.01</v>
      </c>
      <c r="CX34" s="560"/>
      <c r="CY34" s="560"/>
      <c r="CZ34" s="560"/>
      <c r="DA34" s="560"/>
      <c r="DB34" s="560"/>
    </row>
    <row r="35" spans="2:106" x14ac:dyDescent="0.35">
      <c r="B35" s="85"/>
      <c r="C35" s="87" t="s">
        <v>56</v>
      </c>
      <c r="D35" s="42" t="s">
        <v>67</v>
      </c>
      <c r="E35" s="565">
        <f>E13</f>
        <v>6.6688020679925228E-2</v>
      </c>
      <c r="F35" s="565"/>
      <c r="G35" s="564"/>
      <c r="H35" s="564"/>
      <c r="I35" s="564"/>
      <c r="J35" s="564"/>
      <c r="K35" s="565">
        <f>K13</f>
        <v>8.6862360675088679E-2</v>
      </c>
      <c r="L35" s="565"/>
      <c r="M35" s="564"/>
      <c r="N35" s="564"/>
      <c r="O35" s="564"/>
      <c r="P35" s="564"/>
      <c r="Q35" s="565">
        <f>Q13</f>
        <v>8.1681483832792778E-2</v>
      </c>
      <c r="R35" s="565"/>
      <c r="S35" s="564"/>
      <c r="T35" s="564"/>
      <c r="U35" s="564"/>
      <c r="V35" s="564"/>
      <c r="W35" s="565">
        <f>W13</f>
        <v>7.7192551660211245E-2</v>
      </c>
      <c r="X35" s="565"/>
      <c r="Y35" s="564"/>
      <c r="Z35" s="564"/>
      <c r="AA35" s="564"/>
      <c r="AB35" s="564"/>
      <c r="AC35" s="565">
        <f>AC13</f>
        <v>7.4948582135205111E-2</v>
      </c>
      <c r="AD35" s="565"/>
      <c r="AE35" s="564"/>
      <c r="AF35" s="564"/>
      <c r="AG35" s="564"/>
      <c r="AH35" s="564"/>
      <c r="AI35" s="565">
        <f>AI13</f>
        <v>7.8469206821564996E-2</v>
      </c>
      <c r="AJ35" s="565"/>
      <c r="AK35" s="564"/>
      <c r="AL35" s="564"/>
      <c r="AM35" s="564"/>
      <c r="AN35" s="564"/>
      <c r="AO35" s="565">
        <f>AO13</f>
        <v>0.78886317271927497</v>
      </c>
      <c r="AP35" s="565"/>
      <c r="AQ35" s="564"/>
      <c r="AR35" s="564"/>
      <c r="AS35" s="564"/>
      <c r="AT35" s="564"/>
      <c r="AU35" s="565">
        <f>AU13</f>
        <v>0.81369467218877201</v>
      </c>
      <c r="AV35" s="565"/>
      <c r="AW35" s="564"/>
      <c r="AX35" s="564"/>
      <c r="AY35" s="564"/>
      <c r="AZ35" s="564"/>
      <c r="BA35" s="565">
        <f>BA13</f>
        <v>0.94950172843090386</v>
      </c>
      <c r="BB35" s="565"/>
      <c r="BC35" s="564"/>
      <c r="BD35" s="564"/>
      <c r="BE35" s="564"/>
      <c r="BF35" s="564"/>
      <c r="BG35" s="565">
        <f>BG13</f>
        <v>0.95368575750531892</v>
      </c>
      <c r="BH35" s="565"/>
      <c r="BI35" s="564"/>
      <c r="BJ35" s="564"/>
      <c r="BK35" s="564"/>
      <c r="BL35" s="564"/>
      <c r="BM35" s="565">
        <f>BM13</f>
        <v>1.0858137573892033</v>
      </c>
      <c r="BN35" s="565"/>
      <c r="BO35" s="564"/>
      <c r="BP35" s="564"/>
      <c r="BQ35" s="564"/>
      <c r="BR35" s="564"/>
      <c r="BS35" s="565">
        <f>BS13</f>
        <v>1.0543218225445494</v>
      </c>
      <c r="BT35" s="565"/>
      <c r="BU35" s="564"/>
      <c r="BV35" s="564"/>
      <c r="BW35" s="564"/>
      <c r="BX35" s="564"/>
      <c r="BY35" s="565">
        <f>BY13</f>
        <v>1.0441203535310557</v>
      </c>
      <c r="BZ35" s="565"/>
      <c r="CA35" s="564"/>
      <c r="CB35" s="564"/>
      <c r="CC35" s="564"/>
      <c r="CD35" s="564"/>
      <c r="CE35" s="565">
        <f>CE13</f>
        <v>0.4883897919502263</v>
      </c>
      <c r="CF35" s="565"/>
      <c r="CG35" s="564"/>
      <c r="CH35" s="564"/>
      <c r="CI35" s="564"/>
      <c r="CJ35" s="564"/>
      <c r="CK35" s="565">
        <f>CK13</f>
        <v>9.8969650626341749E-2</v>
      </c>
      <c r="CL35" s="565"/>
      <c r="CM35" s="564"/>
      <c r="CN35" s="564"/>
      <c r="CO35" s="564"/>
      <c r="CP35" s="564"/>
      <c r="CQ35" s="565">
        <f>CQ13</f>
        <v>0.12463012342433576</v>
      </c>
      <c r="CR35" s="565"/>
      <c r="CS35" s="564"/>
      <c r="CT35" s="564"/>
      <c r="CU35" s="564"/>
      <c r="CV35" s="564"/>
      <c r="CW35" s="565">
        <f>CW13</f>
        <v>0.4883897919502263</v>
      </c>
      <c r="CX35" s="565"/>
      <c r="CY35" s="564"/>
      <c r="CZ35" s="564"/>
      <c r="DA35" s="564"/>
      <c r="DB35" s="564"/>
    </row>
    <row r="36" spans="2:106" x14ac:dyDescent="0.35">
      <c r="B36" s="85"/>
      <c r="C36" s="38" t="s">
        <v>85</v>
      </c>
      <c r="D36" s="87"/>
      <c r="E36" s="82"/>
      <c r="F36" s="82"/>
      <c r="G36" s="81"/>
      <c r="H36" s="81"/>
      <c r="I36" s="81"/>
      <c r="J36" s="81"/>
      <c r="K36" s="82"/>
      <c r="L36" s="82"/>
      <c r="M36" s="81"/>
      <c r="N36" s="81"/>
      <c r="O36" s="81"/>
      <c r="P36" s="81"/>
      <c r="Q36" s="82"/>
      <c r="R36" s="82"/>
      <c r="S36" s="81"/>
      <c r="T36" s="81"/>
      <c r="U36" s="81"/>
      <c r="V36" s="81"/>
      <c r="W36" s="82"/>
      <c r="X36" s="82"/>
      <c r="Y36" s="81"/>
      <c r="Z36" s="81"/>
      <c r="AA36" s="81"/>
      <c r="AB36" s="81"/>
      <c r="AC36" s="82"/>
      <c r="AD36" s="82"/>
      <c r="AE36" s="81"/>
      <c r="AF36" s="81"/>
      <c r="AG36" s="81"/>
      <c r="AH36" s="81"/>
      <c r="AI36" s="82"/>
      <c r="AJ36" s="82"/>
      <c r="AK36" s="81"/>
      <c r="AL36" s="81"/>
      <c r="AM36" s="81"/>
      <c r="AN36" s="81"/>
      <c r="AO36" s="82"/>
      <c r="AP36" s="82"/>
      <c r="AQ36" s="81"/>
      <c r="AR36" s="81"/>
      <c r="AS36" s="81"/>
      <c r="AT36" s="81"/>
      <c r="AU36" s="82"/>
      <c r="AV36" s="82"/>
      <c r="AW36" s="81"/>
      <c r="AX36" s="81"/>
      <c r="AY36" s="81"/>
      <c r="AZ36" s="81"/>
      <c r="BA36" s="82"/>
      <c r="BB36" s="82"/>
      <c r="BC36" s="81"/>
      <c r="BD36" s="81"/>
      <c r="BE36" s="81"/>
      <c r="BF36" s="81"/>
      <c r="BG36" s="82"/>
      <c r="BH36" s="82"/>
      <c r="BI36" s="81"/>
      <c r="BJ36" s="81"/>
      <c r="BK36" s="81"/>
      <c r="BL36" s="81"/>
      <c r="BM36" s="82"/>
      <c r="BN36" s="82"/>
      <c r="BO36" s="81"/>
      <c r="BP36" s="81"/>
      <c r="BQ36" s="81"/>
      <c r="BR36" s="81"/>
      <c r="BS36" s="82"/>
      <c r="BT36" s="82"/>
      <c r="BU36" s="81"/>
      <c r="BV36" s="81"/>
      <c r="BW36" s="81"/>
      <c r="BX36" s="81"/>
      <c r="BY36" s="82"/>
      <c r="BZ36" s="82"/>
      <c r="CA36" s="81"/>
      <c r="CB36" s="81"/>
      <c r="CC36" s="81"/>
      <c r="CD36" s="81"/>
      <c r="CE36" s="82"/>
      <c r="CF36" s="82"/>
      <c r="CG36" s="81"/>
      <c r="CH36" s="81"/>
      <c r="CI36" s="81"/>
      <c r="CJ36" s="81"/>
      <c r="CK36" s="82"/>
      <c r="CL36" s="82"/>
      <c r="CM36" s="81"/>
      <c r="CN36" s="81"/>
      <c r="CO36" s="81"/>
      <c r="CP36" s="81"/>
      <c r="CQ36" s="82"/>
      <c r="CR36" s="82"/>
      <c r="CS36" s="81"/>
      <c r="CT36" s="81"/>
      <c r="CU36" s="81"/>
      <c r="CV36" s="81"/>
      <c r="CW36" s="82"/>
      <c r="CX36" s="82"/>
      <c r="CY36" s="81"/>
      <c r="CZ36" s="81"/>
      <c r="DA36" s="81"/>
      <c r="DB36" s="81"/>
    </row>
    <row r="37" spans="2:106" ht="14.5" hidden="1" customHeight="1" x14ac:dyDescent="0.35">
      <c r="B37" s="85"/>
      <c r="C37" s="87" t="s">
        <v>55</v>
      </c>
      <c r="D37" s="43" t="s">
        <v>66</v>
      </c>
      <c r="E37" s="566">
        <f>(PI()*((E29/12)^2))/4</f>
        <v>0.57302704543016947</v>
      </c>
      <c r="F37" s="566"/>
      <c r="G37" s="566"/>
      <c r="H37" s="566"/>
      <c r="I37" s="566"/>
      <c r="J37" s="566"/>
      <c r="K37" s="566">
        <f>(PI()*((K29/12)^2))/4</f>
        <v>0.57302704543016947</v>
      </c>
      <c r="L37" s="566"/>
      <c r="M37" s="566"/>
      <c r="N37" s="566"/>
      <c r="O37" s="566"/>
      <c r="P37" s="566"/>
      <c r="Q37" s="566">
        <f>(PI()*((Q29/12)^2))/4</f>
        <v>0.57302704543016947</v>
      </c>
      <c r="R37" s="566"/>
      <c r="S37" s="566"/>
      <c r="T37" s="566"/>
      <c r="U37" s="566"/>
      <c r="V37" s="566"/>
      <c r="W37" s="566">
        <f>(PI()*((W29/12)^2))/4</f>
        <v>0.57302704543016947</v>
      </c>
      <c r="X37" s="566"/>
      <c r="Y37" s="566"/>
      <c r="Z37" s="566"/>
      <c r="AA37" s="566"/>
      <c r="AB37" s="566"/>
      <c r="AC37" s="566">
        <f>(PI()*((AC29/12)^2))/4</f>
        <v>0.57302704543016947</v>
      </c>
      <c r="AD37" s="566"/>
      <c r="AE37" s="566"/>
      <c r="AF37" s="566"/>
      <c r="AG37" s="566"/>
      <c r="AH37" s="566"/>
      <c r="AI37" s="566">
        <f>(PI()*((AI29/12)^2))/4</f>
        <v>1.6467474707880836</v>
      </c>
      <c r="AJ37" s="566"/>
      <c r="AK37" s="566"/>
      <c r="AL37" s="566"/>
      <c r="AM37" s="566"/>
      <c r="AN37" s="566"/>
      <c r="AO37" s="566">
        <f>(PI()*((AO29/12)^2))/4</f>
        <v>0.34740975655903372</v>
      </c>
      <c r="AP37" s="566"/>
      <c r="AQ37" s="566"/>
      <c r="AR37" s="566"/>
      <c r="AS37" s="566"/>
      <c r="AT37" s="566"/>
      <c r="AU37" s="566">
        <f>(PI()*((AU29/12)^2))/4</f>
        <v>0.34740975655903372</v>
      </c>
      <c r="AV37" s="566"/>
      <c r="AW37" s="566"/>
      <c r="AX37" s="566"/>
      <c r="AY37" s="566"/>
      <c r="AZ37" s="566"/>
      <c r="BA37" s="566">
        <f>(PI()*((BA29/12)^2))/4</f>
        <v>0.34740975655903372</v>
      </c>
      <c r="BB37" s="566"/>
      <c r="BC37" s="566"/>
      <c r="BD37" s="566"/>
      <c r="BE37" s="566"/>
      <c r="BF37" s="566"/>
      <c r="BG37" s="566">
        <f>(PI()*((BG29/12)^2))/4</f>
        <v>0.34740975655903372</v>
      </c>
      <c r="BH37" s="566"/>
      <c r="BI37" s="566"/>
      <c r="BJ37" s="566"/>
      <c r="BK37" s="566"/>
      <c r="BL37" s="566"/>
      <c r="BM37" s="566">
        <f>(PI()*((BM29/12)^2))/4</f>
        <v>0.34740975655903372</v>
      </c>
      <c r="BN37" s="566"/>
      <c r="BO37" s="566"/>
      <c r="BP37" s="566"/>
      <c r="BQ37" s="566"/>
      <c r="BR37" s="566"/>
      <c r="BS37" s="566">
        <f>(PI()*((BS29/12)^2))/4</f>
        <v>0.34740975655903372</v>
      </c>
      <c r="BT37" s="566"/>
      <c r="BU37" s="566"/>
      <c r="BV37" s="566"/>
      <c r="BW37" s="566"/>
      <c r="BX37" s="566"/>
      <c r="BY37" s="566">
        <f>(PI()*((BY29/12)^2))/4</f>
        <v>0.20062682470137855</v>
      </c>
      <c r="BZ37" s="566"/>
      <c r="CA37" s="566"/>
      <c r="CB37" s="566"/>
      <c r="CC37" s="566"/>
      <c r="CD37" s="566"/>
      <c r="CE37" s="566">
        <f>(PI()*((CE29/12)^2))/4</f>
        <v>5.13379000163246E-2</v>
      </c>
      <c r="CF37" s="566"/>
      <c r="CG37" s="566"/>
      <c r="CH37" s="566"/>
      <c r="CI37" s="566"/>
      <c r="CJ37" s="566"/>
      <c r="CK37" s="566">
        <f>(PI()*((CK29/12)^2))/4</f>
        <v>0.34740975655903372</v>
      </c>
      <c r="CL37" s="566"/>
      <c r="CM37" s="566"/>
      <c r="CN37" s="566"/>
      <c r="CO37" s="566"/>
      <c r="CP37" s="566"/>
      <c r="CQ37" s="566">
        <f>(PI()*((CQ29/12)^2))/4</f>
        <v>0.34740975655903372</v>
      </c>
      <c r="CR37" s="566"/>
      <c r="CS37" s="566"/>
      <c r="CT37" s="566"/>
      <c r="CU37" s="566"/>
      <c r="CV37" s="566"/>
      <c r="CW37" s="566">
        <f>(PI()*((CW29/12)^2))/4</f>
        <v>4.5869434403975971E-2</v>
      </c>
      <c r="CX37" s="566"/>
      <c r="CY37" s="566"/>
      <c r="CZ37" s="566"/>
      <c r="DA37" s="566"/>
      <c r="DB37" s="566"/>
    </row>
    <row r="38" spans="2:106" x14ac:dyDescent="0.35">
      <c r="B38" s="85"/>
      <c r="C38" s="87" t="s">
        <v>54</v>
      </c>
      <c r="D38" s="42" t="s">
        <v>65</v>
      </c>
      <c r="E38" s="567">
        <f>E33/E35</f>
        <v>146893.0729740159</v>
      </c>
      <c r="F38" s="567"/>
      <c r="G38" s="567"/>
      <c r="H38" s="567"/>
      <c r="I38" s="567"/>
      <c r="J38" s="567"/>
      <c r="K38" s="567">
        <f>K33/K35</f>
        <v>112776.21529158307</v>
      </c>
      <c r="L38" s="567"/>
      <c r="M38" s="567"/>
      <c r="N38" s="567"/>
      <c r="O38" s="567"/>
      <c r="P38" s="567"/>
      <c r="Q38" s="567">
        <f>Q33/Q35</f>
        <v>119929.36255029346</v>
      </c>
      <c r="R38" s="567"/>
      <c r="S38" s="567"/>
      <c r="T38" s="567"/>
      <c r="U38" s="567"/>
      <c r="V38" s="567"/>
      <c r="W38" s="567">
        <f>W33/W35</f>
        <v>126896.15776427581</v>
      </c>
      <c r="X38" s="567"/>
      <c r="Y38" s="567"/>
      <c r="Z38" s="567"/>
      <c r="AA38" s="567"/>
      <c r="AB38" s="567"/>
      <c r="AC38" s="567">
        <f>AC33/AC35</f>
        <v>130695.44392488286</v>
      </c>
      <c r="AD38" s="567"/>
      <c r="AE38" s="567"/>
      <c r="AF38" s="567"/>
      <c r="AG38" s="567"/>
      <c r="AH38" s="567"/>
      <c r="AI38" s="567">
        <f>AI33/AI35</f>
        <v>229030.16840557789</v>
      </c>
      <c r="AJ38" s="567"/>
      <c r="AK38" s="567"/>
      <c r="AL38" s="567"/>
      <c r="AM38" s="567"/>
      <c r="AN38" s="567"/>
      <c r="AO38" s="567">
        <f>AO33/AO35</f>
        <v>22781.91741546871</v>
      </c>
      <c r="AP38" s="567"/>
      <c r="AQ38" s="567"/>
      <c r="AR38" s="567"/>
      <c r="AS38" s="567"/>
      <c r="AT38" s="567"/>
      <c r="AU38" s="567">
        <f>AU33/AU35</f>
        <v>22086.682225228833</v>
      </c>
      <c r="AV38" s="567"/>
      <c r="AW38" s="567"/>
      <c r="AX38" s="567"/>
      <c r="AY38" s="567"/>
      <c r="AZ38" s="567"/>
      <c r="BA38" s="567">
        <f>BA33/BA35</f>
        <v>18927.628159976517</v>
      </c>
      <c r="BB38" s="567"/>
      <c r="BC38" s="567"/>
      <c r="BD38" s="567"/>
      <c r="BE38" s="567"/>
      <c r="BF38" s="567"/>
      <c r="BG38" s="567">
        <f>BG33/BG35</f>
        <v>18844.588494229367</v>
      </c>
      <c r="BH38" s="567"/>
      <c r="BI38" s="567"/>
      <c r="BJ38" s="567"/>
      <c r="BK38" s="567"/>
      <c r="BL38" s="567"/>
      <c r="BM38" s="567">
        <f>BM33/BM35</f>
        <v>16551.471677986177</v>
      </c>
      <c r="BN38" s="567"/>
      <c r="BO38" s="567"/>
      <c r="BP38" s="567"/>
      <c r="BQ38" s="567"/>
      <c r="BR38" s="567"/>
      <c r="BS38" s="567">
        <f>BS33/BS35</f>
        <v>17045.853807351854</v>
      </c>
      <c r="BT38" s="567"/>
      <c r="BU38" s="567"/>
      <c r="BV38" s="567"/>
      <c r="BW38" s="567"/>
      <c r="BX38" s="567"/>
      <c r="BY38" s="567">
        <f>BY33/BY35</f>
        <v>17212.398544111522</v>
      </c>
      <c r="BZ38" s="567"/>
      <c r="CA38" s="567"/>
      <c r="CB38" s="567"/>
      <c r="CC38" s="567"/>
      <c r="CD38" s="567"/>
      <c r="CE38" s="567">
        <f>CE33/CE35</f>
        <v>7344.6999718885236</v>
      </c>
      <c r="CF38" s="567"/>
      <c r="CG38" s="567"/>
      <c r="CH38" s="567"/>
      <c r="CI38" s="567"/>
      <c r="CJ38" s="567"/>
      <c r="CK38" s="567">
        <f>CK33/CK35</f>
        <v>82614.997502251979</v>
      </c>
      <c r="CL38" s="567"/>
      <c r="CM38" s="567"/>
      <c r="CN38" s="567"/>
      <c r="CO38" s="567"/>
      <c r="CP38" s="567"/>
      <c r="CQ38" s="567">
        <f>CQ33/CQ35</f>
        <v>49814.294906502815</v>
      </c>
      <c r="CR38" s="567"/>
      <c r="CS38" s="567"/>
      <c r="CT38" s="567"/>
      <c r="CU38" s="567"/>
      <c r="CV38" s="567"/>
      <c r="CW38" s="567">
        <f>CW33/CW35</f>
        <v>7344.6999718885236</v>
      </c>
      <c r="CX38" s="567"/>
      <c r="CY38" s="567"/>
      <c r="CZ38" s="567"/>
      <c r="DA38" s="567"/>
      <c r="DB38" s="567"/>
    </row>
    <row r="39" spans="2:106" x14ac:dyDescent="0.35">
      <c r="B39" s="85"/>
      <c r="C39" s="87" t="s">
        <v>53</v>
      </c>
      <c r="D39" s="42" t="s">
        <v>64</v>
      </c>
      <c r="E39" s="568">
        <f>(E38/E37)/3600</f>
        <v>71.207165014419061</v>
      </c>
      <c r="F39" s="568"/>
      <c r="G39" s="568"/>
      <c r="H39" s="568"/>
      <c r="I39" s="568"/>
      <c r="J39" s="568"/>
      <c r="K39" s="568">
        <f>(K38/K37)/3600</f>
        <v>54.668844550552265</v>
      </c>
      <c r="L39" s="568"/>
      <c r="M39" s="568"/>
      <c r="N39" s="568"/>
      <c r="O39" s="568"/>
      <c r="P39" s="568"/>
      <c r="Q39" s="568">
        <f>(Q38/Q37)/3600</f>
        <v>58.136369103691209</v>
      </c>
      <c r="R39" s="568"/>
      <c r="S39" s="568"/>
      <c r="T39" s="568"/>
      <c r="U39" s="568"/>
      <c r="V39" s="568"/>
      <c r="W39" s="568">
        <f>(W38/W37)/3600</f>
        <v>61.513558554356848</v>
      </c>
      <c r="X39" s="568"/>
      <c r="Y39" s="568"/>
      <c r="Z39" s="568"/>
      <c r="AA39" s="568"/>
      <c r="AB39" s="568"/>
      <c r="AC39" s="568">
        <f>(AC38/AC37)/3600</f>
        <v>63.355281864367534</v>
      </c>
      <c r="AD39" s="568"/>
      <c r="AE39" s="568"/>
      <c r="AF39" s="568"/>
      <c r="AG39" s="568"/>
      <c r="AH39" s="568"/>
      <c r="AI39" s="568">
        <f>(AI38/AI37)/3600</f>
        <v>38.633422763555402</v>
      </c>
      <c r="AJ39" s="568"/>
      <c r="AK39" s="568"/>
      <c r="AL39" s="568"/>
      <c r="AM39" s="568"/>
      <c r="AN39" s="568"/>
      <c r="AO39" s="568">
        <f>(AO38/AO37)/3600</f>
        <v>18.21569565537061</v>
      </c>
      <c r="AP39" s="568"/>
      <c r="AQ39" s="568"/>
      <c r="AR39" s="568"/>
      <c r="AS39" s="568"/>
      <c r="AT39" s="568"/>
      <c r="AU39" s="568">
        <f>(AU38/AU37)/3600</f>
        <v>17.65980773762606</v>
      </c>
      <c r="AV39" s="568"/>
      <c r="AW39" s="568"/>
      <c r="AX39" s="568"/>
      <c r="AY39" s="568"/>
      <c r="AZ39" s="568"/>
      <c r="BA39" s="568">
        <f>(BA38/BA37)/3600</f>
        <v>15.133928709883406</v>
      </c>
      <c r="BB39" s="568"/>
      <c r="BC39" s="568"/>
      <c r="BD39" s="568"/>
      <c r="BE39" s="568"/>
      <c r="BF39" s="568"/>
      <c r="BG39" s="568">
        <f>(BG38/BG37)/3600</f>
        <v>15.067532837622597</v>
      </c>
      <c r="BH39" s="568"/>
      <c r="BI39" s="568"/>
      <c r="BJ39" s="568"/>
      <c r="BK39" s="568"/>
      <c r="BL39" s="568"/>
      <c r="BM39" s="568">
        <f>(BM38/BM37)/3600</f>
        <v>13.234029657660386</v>
      </c>
      <c r="BN39" s="568"/>
      <c r="BO39" s="568"/>
      <c r="BP39" s="568"/>
      <c r="BQ39" s="568"/>
      <c r="BR39" s="568"/>
      <c r="BS39" s="568">
        <f>(BS38/BS37)/3600</f>
        <v>13.629321864270905</v>
      </c>
      <c r="BT39" s="568"/>
      <c r="BU39" s="568"/>
      <c r="BV39" s="568"/>
      <c r="BW39" s="568"/>
      <c r="BX39" s="568"/>
      <c r="BY39" s="568">
        <f>(BY38/BY37)/3600</f>
        <v>23.831418480182442</v>
      </c>
      <c r="BZ39" s="568"/>
      <c r="CA39" s="568"/>
      <c r="CB39" s="568"/>
      <c r="CC39" s="568"/>
      <c r="CD39" s="568"/>
      <c r="CE39" s="568">
        <f>(CE38/CE37)/3600</f>
        <v>39.740512097046292</v>
      </c>
      <c r="CF39" s="568"/>
      <c r="CG39" s="568"/>
      <c r="CH39" s="568"/>
      <c r="CI39" s="568"/>
      <c r="CJ39" s="568"/>
      <c r="CK39" s="568">
        <f>(CK38/CK37)/3600</f>
        <v>66.056321056120566</v>
      </c>
      <c r="CL39" s="568"/>
      <c r="CM39" s="568"/>
      <c r="CN39" s="568"/>
      <c r="CO39" s="568"/>
      <c r="CP39" s="568"/>
      <c r="CQ39" s="568">
        <f>(CQ38/CQ37)/3600</f>
        <v>39.829923827553529</v>
      </c>
      <c r="CR39" s="568"/>
      <c r="CS39" s="568"/>
      <c r="CT39" s="568"/>
      <c r="CU39" s="568"/>
      <c r="CV39" s="568"/>
      <c r="CW39" s="568">
        <f>(CW38/CW37)/3600</f>
        <v>44.478299397972442</v>
      </c>
      <c r="CX39" s="568"/>
      <c r="CY39" s="568"/>
      <c r="CZ39" s="568"/>
      <c r="DA39" s="568"/>
      <c r="DB39" s="568"/>
    </row>
    <row r="40" spans="2:106" x14ac:dyDescent="0.35">
      <c r="B40" s="85"/>
      <c r="C40" s="31" t="s">
        <v>52</v>
      </c>
      <c r="D40" s="44"/>
      <c r="E40" s="569">
        <f>((((E29/12)*E39)*E35)/(E34/1488.1639))</f>
        <v>603621.78822463553</v>
      </c>
      <c r="F40" s="570"/>
      <c r="G40" s="570"/>
      <c r="H40" s="570"/>
      <c r="I40" s="570"/>
      <c r="J40" s="570"/>
      <c r="K40" s="569">
        <f>((((K29/12)*K39)*K35)/(K34/1488.1639))</f>
        <v>603621.78822463565</v>
      </c>
      <c r="L40" s="570"/>
      <c r="M40" s="570"/>
      <c r="N40" s="570"/>
      <c r="O40" s="570"/>
      <c r="P40" s="570"/>
      <c r="Q40" s="569">
        <f>((((Q29/12)*Q39)*Q35)/(Q34/1488.1639))</f>
        <v>603621.78822463565</v>
      </c>
      <c r="R40" s="570"/>
      <c r="S40" s="570"/>
      <c r="T40" s="570"/>
      <c r="U40" s="570"/>
      <c r="V40" s="570"/>
      <c r="W40" s="569">
        <f>((((W29/12)*W39)*W35)/(W34/1488.1639))</f>
        <v>603586.66071190336</v>
      </c>
      <c r="X40" s="570"/>
      <c r="Y40" s="570"/>
      <c r="Z40" s="570"/>
      <c r="AA40" s="570"/>
      <c r="AB40" s="570"/>
      <c r="AC40" s="569">
        <f>((((AC29/12)*AC39)*AC35)/(AC34/1488.1639))</f>
        <v>603586.66071190347</v>
      </c>
      <c r="AD40" s="570"/>
      <c r="AE40" s="570"/>
      <c r="AF40" s="570"/>
      <c r="AG40" s="570"/>
      <c r="AH40" s="570"/>
      <c r="AI40" s="569">
        <f>((((AI29/12)*AI39)*AI35)/(AI34/1488.1639))</f>
        <v>653253.54671670531</v>
      </c>
      <c r="AJ40" s="570"/>
      <c r="AK40" s="570"/>
      <c r="AL40" s="570"/>
      <c r="AM40" s="570"/>
      <c r="AN40" s="570"/>
      <c r="AO40" s="569">
        <f>((((AO29/12)*AO39)*AO35)/(AO34/1488.1639))</f>
        <v>1422244.5342374977</v>
      </c>
      <c r="AP40" s="570"/>
      <c r="AQ40" s="570"/>
      <c r="AR40" s="570"/>
      <c r="AS40" s="570"/>
      <c r="AT40" s="570"/>
      <c r="AU40" s="569">
        <f>((((AU29/12)*AU39)*AU35)/(AU34/1488.1639))</f>
        <v>1422244.5342374984</v>
      </c>
      <c r="AV40" s="570"/>
      <c r="AW40" s="570"/>
      <c r="AX40" s="570"/>
      <c r="AY40" s="570"/>
      <c r="AZ40" s="570"/>
      <c r="BA40" s="569">
        <f>((((BA29/12)*BA39)*BA35)/(BA34/1488.1639))</f>
        <v>1422244.5342374977</v>
      </c>
      <c r="BB40" s="570"/>
      <c r="BC40" s="570"/>
      <c r="BD40" s="570"/>
      <c r="BE40" s="570"/>
      <c r="BF40" s="570"/>
      <c r="BG40" s="569">
        <f>((((BG29/12)*BG39)*BG35)/(BG34/1488.1639))</f>
        <v>1422244.5342374982</v>
      </c>
      <c r="BH40" s="570"/>
      <c r="BI40" s="570"/>
      <c r="BJ40" s="570"/>
      <c r="BK40" s="570"/>
      <c r="BL40" s="570"/>
      <c r="BM40" s="569">
        <f>((((BM29/12)*BM39)*BM35)/(BM34/1488.1639))</f>
        <v>1422244.5342374984</v>
      </c>
      <c r="BN40" s="570"/>
      <c r="BO40" s="570"/>
      <c r="BP40" s="570"/>
      <c r="BQ40" s="570"/>
      <c r="BR40" s="570"/>
      <c r="BS40" s="569">
        <f>((((BS29/12)*BS39)*BS35)/(BS34/1488.1639))</f>
        <v>1422244.5342374982</v>
      </c>
      <c r="BT40" s="570"/>
      <c r="BU40" s="570"/>
      <c r="BV40" s="570"/>
      <c r="BW40" s="570"/>
      <c r="BX40" s="570"/>
      <c r="BY40" s="569">
        <f>((((BY29/12)*BY39)*BY35)/(BY34/1488.1639))</f>
        <v>1871547.1768754278</v>
      </c>
      <c r="BZ40" s="570"/>
      <c r="CA40" s="570"/>
      <c r="CB40" s="570"/>
      <c r="CC40" s="570"/>
      <c r="CD40" s="570"/>
      <c r="CE40" s="569">
        <f>((((CE29/12)*CE39)*CE35)/(CE34/1488.1639))</f>
        <v>738456.48973942071</v>
      </c>
      <c r="CF40" s="570"/>
      <c r="CG40" s="570"/>
      <c r="CH40" s="570"/>
      <c r="CI40" s="570"/>
      <c r="CJ40" s="570"/>
      <c r="CK40" s="569">
        <f>((((CK29/12)*CK39)*CK35)/(CK34/1488.1639))</f>
        <v>647058.05731768731</v>
      </c>
      <c r="CL40" s="570"/>
      <c r="CM40" s="570"/>
      <c r="CN40" s="570"/>
      <c r="CO40" s="570"/>
      <c r="CP40" s="570"/>
      <c r="CQ40" s="569">
        <f>((((CQ29/12)*CQ39)*CQ35)/(CQ34/1488.1639))</f>
        <v>491314.21648621315</v>
      </c>
      <c r="CR40" s="570"/>
      <c r="CS40" s="570"/>
      <c r="CT40" s="570"/>
      <c r="CU40" s="570"/>
      <c r="CV40" s="570"/>
      <c r="CW40" s="569">
        <f>((((CW29/12)*CW39)*CW35)/(CW34/1488.1639))</f>
        <v>781236.03811053198</v>
      </c>
      <c r="CX40" s="570"/>
      <c r="CY40" s="570"/>
      <c r="CZ40" s="570"/>
      <c r="DA40" s="570"/>
      <c r="DB40" s="570"/>
    </row>
    <row r="41" spans="2:106" x14ac:dyDescent="0.35">
      <c r="B41" s="85"/>
      <c r="C41" s="38" t="s">
        <v>86</v>
      </c>
      <c r="D41" s="39"/>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row>
    <row r="42" spans="2:106" x14ac:dyDescent="0.35">
      <c r="B42" s="85"/>
      <c r="C42" s="87" t="s">
        <v>44</v>
      </c>
      <c r="E42" s="571" t="str">
        <f>IF((E40&lt;2100),"Laminar",IF((E40&gt;4000),"Turbulent","Transient"))</f>
        <v>Turbulent</v>
      </c>
      <c r="F42" s="571"/>
      <c r="G42" s="571"/>
      <c r="H42" s="571"/>
      <c r="I42" s="571"/>
      <c r="J42" s="571"/>
      <c r="K42" s="571" t="str">
        <f>IF((K40&lt;2100),"Laminar",IF((K40&gt;4000),"Turbulent","Transient"))</f>
        <v>Turbulent</v>
      </c>
      <c r="L42" s="571"/>
      <c r="M42" s="571"/>
      <c r="N42" s="571"/>
      <c r="O42" s="571"/>
      <c r="P42" s="571"/>
      <c r="Q42" s="571" t="str">
        <f>IF((Q40&lt;2100),"Laminar",IF((Q40&gt;4000),"Turbulent","Transient"))</f>
        <v>Turbulent</v>
      </c>
      <c r="R42" s="571"/>
      <c r="S42" s="571"/>
      <c r="T42" s="571"/>
      <c r="U42" s="571"/>
      <c r="V42" s="571"/>
      <c r="W42" s="571" t="str">
        <f>IF((W40&lt;2100),"Laminar",IF((W40&gt;4000),"Turbulent","Transient"))</f>
        <v>Turbulent</v>
      </c>
      <c r="X42" s="571"/>
      <c r="Y42" s="571"/>
      <c r="Z42" s="571"/>
      <c r="AA42" s="571"/>
      <c r="AB42" s="571"/>
      <c r="AC42" s="571" t="str">
        <f>IF((AC40&lt;2100),"Laminar",IF((AC40&gt;4000),"Turbulent","Transient"))</f>
        <v>Turbulent</v>
      </c>
      <c r="AD42" s="571"/>
      <c r="AE42" s="571"/>
      <c r="AF42" s="571"/>
      <c r="AG42" s="571"/>
      <c r="AH42" s="571"/>
      <c r="AI42" s="571" t="str">
        <f>IF((AI40&lt;2100),"Laminar",IF((AI40&gt;4000),"Turbulent","Transient"))</f>
        <v>Turbulent</v>
      </c>
      <c r="AJ42" s="571"/>
      <c r="AK42" s="571"/>
      <c r="AL42" s="571"/>
      <c r="AM42" s="571"/>
      <c r="AN42" s="571"/>
      <c r="AO42" s="571" t="str">
        <f>IF((AO40&lt;2100),"Laminar",IF((AO40&gt;4000),"Turbulent","Transient"))</f>
        <v>Turbulent</v>
      </c>
      <c r="AP42" s="571"/>
      <c r="AQ42" s="571"/>
      <c r="AR42" s="571"/>
      <c r="AS42" s="571"/>
      <c r="AT42" s="571"/>
      <c r="AU42" s="571" t="str">
        <f>IF((AU40&lt;2100),"Laminar",IF((AU40&gt;4000),"Turbulent","Transient"))</f>
        <v>Turbulent</v>
      </c>
      <c r="AV42" s="571"/>
      <c r="AW42" s="571"/>
      <c r="AX42" s="571"/>
      <c r="AY42" s="571"/>
      <c r="AZ42" s="571"/>
      <c r="BA42" s="571" t="str">
        <f>IF((BA40&lt;2100),"Laminar",IF((BA40&gt;4000),"Turbulent","Transient"))</f>
        <v>Turbulent</v>
      </c>
      <c r="BB42" s="571"/>
      <c r="BC42" s="571"/>
      <c r="BD42" s="571"/>
      <c r="BE42" s="571"/>
      <c r="BF42" s="571"/>
      <c r="BG42" s="571" t="str">
        <f>IF((BG40&lt;2100),"Laminar",IF((BG40&gt;4000),"Turbulent","Transient"))</f>
        <v>Turbulent</v>
      </c>
      <c r="BH42" s="571"/>
      <c r="BI42" s="571"/>
      <c r="BJ42" s="571"/>
      <c r="BK42" s="571"/>
      <c r="BL42" s="571"/>
      <c r="BM42" s="571" t="str">
        <f>IF((BM40&lt;2100),"Laminar",IF((BM40&gt;4000),"Turbulent","Transient"))</f>
        <v>Turbulent</v>
      </c>
      <c r="BN42" s="571"/>
      <c r="BO42" s="571"/>
      <c r="BP42" s="571"/>
      <c r="BQ42" s="571"/>
      <c r="BR42" s="571"/>
      <c r="BS42" s="571" t="str">
        <f>IF((BS40&lt;2100),"Laminar",IF((BS40&gt;4000),"Turbulent","Transient"))</f>
        <v>Turbulent</v>
      </c>
      <c r="BT42" s="571"/>
      <c r="BU42" s="571"/>
      <c r="BV42" s="571"/>
      <c r="BW42" s="571"/>
      <c r="BX42" s="571"/>
      <c r="BY42" s="571" t="str">
        <f>IF((BY40&lt;2100),"Laminar",IF((BY40&gt;4000),"Turbulent","Transient"))</f>
        <v>Turbulent</v>
      </c>
      <c r="BZ42" s="571"/>
      <c r="CA42" s="571"/>
      <c r="CB42" s="571"/>
      <c r="CC42" s="571"/>
      <c r="CD42" s="571"/>
      <c r="CE42" s="571" t="str">
        <f>IF((CE40&lt;2100),"Laminar",IF((CE40&gt;4000),"Turbulent","Transient"))</f>
        <v>Turbulent</v>
      </c>
      <c r="CF42" s="571"/>
      <c r="CG42" s="571"/>
      <c r="CH42" s="571"/>
      <c r="CI42" s="571"/>
      <c r="CJ42" s="571"/>
      <c r="CK42" s="571" t="str">
        <f>IF((CK40&lt;2100),"Laminar",IF((CK40&gt;4000),"Turbulent","Transient"))</f>
        <v>Turbulent</v>
      </c>
      <c r="CL42" s="571"/>
      <c r="CM42" s="571"/>
      <c r="CN42" s="571"/>
      <c r="CO42" s="571"/>
      <c r="CP42" s="571"/>
      <c r="CQ42" s="571" t="str">
        <f>IF((CQ40&lt;2100),"Laminar",IF((CQ40&gt;4000),"Turbulent","Transient"))</f>
        <v>Turbulent</v>
      </c>
      <c r="CR42" s="571"/>
      <c r="CS42" s="571"/>
      <c r="CT42" s="571"/>
      <c r="CU42" s="571"/>
      <c r="CV42" s="571"/>
      <c r="CW42" s="571" t="str">
        <f>IF((CW40&lt;2100),"Laminar",IF((CW40&gt;4000),"Turbulent","Transient"))</f>
        <v>Turbulent</v>
      </c>
      <c r="CX42" s="571"/>
      <c r="CY42" s="571"/>
      <c r="CZ42" s="571"/>
      <c r="DA42" s="571"/>
      <c r="DB42" s="571"/>
    </row>
    <row r="43" spans="2:106" ht="14.5" hidden="1" customHeight="1" x14ac:dyDescent="0.35">
      <c r="B43" s="85"/>
      <c r="C43" s="572" t="s">
        <v>51</v>
      </c>
      <c r="D43" s="572"/>
      <c r="E43" s="573">
        <f>64/E40</f>
        <v>1.0602665650661146E-4</v>
      </c>
      <c r="F43" s="573"/>
      <c r="G43" s="573"/>
      <c r="H43" s="573"/>
      <c r="I43" s="573"/>
      <c r="J43" s="573"/>
      <c r="K43" s="573">
        <f>64/K40</f>
        <v>1.0602665650661145E-4</v>
      </c>
      <c r="L43" s="573"/>
      <c r="M43" s="573"/>
      <c r="N43" s="573"/>
      <c r="O43" s="573"/>
      <c r="P43" s="573"/>
      <c r="Q43" s="573">
        <f>64/Q40</f>
        <v>1.0602665650661145E-4</v>
      </c>
      <c r="R43" s="573"/>
      <c r="S43" s="573"/>
      <c r="T43" s="573"/>
      <c r="U43" s="573"/>
      <c r="V43" s="573"/>
      <c r="W43" s="573">
        <f>64/W40</f>
        <v>1.0603282704179525E-4</v>
      </c>
      <c r="X43" s="573"/>
      <c r="Y43" s="573"/>
      <c r="Z43" s="573"/>
      <c r="AA43" s="573"/>
      <c r="AB43" s="573"/>
      <c r="AC43" s="573">
        <f>64/AC40</f>
        <v>1.0603282704179523E-4</v>
      </c>
      <c r="AD43" s="573"/>
      <c r="AE43" s="573"/>
      <c r="AF43" s="573"/>
      <c r="AG43" s="573"/>
      <c r="AH43" s="573"/>
      <c r="AI43" s="573">
        <f>64/AI40</f>
        <v>9.7971148142506306E-5</v>
      </c>
      <c r="AJ43" s="573"/>
      <c r="AK43" s="573"/>
      <c r="AL43" s="573"/>
      <c r="AM43" s="573"/>
      <c r="AN43" s="573"/>
      <c r="AO43" s="573">
        <f>64/AO40</f>
        <v>4.4999294044966795E-5</v>
      </c>
      <c r="AP43" s="573"/>
      <c r="AQ43" s="573"/>
      <c r="AR43" s="573"/>
      <c r="AS43" s="573"/>
      <c r="AT43" s="573"/>
      <c r="AU43" s="573">
        <f>64/AU40</f>
        <v>4.4999294044966768E-5</v>
      </c>
      <c r="AV43" s="573"/>
      <c r="AW43" s="573"/>
      <c r="AX43" s="573"/>
      <c r="AY43" s="573"/>
      <c r="AZ43" s="573"/>
      <c r="BA43" s="573">
        <f>64/BA40</f>
        <v>4.4999294044966795E-5</v>
      </c>
      <c r="BB43" s="573"/>
      <c r="BC43" s="573"/>
      <c r="BD43" s="573"/>
      <c r="BE43" s="573"/>
      <c r="BF43" s="573"/>
      <c r="BG43" s="573">
        <f>64/BG40</f>
        <v>4.4999294044966775E-5</v>
      </c>
      <c r="BH43" s="573"/>
      <c r="BI43" s="573"/>
      <c r="BJ43" s="573"/>
      <c r="BK43" s="573"/>
      <c r="BL43" s="573"/>
      <c r="BM43" s="573">
        <f>64/BM40</f>
        <v>4.4999294044966768E-5</v>
      </c>
      <c r="BN43" s="573"/>
      <c r="BO43" s="573"/>
      <c r="BP43" s="573"/>
      <c r="BQ43" s="573"/>
      <c r="BR43" s="573"/>
      <c r="BS43" s="573">
        <f>64/BS40</f>
        <v>4.4999294044966775E-5</v>
      </c>
      <c r="BT43" s="573"/>
      <c r="BU43" s="573"/>
      <c r="BV43" s="573"/>
      <c r="BW43" s="573"/>
      <c r="BX43" s="573"/>
      <c r="BY43" s="573">
        <f>64/BY40</f>
        <v>3.419630602464899E-5</v>
      </c>
      <c r="BZ43" s="573"/>
      <c r="CA43" s="573"/>
      <c r="CB43" s="573"/>
      <c r="CC43" s="573"/>
      <c r="CD43" s="573"/>
      <c r="CE43" s="573">
        <f>64/CE40</f>
        <v>8.6667259194355095E-5</v>
      </c>
      <c r="CF43" s="573"/>
      <c r="CG43" s="573"/>
      <c r="CH43" s="573"/>
      <c r="CI43" s="573"/>
      <c r="CJ43" s="573"/>
      <c r="CK43" s="573">
        <f>64/CK40</f>
        <v>9.8909208031973861E-5</v>
      </c>
      <c r="CL43" s="573"/>
      <c r="CM43" s="573"/>
      <c r="CN43" s="573"/>
      <c r="CO43" s="573"/>
      <c r="CP43" s="573"/>
      <c r="CQ43" s="573">
        <f>64/CQ40</f>
        <v>1.3026287018054548E-4</v>
      </c>
      <c r="CR43" s="573"/>
      <c r="CS43" s="573"/>
      <c r="CT43" s="573"/>
      <c r="CU43" s="573"/>
      <c r="CV43" s="573"/>
      <c r="CW43" s="573">
        <f>64/CW40</f>
        <v>8.1921464036385194E-5</v>
      </c>
      <c r="CX43" s="573"/>
      <c r="CY43" s="573"/>
      <c r="CZ43" s="573"/>
      <c r="DA43" s="573"/>
      <c r="DB43" s="573"/>
    </row>
    <row r="44" spans="2:106" ht="14.5" hidden="1" customHeight="1" x14ac:dyDescent="0.35">
      <c r="B44" s="85"/>
      <c r="C44" s="87" t="s">
        <v>47</v>
      </c>
      <c r="D44" s="32" t="s">
        <v>46</v>
      </c>
      <c r="E44" s="574">
        <f>(-2.457*LN((7/E40)^0.9+0.27*E31/E29))^16</f>
        <v>6.4447244867196168E+21</v>
      </c>
      <c r="F44" s="574"/>
      <c r="G44" s="574"/>
      <c r="H44" s="574"/>
      <c r="I44" s="574"/>
      <c r="J44" s="574"/>
      <c r="K44" s="574">
        <f>(-2.457*LN((7/K40)^0.9+0.27*K31/K29))^16</f>
        <v>6.4447244867196168E+21</v>
      </c>
      <c r="L44" s="574"/>
      <c r="M44" s="574"/>
      <c r="N44" s="574"/>
      <c r="O44" s="574"/>
      <c r="P44" s="574"/>
      <c r="Q44" s="574">
        <f>(-2.457*LN((7/Q40)^0.9+0.27*Q31/Q29))^16</f>
        <v>6.4447244867196168E+21</v>
      </c>
      <c r="R44" s="574"/>
      <c r="S44" s="574"/>
      <c r="T44" s="574"/>
      <c r="U44" s="574"/>
      <c r="V44" s="574"/>
      <c r="W44" s="574">
        <f>(-2.457*LN((7/W40)^0.9+0.27*W31/W29))^16</f>
        <v>6.444475739669733E+21</v>
      </c>
      <c r="X44" s="574"/>
      <c r="Y44" s="574"/>
      <c r="Z44" s="574"/>
      <c r="AA44" s="574"/>
      <c r="AB44" s="574"/>
      <c r="AC44" s="574">
        <f>(-2.457*LN((7/AC40)^0.9+0.27*AC31/AC29))^16</f>
        <v>6.444475739669733E+21</v>
      </c>
      <c r="AD44" s="574"/>
      <c r="AE44" s="574"/>
      <c r="AF44" s="574"/>
      <c r="AG44" s="574"/>
      <c r="AH44" s="574"/>
      <c r="AI44" s="574">
        <f>(-2.457*LN((7/AI40)^0.9+0.27*AI31/AI29))^16</f>
        <v>1.0737031831106892E+22</v>
      </c>
      <c r="AJ44" s="574"/>
      <c r="AK44" s="574"/>
      <c r="AL44" s="574"/>
      <c r="AM44" s="574"/>
      <c r="AN44" s="574"/>
      <c r="AO44" s="574">
        <f>(-2.457*LN((7/AO40)^0.9+0.27*AO31/AO29))^16</f>
        <v>7.3049354103982003E+21</v>
      </c>
      <c r="AP44" s="574"/>
      <c r="AQ44" s="574"/>
      <c r="AR44" s="574"/>
      <c r="AS44" s="574"/>
      <c r="AT44" s="574"/>
      <c r="AU44" s="574">
        <f>(-2.457*LN((7/AU40)^0.9+0.27*AU31/AU29))^16</f>
        <v>7.3049354103982003E+21</v>
      </c>
      <c r="AV44" s="574"/>
      <c r="AW44" s="574"/>
      <c r="AX44" s="574"/>
      <c r="AY44" s="574"/>
      <c r="AZ44" s="574"/>
      <c r="BA44" s="574">
        <f>(-2.457*LN((7/BA40)^0.9+0.27*BA31/BA29))^16</f>
        <v>7.3049354103982003E+21</v>
      </c>
      <c r="BB44" s="574"/>
      <c r="BC44" s="574"/>
      <c r="BD44" s="574"/>
      <c r="BE44" s="574"/>
      <c r="BF44" s="574"/>
      <c r="BG44" s="574">
        <f>(-2.457*LN((7/BG40)^0.9+0.27*BG31/BG29))^16</f>
        <v>7.3049354103982003E+21</v>
      </c>
      <c r="BH44" s="574"/>
      <c r="BI44" s="574"/>
      <c r="BJ44" s="574"/>
      <c r="BK44" s="574"/>
      <c r="BL44" s="574"/>
      <c r="BM44" s="574">
        <f>(-2.457*LN((7/BM40)^0.9+0.27*BM31/BM29))^16</f>
        <v>7.3049354103982003E+21</v>
      </c>
      <c r="BN44" s="574"/>
      <c r="BO44" s="574"/>
      <c r="BP44" s="574"/>
      <c r="BQ44" s="574"/>
      <c r="BR44" s="574"/>
      <c r="BS44" s="574">
        <f>(-2.457*LN((7/BS40)^0.9+0.27*BS31/BS29))^16</f>
        <v>7.3049354103982003E+21</v>
      </c>
      <c r="BT44" s="574"/>
      <c r="BU44" s="574"/>
      <c r="BV44" s="574"/>
      <c r="BW44" s="574"/>
      <c r="BX44" s="574"/>
      <c r="BY44" s="574">
        <f>(-2.457*LN((7/BY40)^0.9+0.27*BY31/BY29))^16</f>
        <v>5.3452423607696732E+21</v>
      </c>
      <c r="BZ44" s="574"/>
      <c r="CA44" s="574"/>
      <c r="CB44" s="574"/>
      <c r="CC44" s="574"/>
      <c r="CD44" s="574"/>
      <c r="CE44" s="574">
        <f>(-2.457*LN((7/CE40)^0.9+0.27*CE31/CE29))^16</f>
        <v>1.5106888231292166E+21</v>
      </c>
      <c r="CF44" s="574"/>
      <c r="CG44" s="574"/>
      <c r="CH44" s="574"/>
      <c r="CI44" s="574"/>
      <c r="CJ44" s="574"/>
      <c r="CK44" s="574">
        <f>(-2.457*LN((7/CK40)^0.9+0.27*CK31/CK29))^16</f>
        <v>5.1853034947359319E+21</v>
      </c>
      <c r="CL44" s="574"/>
      <c r="CM44" s="574"/>
      <c r="CN44" s="574"/>
      <c r="CO44" s="574"/>
      <c r="CP44" s="574"/>
      <c r="CQ44" s="574">
        <f>(-2.457*LN((7/CQ40)^0.9+0.27*CQ31/CQ29))^16</f>
        <v>4.3899605634998437E+21</v>
      </c>
      <c r="CR44" s="574"/>
      <c r="CS44" s="574"/>
      <c r="CT44" s="574"/>
      <c r="CU44" s="574"/>
      <c r="CV44" s="574"/>
      <c r="CW44" s="574">
        <f>(-2.457*LN((7/CW40)^0.9+0.27*CW31/CW29))^16</f>
        <v>1.4019094015669326E+21</v>
      </c>
      <c r="CX44" s="574"/>
      <c r="CY44" s="574"/>
      <c r="CZ44" s="574"/>
      <c r="DA44" s="574"/>
      <c r="DB44" s="574"/>
    </row>
    <row r="45" spans="2:106" ht="14.5" hidden="1" customHeight="1" x14ac:dyDescent="0.35">
      <c r="B45" s="85"/>
      <c r="C45" s="87" t="s">
        <v>47</v>
      </c>
      <c r="D45" s="32" t="s">
        <v>45</v>
      </c>
      <c r="E45" s="575">
        <f>(37530/E40)^16</f>
        <v>4.9867604791091098E-20</v>
      </c>
      <c r="F45" s="575"/>
      <c r="G45" s="575"/>
      <c r="H45" s="575"/>
      <c r="I45" s="575"/>
      <c r="J45" s="575"/>
      <c r="K45" s="575">
        <f>(37530/K40)^16</f>
        <v>4.9867604791091001E-20</v>
      </c>
      <c r="L45" s="575"/>
      <c r="M45" s="575"/>
      <c r="N45" s="575"/>
      <c r="O45" s="575"/>
      <c r="P45" s="575"/>
      <c r="Q45" s="575">
        <f>(37530/Q40)^16</f>
        <v>4.9867604791091001E-20</v>
      </c>
      <c r="R45" s="575"/>
      <c r="S45" s="575"/>
      <c r="T45" s="575"/>
      <c r="U45" s="575"/>
      <c r="V45" s="575"/>
      <c r="W45" s="575">
        <f>(37530/W40)^16</f>
        <v>4.9914060151227475E-20</v>
      </c>
      <c r="X45" s="575"/>
      <c r="Y45" s="575"/>
      <c r="Z45" s="575"/>
      <c r="AA45" s="575"/>
      <c r="AB45" s="575"/>
      <c r="AC45" s="575">
        <f>(37530/AC40)^16</f>
        <v>4.9914060151227289E-20</v>
      </c>
      <c r="AD45" s="575"/>
      <c r="AE45" s="575"/>
      <c r="AF45" s="575"/>
      <c r="AG45" s="575"/>
      <c r="AH45" s="575"/>
      <c r="AI45" s="575">
        <f>(37530/AI40)^16</f>
        <v>1.4084732701254188E-20</v>
      </c>
      <c r="AJ45" s="575"/>
      <c r="AK45" s="575"/>
      <c r="AL45" s="575"/>
      <c r="AM45" s="575"/>
      <c r="AN45" s="575"/>
      <c r="AO45" s="575">
        <f>(37530/AO40)^16</f>
        <v>5.5267351856561363E-26</v>
      </c>
      <c r="AP45" s="575"/>
      <c r="AQ45" s="575"/>
      <c r="AR45" s="575"/>
      <c r="AS45" s="575"/>
      <c r="AT45" s="575"/>
      <c r="AU45" s="575">
        <f>(37530/AU40)^16</f>
        <v>5.5267351856560927E-26</v>
      </c>
      <c r="AV45" s="575"/>
      <c r="AW45" s="575"/>
      <c r="AX45" s="575"/>
      <c r="AY45" s="575"/>
      <c r="AZ45" s="575"/>
      <c r="BA45" s="575">
        <f>(37530/BA40)^16</f>
        <v>5.5267351856561363E-26</v>
      </c>
      <c r="BB45" s="575"/>
      <c r="BC45" s="575"/>
      <c r="BD45" s="575"/>
      <c r="BE45" s="575"/>
      <c r="BF45" s="575"/>
      <c r="BG45" s="575">
        <f>(37530/BG40)^16</f>
        <v>5.526735185656103E-26</v>
      </c>
      <c r="BH45" s="575"/>
      <c r="BI45" s="575"/>
      <c r="BJ45" s="575"/>
      <c r="BK45" s="575"/>
      <c r="BL45" s="575"/>
      <c r="BM45" s="575">
        <f>(37530/BM40)^16</f>
        <v>5.5267351856560927E-26</v>
      </c>
      <c r="BN45" s="575"/>
      <c r="BO45" s="575"/>
      <c r="BP45" s="575"/>
      <c r="BQ45" s="575"/>
      <c r="BR45" s="575"/>
      <c r="BS45" s="575">
        <f>(37530/BS40)^16</f>
        <v>5.526735185656103E-26</v>
      </c>
      <c r="BT45" s="575"/>
      <c r="BU45" s="575"/>
      <c r="BV45" s="575"/>
      <c r="BW45" s="575"/>
      <c r="BX45" s="575"/>
      <c r="BY45" s="575">
        <f>(37530/BY40)^16</f>
        <v>6.8366691925111168E-28</v>
      </c>
      <c r="BZ45" s="575"/>
      <c r="CA45" s="575"/>
      <c r="CB45" s="575"/>
      <c r="CC45" s="575"/>
      <c r="CD45" s="575"/>
      <c r="CE45" s="575">
        <f>(37530/CE40)^16</f>
        <v>1.9808812722285561E-21</v>
      </c>
      <c r="CF45" s="575"/>
      <c r="CG45" s="575"/>
      <c r="CH45" s="575"/>
      <c r="CI45" s="575"/>
      <c r="CJ45" s="575"/>
      <c r="CK45" s="575">
        <f>(37530/CK40)^16</f>
        <v>1.640457707735959E-20</v>
      </c>
      <c r="CL45" s="575"/>
      <c r="CM45" s="575"/>
      <c r="CN45" s="575"/>
      <c r="CO45" s="575"/>
      <c r="CP45" s="575"/>
      <c r="CQ45" s="575">
        <f>(37530/CQ40)^16</f>
        <v>1.3437167664949436E-18</v>
      </c>
      <c r="CR45" s="575"/>
      <c r="CS45" s="575"/>
      <c r="CT45" s="575"/>
      <c r="CU45" s="575"/>
      <c r="CV45" s="575"/>
      <c r="CW45" s="575">
        <f>(37530/CW40)^16</f>
        <v>8.04527193377858E-22</v>
      </c>
      <c r="CX45" s="575"/>
      <c r="CY45" s="575"/>
      <c r="CZ45" s="575"/>
      <c r="DA45" s="575"/>
      <c r="DB45" s="575"/>
    </row>
    <row r="46" spans="2:106" ht="14.5" hidden="1" customHeight="1" x14ac:dyDescent="0.35">
      <c r="B46" s="85"/>
      <c r="C46" s="572" t="s">
        <v>50</v>
      </c>
      <c r="D46" s="572"/>
      <c r="E46" s="576">
        <f>8*((8/E40)^12+(E44+E45)^(-1.5))^(1/12)</f>
        <v>1.5029323844066394E-2</v>
      </c>
      <c r="F46" s="576"/>
      <c r="G46" s="576"/>
      <c r="H46" s="576"/>
      <c r="I46" s="576"/>
      <c r="J46" s="576"/>
      <c r="K46" s="576">
        <f>8*((8/K40)^12+(K44+K45)^(-1.5))^(1/12)</f>
        <v>1.5029323844066394E-2</v>
      </c>
      <c r="L46" s="576"/>
      <c r="M46" s="576"/>
      <c r="N46" s="576"/>
      <c r="O46" s="576"/>
      <c r="P46" s="576"/>
      <c r="Q46" s="576">
        <f>8*((8/Q40)^12+(Q44+Q45)^(-1.5))^(1/12)</f>
        <v>1.5029323844066394E-2</v>
      </c>
      <c r="R46" s="576"/>
      <c r="S46" s="576"/>
      <c r="T46" s="576"/>
      <c r="U46" s="576"/>
      <c r="V46" s="576"/>
      <c r="W46" s="576">
        <f>8*((8/W40)^12+(W44+W45)^(-1.5))^(1/12)</f>
        <v>1.5029396356497769E-2</v>
      </c>
      <c r="X46" s="576"/>
      <c r="Y46" s="576"/>
      <c r="Z46" s="576"/>
      <c r="AA46" s="576"/>
      <c r="AB46" s="576"/>
      <c r="AC46" s="576">
        <f>8*((8/AC40)^12+(AC44+AC45)^(-1.5))^(1/12)</f>
        <v>1.5029396356497769E-2</v>
      </c>
      <c r="AD46" s="576"/>
      <c r="AE46" s="576"/>
      <c r="AF46" s="576"/>
      <c r="AG46" s="576"/>
      <c r="AH46" s="576"/>
      <c r="AI46" s="576">
        <f>8*((8/AI40)^12+(AI44+AI45)^(-1.5))^(1/12)</f>
        <v>1.4100335845346553E-2</v>
      </c>
      <c r="AJ46" s="576"/>
      <c r="AK46" s="576"/>
      <c r="AL46" s="576"/>
      <c r="AM46" s="576"/>
      <c r="AN46" s="576"/>
      <c r="AO46" s="576">
        <f>8*((8/AO40)^12+(AO44+AO45)^(-1.5))^(1/12)</f>
        <v>1.4795782532450352E-2</v>
      </c>
      <c r="AP46" s="576"/>
      <c r="AQ46" s="576"/>
      <c r="AR46" s="576"/>
      <c r="AS46" s="576"/>
      <c r="AT46" s="576"/>
      <c r="AU46" s="576">
        <f>8*((8/AU40)^12+(AU44+AU45)^(-1.5))^(1/12)</f>
        <v>1.4795782532450352E-2</v>
      </c>
      <c r="AV46" s="576"/>
      <c r="AW46" s="576"/>
      <c r="AX46" s="576"/>
      <c r="AY46" s="576"/>
      <c r="AZ46" s="576"/>
      <c r="BA46" s="576">
        <f>8*((8/BA40)^12+(BA44+BA45)^(-1.5))^(1/12)</f>
        <v>1.4795782532450352E-2</v>
      </c>
      <c r="BB46" s="576"/>
      <c r="BC46" s="576"/>
      <c r="BD46" s="576"/>
      <c r="BE46" s="576"/>
      <c r="BF46" s="576"/>
      <c r="BG46" s="576">
        <f>8*((8/BG40)^12+(BG44+BG45)^(-1.5))^(1/12)</f>
        <v>1.4795782532450352E-2</v>
      </c>
      <c r="BH46" s="576"/>
      <c r="BI46" s="576"/>
      <c r="BJ46" s="576"/>
      <c r="BK46" s="576"/>
      <c r="BL46" s="576"/>
      <c r="BM46" s="576">
        <f>8*((8/BM40)^12+(BM44+BM45)^(-1.5))^(1/12)</f>
        <v>1.4795782532450352E-2</v>
      </c>
      <c r="BN46" s="576"/>
      <c r="BO46" s="576"/>
      <c r="BP46" s="576"/>
      <c r="BQ46" s="576"/>
      <c r="BR46" s="576"/>
      <c r="BS46" s="576">
        <f>8*((8/BS40)^12+(BS44+BS45)^(-1.5))^(1/12)</f>
        <v>1.4795782532450352E-2</v>
      </c>
      <c r="BT46" s="576"/>
      <c r="BU46" s="576"/>
      <c r="BV46" s="576"/>
      <c r="BW46" s="576"/>
      <c r="BX46" s="576"/>
      <c r="BY46" s="576">
        <f>8*((8/BY40)^12+(BY44+BY45)^(-1.5))^(1/12)</f>
        <v>1.5384878180752758E-2</v>
      </c>
      <c r="BZ46" s="576"/>
      <c r="CA46" s="576"/>
      <c r="CB46" s="576"/>
      <c r="CC46" s="576"/>
      <c r="CD46" s="576"/>
      <c r="CE46" s="576">
        <f>8*((8/CE40)^12+(CE44+CE45)^(-1.5))^(1/12)</f>
        <v>1.801744105769286E-2</v>
      </c>
      <c r="CF46" s="576"/>
      <c r="CG46" s="576"/>
      <c r="CH46" s="576"/>
      <c r="CI46" s="576"/>
      <c r="CJ46" s="576"/>
      <c r="CK46" s="576">
        <f>8*((8/CK40)^12+(CK44+CK45)^(-1.5))^(1/12)</f>
        <v>1.5443410459753826E-2</v>
      </c>
      <c r="CL46" s="576"/>
      <c r="CM46" s="576"/>
      <c r="CN46" s="576"/>
      <c r="CO46" s="576"/>
      <c r="CP46" s="576"/>
      <c r="CQ46" s="576">
        <f>8*((8/CQ40)^12+(CQ44+CQ45)^(-1.5))^(1/12)</f>
        <v>1.5768210523576708E-2</v>
      </c>
      <c r="CR46" s="576"/>
      <c r="CS46" s="576"/>
      <c r="CT46" s="576"/>
      <c r="CU46" s="576"/>
      <c r="CV46" s="576"/>
      <c r="CW46" s="576">
        <f>8*((8/CW40)^12+(CW44+CW45)^(-1.5))^(1/12)</f>
        <v>1.8186536286490203E-2</v>
      </c>
      <c r="CX46" s="576"/>
      <c r="CY46" s="576"/>
      <c r="CZ46" s="576"/>
      <c r="DA46" s="576"/>
      <c r="DB46" s="576"/>
    </row>
    <row r="47" spans="2:106" ht="14.5" hidden="1" customHeight="1" x14ac:dyDescent="0.35">
      <c r="B47" s="85"/>
      <c r="C47" s="40" t="s">
        <v>49</v>
      </c>
      <c r="D47" s="87"/>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c r="CT47" s="80"/>
      <c r="CU47" s="80"/>
      <c r="CV47" s="80"/>
      <c r="CW47" s="80"/>
      <c r="CX47" s="80"/>
      <c r="CY47" s="80"/>
      <c r="CZ47" s="80"/>
      <c r="DA47" s="80"/>
      <c r="DB47" s="80"/>
    </row>
    <row r="48" spans="2:106" ht="14.5" hidden="1" customHeight="1" x14ac:dyDescent="0.35">
      <c r="B48" s="85"/>
      <c r="C48" s="87" t="s">
        <v>48</v>
      </c>
      <c r="D48" s="87"/>
      <c r="E48" s="573">
        <f>1/((-2*LOG10(((E31/(E29*3.7))+(2.51/(E40*SQRT(E46))))))^2)</f>
        <v>1.494872777010956E-2</v>
      </c>
      <c r="F48" s="573"/>
      <c r="G48" s="573"/>
      <c r="H48" s="573"/>
      <c r="I48" s="573"/>
      <c r="J48" s="573"/>
      <c r="K48" s="573">
        <f>1/((-2*LOG10(((K31/(K29*3.7))+(2.51/(K40*SQRT(K46))))))^2)</f>
        <v>1.494872777010956E-2</v>
      </c>
      <c r="L48" s="573"/>
      <c r="M48" s="573"/>
      <c r="N48" s="573"/>
      <c r="O48" s="573"/>
      <c r="P48" s="573"/>
      <c r="Q48" s="573">
        <f>1/((-2*LOG10(((Q31/(Q29*3.7))+(2.51/(Q40*SQRT(Q46))))))^2)</f>
        <v>1.494872777010956E-2</v>
      </c>
      <c r="R48" s="573"/>
      <c r="S48" s="573"/>
      <c r="T48" s="573"/>
      <c r="U48" s="573"/>
      <c r="V48" s="573"/>
      <c r="W48" s="573">
        <f>1/((-2*LOG10(((W31/(W29*3.7))+(2.51/(W40*SQRT(W46))))))^2)</f>
        <v>1.4948801592051116E-2</v>
      </c>
      <c r="X48" s="573"/>
      <c r="Y48" s="573"/>
      <c r="Z48" s="573"/>
      <c r="AA48" s="573"/>
      <c r="AB48" s="573"/>
      <c r="AC48" s="573">
        <f>1/((-2*LOG10(((AC31/(AC29*3.7))+(2.51/(AC40*SQRT(AC46))))))^2)</f>
        <v>1.4948801592051116E-2</v>
      </c>
      <c r="AD48" s="573"/>
      <c r="AE48" s="573"/>
      <c r="AF48" s="573"/>
      <c r="AG48" s="573"/>
      <c r="AH48" s="573"/>
      <c r="AI48" s="573">
        <f>1/((-2*LOG10(((AI31/(AI29*3.7))+(2.51/(AI40*SQRT(AI46))))))^2)</f>
        <v>1.404307900945095E-2</v>
      </c>
      <c r="AJ48" s="573"/>
      <c r="AK48" s="573"/>
      <c r="AL48" s="573"/>
      <c r="AM48" s="573"/>
      <c r="AN48" s="573"/>
      <c r="AO48" s="573">
        <f>1/((-2*LOG10(((AO31/(AO29*3.7))+(2.51/(AO40*SQRT(AO46))))))^2)</f>
        <v>1.4711929349517719E-2</v>
      </c>
      <c r="AP48" s="573"/>
      <c r="AQ48" s="573"/>
      <c r="AR48" s="573"/>
      <c r="AS48" s="573"/>
      <c r="AT48" s="573"/>
      <c r="AU48" s="573">
        <f>1/((-2*LOG10(((AU31/(AU29*3.7))+(2.51/(AU40*SQRT(AU46))))))^2)</f>
        <v>1.4711929349517719E-2</v>
      </c>
      <c r="AV48" s="573"/>
      <c r="AW48" s="573"/>
      <c r="AX48" s="573"/>
      <c r="AY48" s="573"/>
      <c r="AZ48" s="573"/>
      <c r="BA48" s="573">
        <f>1/((-2*LOG10(((BA31/(BA29*3.7))+(2.51/(BA40*SQRT(BA46))))))^2)</f>
        <v>1.4711929349517719E-2</v>
      </c>
      <c r="BB48" s="573"/>
      <c r="BC48" s="573"/>
      <c r="BD48" s="573"/>
      <c r="BE48" s="573"/>
      <c r="BF48" s="573"/>
      <c r="BG48" s="573">
        <f>1/((-2*LOG10(((BG31/(BG29*3.7))+(2.51/(BG40*SQRT(BG46))))))^2)</f>
        <v>1.4711929349517719E-2</v>
      </c>
      <c r="BH48" s="573"/>
      <c r="BI48" s="573"/>
      <c r="BJ48" s="573"/>
      <c r="BK48" s="573"/>
      <c r="BL48" s="573"/>
      <c r="BM48" s="573">
        <f>1/((-2*LOG10(((BM31/(BM29*3.7))+(2.51/(BM40*SQRT(BM46))))))^2)</f>
        <v>1.4711929349517719E-2</v>
      </c>
      <c r="BN48" s="573"/>
      <c r="BO48" s="573"/>
      <c r="BP48" s="573"/>
      <c r="BQ48" s="573"/>
      <c r="BR48" s="573"/>
      <c r="BS48" s="573">
        <f>1/((-2*LOG10(((BS31/(BS29*3.7))+(2.51/(BS40*SQRT(BS46))))))^2)</f>
        <v>1.4711929349517719E-2</v>
      </c>
      <c r="BT48" s="573"/>
      <c r="BU48" s="573"/>
      <c r="BV48" s="573"/>
      <c r="BW48" s="573"/>
      <c r="BX48" s="573"/>
      <c r="BY48" s="573">
        <f>1/((-2*LOG10(((BY31/(BY29*3.7))+(2.51/(BY40*SQRT(BY46))))))^2)</f>
        <v>1.5310749416420175E-2</v>
      </c>
      <c r="BZ48" s="573"/>
      <c r="CA48" s="573"/>
      <c r="CB48" s="573"/>
      <c r="CC48" s="573"/>
      <c r="CD48" s="573"/>
      <c r="CE48" s="573">
        <f>1/((-2*LOG10(((CE31/(CE29*3.7))+(2.51/(CE40*SQRT(CE46))))))^2)</f>
        <v>1.7916622831804868E-2</v>
      </c>
      <c r="CF48" s="573"/>
      <c r="CG48" s="573"/>
      <c r="CH48" s="573"/>
      <c r="CI48" s="573"/>
      <c r="CJ48" s="573"/>
      <c r="CK48" s="573">
        <f>1/((-2*LOG10(((CK31/(CK29*3.7))+(2.51/(CK40*SQRT(CK46))))))^2)</f>
        <v>1.5351996068955013E-2</v>
      </c>
      <c r="CL48" s="573"/>
      <c r="CM48" s="573"/>
      <c r="CN48" s="573"/>
      <c r="CO48" s="573"/>
      <c r="CP48" s="573"/>
      <c r="CQ48" s="573">
        <f>1/((-2*LOG10(((CQ31/(CQ29*3.7))+(2.51/(CQ40*SQRT(CQ46))))))^2)</f>
        <v>1.5680323661759386E-2</v>
      </c>
      <c r="CR48" s="573"/>
      <c r="CS48" s="573"/>
      <c r="CT48" s="573"/>
      <c r="CU48" s="573"/>
      <c r="CV48" s="573"/>
      <c r="CW48" s="573">
        <f>1/((-2*LOG10(((CW31/(CW29*3.7))+(2.51/(CW40*SQRT(CW46))))))^2)</f>
        <v>1.808847769671424E-2</v>
      </c>
      <c r="CX48" s="573"/>
      <c r="CY48" s="573"/>
      <c r="CZ48" s="573"/>
      <c r="DA48" s="573"/>
      <c r="DB48" s="573"/>
    </row>
    <row r="49" spans="2:106" x14ac:dyDescent="0.35">
      <c r="B49" s="85"/>
      <c r="C49" s="31" t="s">
        <v>43</v>
      </c>
      <c r="D49" s="7" t="s">
        <v>88</v>
      </c>
      <c r="E49" s="577">
        <f>IF((E40&lt;=2100),E43,IF(E40&lt;=4000,E46,E48))</f>
        <v>1.494872777010956E-2</v>
      </c>
      <c r="F49" s="578"/>
      <c r="G49" s="578"/>
      <c r="H49" s="578"/>
      <c r="I49" s="578"/>
      <c r="J49" s="578"/>
      <c r="K49" s="577">
        <f>IF((K40&lt;=2100),K43,IF(K40&lt;=4000,K46,K48))</f>
        <v>1.494872777010956E-2</v>
      </c>
      <c r="L49" s="578"/>
      <c r="M49" s="578"/>
      <c r="N49" s="578"/>
      <c r="O49" s="578"/>
      <c r="P49" s="578"/>
      <c r="Q49" s="577">
        <f>IF((Q40&lt;=2100),Q43,IF(Q40&lt;=4000,Q46,Q48))</f>
        <v>1.494872777010956E-2</v>
      </c>
      <c r="R49" s="578"/>
      <c r="S49" s="578"/>
      <c r="T49" s="578"/>
      <c r="U49" s="578"/>
      <c r="V49" s="578"/>
      <c r="W49" s="577">
        <f>IF((W40&lt;=2100),W43,IF(W40&lt;=4000,W46,W48))</f>
        <v>1.4948801592051116E-2</v>
      </c>
      <c r="X49" s="578"/>
      <c r="Y49" s="578"/>
      <c r="Z49" s="578"/>
      <c r="AA49" s="578"/>
      <c r="AB49" s="578"/>
      <c r="AC49" s="577">
        <f>IF((AC40&lt;=2100),AC43,IF(AC40&lt;=4000,AC46,AC48))</f>
        <v>1.4948801592051116E-2</v>
      </c>
      <c r="AD49" s="578"/>
      <c r="AE49" s="578"/>
      <c r="AF49" s="578"/>
      <c r="AG49" s="578"/>
      <c r="AH49" s="578"/>
      <c r="AI49" s="577">
        <f>IF((AI40&lt;=2100),AI43,IF(AI40&lt;=4000,AI46,AI48))</f>
        <v>1.404307900945095E-2</v>
      </c>
      <c r="AJ49" s="578"/>
      <c r="AK49" s="578"/>
      <c r="AL49" s="578"/>
      <c r="AM49" s="578"/>
      <c r="AN49" s="578"/>
      <c r="AO49" s="577">
        <f>IF((AO40&lt;=2100),AO43,IF(AO40&lt;=4000,AO46,AO48))</f>
        <v>1.4711929349517719E-2</v>
      </c>
      <c r="AP49" s="578"/>
      <c r="AQ49" s="578"/>
      <c r="AR49" s="578"/>
      <c r="AS49" s="578"/>
      <c r="AT49" s="578"/>
      <c r="AU49" s="577">
        <f>IF((AU40&lt;=2100),AU43,IF(AU40&lt;=4000,AU46,AU48))</f>
        <v>1.4711929349517719E-2</v>
      </c>
      <c r="AV49" s="578"/>
      <c r="AW49" s="578"/>
      <c r="AX49" s="578"/>
      <c r="AY49" s="578"/>
      <c r="AZ49" s="578"/>
      <c r="BA49" s="577">
        <f>IF((BA40&lt;=2100),BA43,IF(BA40&lt;=4000,BA46,BA48))</f>
        <v>1.4711929349517719E-2</v>
      </c>
      <c r="BB49" s="578"/>
      <c r="BC49" s="578"/>
      <c r="BD49" s="578"/>
      <c r="BE49" s="578"/>
      <c r="BF49" s="578"/>
      <c r="BG49" s="577">
        <f>IF((BG40&lt;=2100),BG43,IF(BG40&lt;=4000,BG46,BG48))</f>
        <v>1.4711929349517719E-2</v>
      </c>
      <c r="BH49" s="578"/>
      <c r="BI49" s="578"/>
      <c r="BJ49" s="578"/>
      <c r="BK49" s="578"/>
      <c r="BL49" s="578"/>
      <c r="BM49" s="577">
        <f>IF((BM40&lt;=2100),BM43,IF(BM40&lt;=4000,BM46,BM48))</f>
        <v>1.4711929349517719E-2</v>
      </c>
      <c r="BN49" s="578"/>
      <c r="BO49" s="578"/>
      <c r="BP49" s="578"/>
      <c r="BQ49" s="578"/>
      <c r="BR49" s="578"/>
      <c r="BS49" s="577">
        <f>IF((BS40&lt;=2100),BS43,IF(BS40&lt;=4000,BS46,BS48))</f>
        <v>1.4711929349517719E-2</v>
      </c>
      <c r="BT49" s="578"/>
      <c r="BU49" s="578"/>
      <c r="BV49" s="578"/>
      <c r="BW49" s="578"/>
      <c r="BX49" s="578"/>
      <c r="BY49" s="577">
        <f>IF((BY40&lt;=2100),BY43,IF(BY40&lt;=4000,BY46,BY48))</f>
        <v>1.5310749416420175E-2</v>
      </c>
      <c r="BZ49" s="578"/>
      <c r="CA49" s="578"/>
      <c r="CB49" s="578"/>
      <c r="CC49" s="578"/>
      <c r="CD49" s="578"/>
      <c r="CE49" s="577">
        <f>IF((CE40&lt;=2100),CE43,IF(CE40&lt;=4000,CE46,CE48))</f>
        <v>1.7916622831804868E-2</v>
      </c>
      <c r="CF49" s="578"/>
      <c r="CG49" s="578"/>
      <c r="CH49" s="578"/>
      <c r="CI49" s="578"/>
      <c r="CJ49" s="578"/>
      <c r="CK49" s="577">
        <f>IF((CK40&lt;=2100),CK43,IF(CK40&lt;=4000,CK46,CK48))</f>
        <v>1.5351996068955013E-2</v>
      </c>
      <c r="CL49" s="578"/>
      <c r="CM49" s="578"/>
      <c r="CN49" s="578"/>
      <c r="CO49" s="578"/>
      <c r="CP49" s="578"/>
      <c r="CQ49" s="577">
        <f>IF((CQ40&lt;=2100),CQ43,IF(CQ40&lt;=4000,CQ46,CQ48))</f>
        <v>1.5680323661759386E-2</v>
      </c>
      <c r="CR49" s="578"/>
      <c r="CS49" s="578"/>
      <c r="CT49" s="578"/>
      <c r="CU49" s="578"/>
      <c r="CV49" s="578"/>
      <c r="CW49" s="577">
        <f>IF((CW40&lt;=2100),CW43,IF(CW40&lt;=4000,CW46,CW48))</f>
        <v>1.808847769671424E-2</v>
      </c>
      <c r="CX49" s="578"/>
      <c r="CY49" s="578"/>
      <c r="CZ49" s="578"/>
      <c r="DA49" s="578"/>
      <c r="DB49" s="578"/>
    </row>
    <row r="50" spans="2:106" ht="14.5" customHeight="1" x14ac:dyDescent="0.35">
      <c r="B50" s="85"/>
      <c r="C50" s="38" t="s">
        <v>42</v>
      </c>
      <c r="D50" s="7"/>
      <c r="E50"/>
      <c r="F50"/>
      <c r="G50"/>
      <c r="H50"/>
      <c r="I50"/>
      <c r="J50"/>
      <c r="K50"/>
      <c r="L50"/>
      <c r="M50"/>
      <c r="N50"/>
      <c r="O50"/>
      <c r="P50"/>
      <c r="Q50"/>
      <c r="R50"/>
      <c r="S50"/>
      <c r="T50"/>
      <c r="U50"/>
      <c r="W50"/>
      <c r="X50"/>
      <c r="Y50"/>
      <c r="Z50"/>
      <c r="AA50"/>
      <c r="AC50"/>
      <c r="AD50"/>
      <c r="AE50"/>
      <c r="AF50"/>
      <c r="AG50"/>
      <c r="AI50"/>
      <c r="AJ50"/>
      <c r="AK50"/>
      <c r="AL50"/>
      <c r="AM50"/>
      <c r="AO50"/>
      <c r="AP50"/>
      <c r="AQ50"/>
      <c r="AR50"/>
      <c r="AS50"/>
      <c r="AU50"/>
      <c r="AV50"/>
      <c r="AW50"/>
      <c r="AX50"/>
      <c r="AY50"/>
      <c r="BA50"/>
      <c r="BB50"/>
      <c r="BC50"/>
      <c r="BD50"/>
      <c r="BE50"/>
      <c r="BG50"/>
      <c r="BH50"/>
      <c r="BI50"/>
      <c r="BJ50"/>
      <c r="BK50"/>
      <c r="BM50"/>
      <c r="BN50"/>
      <c r="BO50"/>
      <c r="BP50"/>
      <c r="BQ50"/>
      <c r="BS50"/>
      <c r="BT50"/>
      <c r="BU50"/>
      <c r="BV50"/>
      <c r="BW50"/>
      <c r="BY50"/>
      <c r="BZ50"/>
      <c r="CA50"/>
      <c r="CB50"/>
      <c r="CC50"/>
      <c r="CE50"/>
      <c r="CF50"/>
      <c r="CG50"/>
      <c r="CH50"/>
      <c r="CI50"/>
      <c r="CK50"/>
      <c r="CL50"/>
      <c r="CM50"/>
      <c r="CN50"/>
      <c r="CO50"/>
      <c r="CQ50"/>
      <c r="CR50"/>
      <c r="CS50"/>
      <c r="CT50"/>
      <c r="CU50"/>
      <c r="CW50"/>
      <c r="CX50"/>
      <c r="CY50"/>
      <c r="CZ50"/>
      <c r="DA50"/>
    </row>
    <row r="51" spans="2:106" x14ac:dyDescent="0.35">
      <c r="B51" s="85"/>
      <c r="C51" s="87" t="s">
        <v>87</v>
      </c>
      <c r="D51" s="7" t="s">
        <v>63</v>
      </c>
      <c r="E51" s="579">
        <v>100</v>
      </c>
      <c r="F51" s="579"/>
      <c r="G51" s="579"/>
      <c r="H51" s="579"/>
      <c r="I51" s="579"/>
      <c r="J51" s="579"/>
      <c r="K51" s="579">
        <v>100</v>
      </c>
      <c r="L51" s="579"/>
      <c r="M51" s="579"/>
      <c r="N51" s="579"/>
      <c r="O51" s="579"/>
      <c r="P51" s="579"/>
      <c r="Q51" s="579">
        <v>100</v>
      </c>
      <c r="R51" s="579"/>
      <c r="S51" s="579"/>
      <c r="T51" s="579"/>
      <c r="U51" s="579"/>
      <c r="V51" s="579"/>
      <c r="W51" s="579">
        <v>100</v>
      </c>
      <c r="X51" s="579"/>
      <c r="Y51" s="579"/>
      <c r="Z51" s="579"/>
      <c r="AA51" s="579"/>
      <c r="AB51" s="579"/>
      <c r="AC51" s="579">
        <v>100</v>
      </c>
      <c r="AD51" s="579"/>
      <c r="AE51" s="579"/>
      <c r="AF51" s="579"/>
      <c r="AG51" s="579"/>
      <c r="AH51" s="579"/>
      <c r="AI51" s="579">
        <v>100</v>
      </c>
      <c r="AJ51" s="579"/>
      <c r="AK51" s="579"/>
      <c r="AL51" s="579"/>
      <c r="AM51" s="579"/>
      <c r="AN51" s="579"/>
      <c r="AO51" s="579">
        <v>100</v>
      </c>
      <c r="AP51" s="579"/>
      <c r="AQ51" s="579"/>
      <c r="AR51" s="579"/>
      <c r="AS51" s="579"/>
      <c r="AT51" s="579"/>
      <c r="AU51" s="579">
        <v>100</v>
      </c>
      <c r="AV51" s="579"/>
      <c r="AW51" s="579"/>
      <c r="AX51" s="579"/>
      <c r="AY51" s="579"/>
      <c r="AZ51" s="579"/>
      <c r="BA51" s="579">
        <v>100</v>
      </c>
      <c r="BB51" s="579"/>
      <c r="BC51" s="579"/>
      <c r="BD51" s="579"/>
      <c r="BE51" s="579"/>
      <c r="BF51" s="579"/>
      <c r="BG51" s="579">
        <v>100</v>
      </c>
      <c r="BH51" s="579"/>
      <c r="BI51" s="579"/>
      <c r="BJ51" s="579"/>
      <c r="BK51" s="579"/>
      <c r="BL51" s="579"/>
      <c r="BM51" s="579">
        <v>100</v>
      </c>
      <c r="BN51" s="579"/>
      <c r="BO51" s="579"/>
      <c r="BP51" s="579"/>
      <c r="BQ51" s="579"/>
      <c r="BR51" s="579"/>
      <c r="BS51" s="579">
        <v>100</v>
      </c>
      <c r="BT51" s="579"/>
      <c r="BU51" s="579"/>
      <c r="BV51" s="579"/>
      <c r="BW51" s="579"/>
      <c r="BX51" s="579"/>
      <c r="BY51" s="579">
        <v>100</v>
      </c>
      <c r="BZ51" s="579"/>
      <c r="CA51" s="579"/>
      <c r="CB51" s="579"/>
      <c r="CC51" s="579"/>
      <c r="CD51" s="579"/>
      <c r="CE51" s="579">
        <v>100</v>
      </c>
      <c r="CF51" s="579"/>
      <c r="CG51" s="579"/>
      <c r="CH51" s="579"/>
      <c r="CI51" s="579"/>
      <c r="CJ51" s="579"/>
      <c r="CK51" s="579">
        <v>100</v>
      </c>
      <c r="CL51" s="579"/>
      <c r="CM51" s="579"/>
      <c r="CN51" s="579"/>
      <c r="CO51" s="579"/>
      <c r="CP51" s="579"/>
      <c r="CQ51" s="579">
        <v>100</v>
      </c>
      <c r="CR51" s="579"/>
      <c r="CS51" s="579"/>
      <c r="CT51" s="579"/>
      <c r="CU51" s="579"/>
      <c r="CV51" s="579"/>
      <c r="CW51" s="579">
        <v>100</v>
      </c>
      <c r="CX51" s="579"/>
      <c r="CY51" s="579"/>
      <c r="CZ51" s="579"/>
      <c r="DA51" s="579"/>
      <c r="DB51" s="579"/>
    </row>
    <row r="52" spans="2:106" x14ac:dyDescent="0.35">
      <c r="B52" s="85"/>
      <c r="C52" s="11" t="s">
        <v>42</v>
      </c>
      <c r="D52" s="44" t="s">
        <v>62</v>
      </c>
      <c r="E52" s="577">
        <f>((((E49*(E51/(E29/12)))*E35)*(E39^2))/2)/(144*32.2)</f>
        <v>6.3812898687368655E-2</v>
      </c>
      <c r="F52" s="578"/>
      <c r="G52" s="578"/>
      <c r="H52" s="578"/>
      <c r="I52" s="578"/>
      <c r="J52" s="578"/>
      <c r="K52" s="577">
        <f>((((K49*(K51/(K29/12)))*K35)*(K39^2))/2)/(144*32.2)</f>
        <v>4.8991943970153565E-2</v>
      </c>
      <c r="L52" s="578"/>
      <c r="M52" s="578"/>
      <c r="N52" s="578"/>
      <c r="O52" s="578"/>
      <c r="P52" s="578"/>
      <c r="Q52" s="577">
        <f>((((Q49*(Q51/(Q29/12)))*Q35)*(Q39^2))/2)/(144*32.2)</f>
        <v>5.2099395207126871E-2</v>
      </c>
      <c r="R52" s="578"/>
      <c r="S52" s="578"/>
      <c r="T52" s="578"/>
      <c r="U52" s="578"/>
      <c r="V52" s="578"/>
      <c r="W52" s="577">
        <f>((((W49*(W51/(W29/12)))*W35)*(W39^2))/2)/(144*32.2)</f>
        <v>5.5122956070607035E-2</v>
      </c>
      <c r="X52" s="578"/>
      <c r="Y52" s="578"/>
      <c r="Z52" s="578"/>
      <c r="AA52" s="578"/>
      <c r="AB52" s="578"/>
      <c r="AC52" s="577">
        <f>((((AC49*(AC51/(AC29/12)))*AC35)*(AC39^2))/2)/(144*32.2)</f>
        <v>5.6773343976912624E-2</v>
      </c>
      <c r="AD52" s="578"/>
      <c r="AE52" s="578"/>
      <c r="AF52" s="578"/>
      <c r="AG52" s="578"/>
      <c r="AH52" s="578"/>
      <c r="AI52" s="577">
        <f>((((AI49*(AI51/(AI29/12)))*AI35)*(AI39^2))/2)/(144*32.2)</f>
        <v>1.2248165720310072E-2</v>
      </c>
      <c r="AJ52" s="578"/>
      <c r="AK52" s="578"/>
      <c r="AL52" s="578"/>
      <c r="AM52" s="578"/>
      <c r="AN52" s="578"/>
      <c r="AO52" s="577">
        <f>((((AO49*(AO51/(AO29/12)))*AO35)*(AO39^2))/2)/(144*32.2)</f>
        <v>6.2436480105233394E-2</v>
      </c>
      <c r="AP52" s="578"/>
      <c r="AQ52" s="578"/>
      <c r="AR52" s="578"/>
      <c r="AS52" s="578"/>
      <c r="AT52" s="578"/>
      <c r="AU52" s="577">
        <f>((((AU49*(AU51/(AU29/12)))*AU35)*(AU39^2))/2)/(144*32.2)</f>
        <v>6.0531107641087968E-2</v>
      </c>
      <c r="AV52" s="578"/>
      <c r="AW52" s="578"/>
      <c r="AX52" s="578"/>
      <c r="AY52" s="578"/>
      <c r="AZ52" s="578"/>
      <c r="BA52" s="577">
        <f>((((BA49*(BA51/(BA29/12)))*BA35)*(BA39^2))/2)/(144*32.2)</f>
        <v>5.1873354533680104E-2</v>
      </c>
      <c r="BB52" s="578"/>
      <c r="BC52" s="578"/>
      <c r="BD52" s="578"/>
      <c r="BE52" s="578"/>
      <c r="BF52" s="578"/>
      <c r="BG52" s="577">
        <f>((((BG49*(BG51/(BG29/12)))*BG35)*(BG39^2))/2)/(144*32.2)</f>
        <v>5.1645774723613432E-2</v>
      </c>
      <c r="BH52" s="578"/>
      <c r="BI52" s="578"/>
      <c r="BJ52" s="578"/>
      <c r="BK52" s="578"/>
      <c r="BL52" s="578"/>
      <c r="BM52" s="577">
        <f>((((BM49*(BM51/(BM29/12)))*BM35)*(BM39^2))/2)/(144*32.2)</f>
        <v>4.5361222819341754E-2</v>
      </c>
      <c r="BN52" s="578"/>
      <c r="BO52" s="578"/>
      <c r="BP52" s="578"/>
      <c r="BQ52" s="578"/>
      <c r="BR52" s="578"/>
      <c r="BS52" s="577">
        <f>((((BS49*(BS51/(BS29/12)))*BS35)*(BS39^2))/2)/(144*32.2)</f>
        <v>4.6716134235338921E-2</v>
      </c>
      <c r="BT52" s="578"/>
      <c r="BU52" s="578"/>
      <c r="BV52" s="578"/>
      <c r="BW52" s="578"/>
      <c r="BX52" s="578"/>
      <c r="BY52" s="577">
        <f>((((BY49*(BY51/(BY29/12)))*BY35)*(BY39^2))/2)/(144*32.2)</f>
        <v>0.19370858900945537</v>
      </c>
      <c r="BZ52" s="578"/>
      <c r="CA52" s="578"/>
      <c r="CB52" s="578"/>
      <c r="CC52" s="578"/>
      <c r="CD52" s="578"/>
      <c r="CE52" s="577">
        <f>((((CE49*(CE51/(CE29/12)))*CE35)*(CE39^2))/2)/(144*32.2)</f>
        <v>0.58286392820988697</v>
      </c>
      <c r="CF52" s="578"/>
      <c r="CG52" s="578"/>
      <c r="CH52" s="578"/>
      <c r="CI52" s="578"/>
      <c r="CJ52" s="578"/>
      <c r="CK52" s="577">
        <f>((((CK49*(CK51/(CK29/12)))*CK35)*(CK39^2))/2)/(144*32.2)</f>
        <v>0.10749078345568173</v>
      </c>
      <c r="CL52" s="578"/>
      <c r="CM52" s="578"/>
      <c r="CN52" s="578"/>
      <c r="CO52" s="578"/>
      <c r="CP52" s="578"/>
      <c r="CQ52" s="577">
        <f>((((CQ49*(CQ51/(CQ29/12)))*CQ35)*(CQ39^2))/2)/(144*32.2)</f>
        <v>5.0265797281036265E-2</v>
      </c>
      <c r="CR52" s="578"/>
      <c r="CS52" s="578"/>
      <c r="CT52" s="578"/>
      <c r="CU52" s="578"/>
      <c r="CV52" s="578"/>
      <c r="CW52" s="577">
        <f>((((CW49*(CW51/(CW29/12)))*CW35)*(CW39^2))/2)/(144*32.2)</f>
        <v>0.77982981100290871</v>
      </c>
      <c r="CX52" s="578"/>
      <c r="CY52" s="578"/>
      <c r="CZ52" s="578"/>
      <c r="DA52" s="578"/>
      <c r="DB52" s="578"/>
    </row>
    <row r="53" spans="2:106" x14ac:dyDescent="0.35">
      <c r="B53" s="85"/>
      <c r="C53" s="38" t="s">
        <v>110</v>
      </c>
      <c r="G53" s="83"/>
      <c r="H53" s="79"/>
      <c r="I53" s="83"/>
      <c r="J53" s="83"/>
      <c r="M53" s="83"/>
      <c r="N53" s="79"/>
      <c r="O53" s="83"/>
      <c r="P53" s="83"/>
      <c r="S53" s="83"/>
      <c r="T53" s="79"/>
      <c r="U53" s="83"/>
      <c r="V53" s="83"/>
      <c r="Y53" s="83"/>
      <c r="Z53" s="79"/>
      <c r="AA53" s="83"/>
      <c r="AB53" s="83"/>
      <c r="AE53" s="83"/>
      <c r="AF53" s="79"/>
      <c r="AG53" s="83"/>
      <c r="AH53" s="83"/>
      <c r="AK53" s="83"/>
      <c r="AL53" s="79"/>
      <c r="AM53" s="83"/>
      <c r="AN53" s="83"/>
      <c r="AQ53" s="83"/>
      <c r="AR53" s="79"/>
      <c r="AS53" s="83"/>
      <c r="AT53" s="83"/>
      <c r="AW53" s="83"/>
      <c r="AX53" s="79"/>
      <c r="AY53" s="83"/>
      <c r="AZ53" s="83"/>
      <c r="BC53" s="83"/>
      <c r="BD53" s="79"/>
      <c r="BE53" s="83"/>
      <c r="BF53" s="83"/>
      <c r="BI53" s="83"/>
      <c r="BJ53" s="79"/>
      <c r="BK53" s="83"/>
      <c r="BL53" s="83"/>
      <c r="BO53" s="83"/>
      <c r="BP53" s="79"/>
      <c r="BQ53" s="83"/>
      <c r="BR53" s="83"/>
      <c r="BU53" s="83"/>
      <c r="BV53" s="79"/>
      <c r="BW53" s="83"/>
      <c r="BX53" s="83"/>
      <c r="CA53" s="83"/>
      <c r="CB53" s="79"/>
      <c r="CC53" s="83"/>
      <c r="CD53" s="83"/>
      <c r="CG53" s="83"/>
      <c r="CH53" s="79"/>
      <c r="CI53" s="83"/>
      <c r="CJ53" s="83"/>
      <c r="CM53" s="83"/>
      <c r="CN53" s="79"/>
      <c r="CO53" s="83"/>
      <c r="CP53" s="83"/>
      <c r="CS53" s="83"/>
      <c r="CT53" s="79"/>
      <c r="CU53" s="83"/>
      <c r="CV53" s="83"/>
      <c r="CY53" s="83"/>
      <c r="CZ53" s="79"/>
      <c r="DA53" s="83"/>
      <c r="DB53" s="83"/>
    </row>
    <row r="54" spans="2:106" x14ac:dyDescent="0.35">
      <c r="B54" s="85"/>
      <c r="C54" s="11" t="s">
        <v>115</v>
      </c>
      <c r="E54" s="561" t="s">
        <v>100</v>
      </c>
      <c r="F54" s="561"/>
      <c r="G54" s="561"/>
      <c r="H54" s="561"/>
      <c r="I54" s="561"/>
      <c r="J54" s="561"/>
      <c r="K54" s="561" t="s">
        <v>100</v>
      </c>
      <c r="L54" s="561"/>
      <c r="M54" s="561"/>
      <c r="N54" s="561"/>
      <c r="O54" s="561"/>
      <c r="P54" s="561"/>
      <c r="Q54" s="561" t="s">
        <v>100</v>
      </c>
      <c r="R54" s="561"/>
      <c r="S54" s="561"/>
      <c r="T54" s="561"/>
      <c r="U54" s="561"/>
      <c r="V54" s="561"/>
      <c r="W54" s="561" t="s">
        <v>100</v>
      </c>
      <c r="X54" s="561"/>
      <c r="Y54" s="561"/>
      <c r="Z54" s="561"/>
      <c r="AA54" s="561"/>
      <c r="AB54" s="561"/>
      <c r="AC54" s="561" t="s">
        <v>100</v>
      </c>
      <c r="AD54" s="561"/>
      <c r="AE54" s="561"/>
      <c r="AF54" s="561"/>
      <c r="AG54" s="561"/>
      <c r="AH54" s="561"/>
      <c r="AI54" s="561" t="s">
        <v>100</v>
      </c>
      <c r="AJ54" s="561"/>
      <c r="AK54" s="561"/>
      <c r="AL54" s="561"/>
      <c r="AM54" s="561"/>
      <c r="AN54" s="561"/>
      <c r="AO54" s="561" t="s">
        <v>100</v>
      </c>
      <c r="AP54" s="561"/>
      <c r="AQ54" s="561"/>
      <c r="AR54" s="561"/>
      <c r="AS54" s="561"/>
      <c r="AT54" s="561"/>
      <c r="AU54" s="561" t="s">
        <v>100</v>
      </c>
      <c r="AV54" s="561"/>
      <c r="AW54" s="561"/>
      <c r="AX54" s="561"/>
      <c r="AY54" s="561"/>
      <c r="AZ54" s="561"/>
      <c r="BA54" s="561" t="s">
        <v>100</v>
      </c>
      <c r="BB54" s="561"/>
      <c r="BC54" s="561"/>
      <c r="BD54" s="561"/>
      <c r="BE54" s="561"/>
      <c r="BF54" s="561"/>
      <c r="BG54" s="561" t="s">
        <v>100</v>
      </c>
      <c r="BH54" s="561"/>
      <c r="BI54" s="561"/>
      <c r="BJ54" s="561"/>
      <c r="BK54" s="561"/>
      <c r="BL54" s="561"/>
      <c r="BM54" s="561" t="s">
        <v>100</v>
      </c>
      <c r="BN54" s="561"/>
      <c r="BO54" s="561"/>
      <c r="BP54" s="561"/>
      <c r="BQ54" s="561"/>
      <c r="BR54" s="561"/>
      <c r="BS54" s="561" t="s">
        <v>100</v>
      </c>
      <c r="BT54" s="561"/>
      <c r="BU54" s="561"/>
      <c r="BV54" s="561"/>
      <c r="BW54" s="561"/>
      <c r="BX54" s="561"/>
      <c r="BY54" s="561" t="s">
        <v>100</v>
      </c>
      <c r="BZ54" s="561"/>
      <c r="CA54" s="561"/>
      <c r="CB54" s="561"/>
      <c r="CC54" s="561"/>
      <c r="CD54" s="561"/>
      <c r="CE54" s="561" t="s">
        <v>100</v>
      </c>
      <c r="CF54" s="561"/>
      <c r="CG54" s="561"/>
      <c r="CH54" s="561"/>
      <c r="CI54" s="561"/>
      <c r="CJ54" s="561"/>
      <c r="CK54" s="561" t="s">
        <v>100</v>
      </c>
      <c r="CL54" s="561"/>
      <c r="CM54" s="561"/>
      <c r="CN54" s="561"/>
      <c r="CO54" s="561"/>
      <c r="CP54" s="561"/>
      <c r="CQ54" s="561" t="s">
        <v>100</v>
      </c>
      <c r="CR54" s="561"/>
      <c r="CS54" s="561"/>
      <c r="CT54" s="561"/>
      <c r="CU54" s="561"/>
      <c r="CV54" s="561"/>
      <c r="CW54" s="561" t="s">
        <v>100</v>
      </c>
      <c r="CX54" s="561"/>
      <c r="CY54" s="561"/>
      <c r="CZ54" s="561"/>
      <c r="DA54" s="561"/>
      <c r="DB54" s="561"/>
    </row>
    <row r="55" spans="2:106" x14ac:dyDescent="0.35">
      <c r="B55" s="85"/>
      <c r="C55" s="11" t="s">
        <v>114</v>
      </c>
      <c r="E55" s="561" t="s">
        <v>101</v>
      </c>
      <c r="F55" s="561"/>
      <c r="G55" s="561"/>
      <c r="H55" s="561"/>
      <c r="I55" s="561"/>
      <c r="J55" s="561"/>
      <c r="K55" s="561" t="s">
        <v>101</v>
      </c>
      <c r="L55" s="561"/>
      <c r="M55" s="561"/>
      <c r="N55" s="561"/>
      <c r="O55" s="561"/>
      <c r="P55" s="561"/>
      <c r="Q55" s="561" t="s">
        <v>101</v>
      </c>
      <c r="R55" s="561"/>
      <c r="S55" s="561"/>
      <c r="T55" s="561"/>
      <c r="U55" s="561"/>
      <c r="V55" s="561"/>
      <c r="W55" s="561" t="s">
        <v>101</v>
      </c>
      <c r="X55" s="561"/>
      <c r="Y55" s="561"/>
      <c r="Z55" s="561"/>
      <c r="AA55" s="561"/>
      <c r="AB55" s="561"/>
      <c r="AC55" s="561" t="s">
        <v>101</v>
      </c>
      <c r="AD55" s="561"/>
      <c r="AE55" s="561"/>
      <c r="AF55" s="561"/>
      <c r="AG55" s="561"/>
      <c r="AH55" s="561"/>
      <c r="AI55" s="561" t="s">
        <v>101</v>
      </c>
      <c r="AJ55" s="561"/>
      <c r="AK55" s="561"/>
      <c r="AL55" s="561"/>
      <c r="AM55" s="561"/>
      <c r="AN55" s="561"/>
      <c r="AO55" s="561" t="s">
        <v>109</v>
      </c>
      <c r="AP55" s="561"/>
      <c r="AQ55" s="561"/>
      <c r="AR55" s="561"/>
      <c r="AS55" s="561"/>
      <c r="AT55" s="561"/>
      <c r="AU55" s="561" t="s">
        <v>109</v>
      </c>
      <c r="AV55" s="561"/>
      <c r="AW55" s="561"/>
      <c r="AX55" s="561"/>
      <c r="AY55" s="561"/>
      <c r="AZ55" s="561"/>
      <c r="BA55" s="561" t="s">
        <v>109</v>
      </c>
      <c r="BB55" s="561"/>
      <c r="BC55" s="561"/>
      <c r="BD55" s="561"/>
      <c r="BE55" s="561"/>
      <c r="BF55" s="561"/>
      <c r="BG55" s="561" t="s">
        <v>109</v>
      </c>
      <c r="BH55" s="561"/>
      <c r="BI55" s="561"/>
      <c r="BJ55" s="561"/>
      <c r="BK55" s="561"/>
      <c r="BL55" s="561"/>
      <c r="BM55" s="561" t="s">
        <v>109</v>
      </c>
      <c r="BN55" s="561"/>
      <c r="BO55" s="561"/>
      <c r="BP55" s="561"/>
      <c r="BQ55" s="561"/>
      <c r="BR55" s="561"/>
      <c r="BS55" s="561" t="s">
        <v>109</v>
      </c>
      <c r="BT55" s="561"/>
      <c r="BU55" s="561"/>
      <c r="BV55" s="561"/>
      <c r="BW55" s="561"/>
      <c r="BX55" s="561"/>
      <c r="BY55" s="561" t="s">
        <v>109</v>
      </c>
      <c r="BZ55" s="561"/>
      <c r="CA55" s="561"/>
      <c r="CB55" s="561"/>
      <c r="CC55" s="561"/>
      <c r="CD55" s="561"/>
      <c r="CE55" s="561" t="s">
        <v>109</v>
      </c>
      <c r="CF55" s="561"/>
      <c r="CG55" s="561"/>
      <c r="CH55" s="561"/>
      <c r="CI55" s="561"/>
      <c r="CJ55" s="561"/>
      <c r="CK55" s="561" t="s">
        <v>109</v>
      </c>
      <c r="CL55" s="561"/>
      <c r="CM55" s="561"/>
      <c r="CN55" s="561"/>
      <c r="CO55" s="561"/>
      <c r="CP55" s="561"/>
      <c r="CQ55" s="561" t="s">
        <v>109</v>
      </c>
      <c r="CR55" s="561"/>
      <c r="CS55" s="561"/>
      <c r="CT55" s="561"/>
      <c r="CU55" s="561"/>
      <c r="CV55" s="561"/>
      <c r="CW55" s="561" t="s">
        <v>102</v>
      </c>
      <c r="CX55" s="561"/>
      <c r="CY55" s="561"/>
      <c r="CZ55" s="561"/>
      <c r="DA55" s="561"/>
      <c r="DB55" s="561"/>
    </row>
    <row r="56" spans="2:106" x14ac:dyDescent="0.35">
      <c r="B56" s="85"/>
      <c r="C56" s="11" t="s">
        <v>116</v>
      </c>
      <c r="E56" s="580" t="str">
        <f>IF(E$52&lt;=VLOOKUP(E$55,'Calculation Basis'!$X$37:$AB$51,2,FALSE),"Reduce the line size",IF(E$52&gt;=VLOOKUP(E$55,'Calculation Basis'!$X$37:$AB$51,3,FALSE),"Increase the line size","Line Size is Okay"))</f>
        <v>Line Size is Okay</v>
      </c>
      <c r="F56" s="580"/>
      <c r="G56" s="580"/>
      <c r="H56" s="580"/>
      <c r="I56" s="580"/>
      <c r="J56" s="580"/>
      <c r="K56" s="580" t="str">
        <f>IF(K$52&lt;=VLOOKUP(K$55,'Calculation Basis'!$X$37:$AB$51,2,FALSE),"Reduce the line size",IF(K$52&gt;=VLOOKUP(K$55,'Calculation Basis'!$X$37:$AB$51,3,FALSE),"Increase the line size","Line Size is Okay"))</f>
        <v>Reduce the line size</v>
      </c>
      <c r="L56" s="580"/>
      <c r="M56" s="580"/>
      <c r="N56" s="580"/>
      <c r="O56" s="580"/>
      <c r="P56" s="580"/>
      <c r="Q56" s="580" t="str">
        <f>IF(Q$52&lt;=VLOOKUP(Q$55,'Calculation Basis'!$X$37:$AB$51,2,FALSE),"Reduce the line size",IF(Q$52&gt;=VLOOKUP(Q$55,'Calculation Basis'!$X$37:$AB$51,3,FALSE),"Increase the line size","Line Size is Okay"))</f>
        <v>Line Size is Okay</v>
      </c>
      <c r="R56" s="580"/>
      <c r="S56" s="580"/>
      <c r="T56" s="580"/>
      <c r="U56" s="580"/>
      <c r="V56" s="580"/>
      <c r="W56" s="580" t="str">
        <f>IF(W$52&lt;=VLOOKUP(W$55,'Calculation Basis'!$X$37:$AB$51,2,FALSE),"Reduce the line size",IF(W$52&gt;=VLOOKUP(W$55,'Calculation Basis'!$X$37:$AB$51,3,FALSE),"Increase the line size","Line Size is Okay"))</f>
        <v>Line Size is Okay</v>
      </c>
      <c r="X56" s="580"/>
      <c r="Y56" s="580"/>
      <c r="Z56" s="580"/>
      <c r="AA56" s="580"/>
      <c r="AB56" s="580"/>
      <c r="AC56" s="580" t="str">
        <f>IF(AC$52&lt;=VLOOKUP(AC$55,'Calculation Basis'!$X$37:$AB$51,2,FALSE),"Reduce the line size",IF(AC$52&gt;=VLOOKUP(AC$55,'Calculation Basis'!$X$37:$AB$51,3,FALSE),"Increase the line size","Line Size is Okay"))</f>
        <v>Line Size is Okay</v>
      </c>
      <c r="AD56" s="580"/>
      <c r="AE56" s="580"/>
      <c r="AF56" s="580"/>
      <c r="AG56" s="580"/>
      <c r="AH56" s="580"/>
      <c r="AI56" s="580" t="str">
        <f>IF(AI$52&lt;=VLOOKUP(AI$55,'Calculation Basis'!$X$37:$AB$51,2,FALSE),"Reduce the line size",IF(AI$52&gt;=VLOOKUP(AI$55,'Calculation Basis'!$X$37:$AB$51,3,FALSE),"Increase the line size","Line Size is Okay"))</f>
        <v>Reduce the line size</v>
      </c>
      <c r="AJ56" s="580"/>
      <c r="AK56" s="580"/>
      <c r="AL56" s="580"/>
      <c r="AM56" s="580"/>
      <c r="AN56" s="580"/>
      <c r="AO56" s="580" t="str">
        <f>IF(AO$52&lt;=VLOOKUP(AO$55,'Calculation Basis'!$X$37:$AB$51,2,FALSE),"Reduce the line size",IF(AO$52&gt;=VLOOKUP(AO$55,'Calculation Basis'!$X$37:$AB$51,3,FALSE),"Increase the line size","Line Size is Okay"))</f>
        <v>Reduce the line size</v>
      </c>
      <c r="AP56" s="580"/>
      <c r="AQ56" s="580"/>
      <c r="AR56" s="580"/>
      <c r="AS56" s="580"/>
      <c r="AT56" s="580"/>
      <c r="AU56" s="580" t="str">
        <f>IF(AU$52&lt;=VLOOKUP(AU$55,'Calculation Basis'!$X$37:$AB$51,2,FALSE),"Reduce the line size",IF(AU$52&gt;=VLOOKUP(AU$55,'Calculation Basis'!$X$37:$AB$51,3,FALSE),"Increase the line size","Line Size is Okay"))</f>
        <v>Reduce the line size</v>
      </c>
      <c r="AV56" s="580"/>
      <c r="AW56" s="580"/>
      <c r="AX56" s="580"/>
      <c r="AY56" s="580"/>
      <c r="AZ56" s="580"/>
      <c r="BA56" s="580" t="str">
        <f>IF(BA$52&lt;=VLOOKUP(BA$55,'Calculation Basis'!$X$37:$AB$51,2,FALSE),"Reduce the line size",IF(BA$52&gt;=VLOOKUP(BA$55,'Calculation Basis'!$X$37:$AB$51,3,FALSE),"Increase the line size","Line Size is Okay"))</f>
        <v>Reduce the line size</v>
      </c>
      <c r="BB56" s="580"/>
      <c r="BC56" s="580"/>
      <c r="BD56" s="580"/>
      <c r="BE56" s="580"/>
      <c r="BF56" s="580"/>
      <c r="BG56" s="580" t="str">
        <f>IF(BG$52&lt;=VLOOKUP(BG$55,'Calculation Basis'!$X$37:$AB$51,2,FALSE),"Reduce the line size",IF(BG$52&gt;=VLOOKUP(BG$55,'Calculation Basis'!$X$37:$AB$51,3,FALSE),"Increase the line size","Line Size is Okay"))</f>
        <v>Reduce the line size</v>
      </c>
      <c r="BH56" s="580"/>
      <c r="BI56" s="580"/>
      <c r="BJ56" s="580"/>
      <c r="BK56" s="580"/>
      <c r="BL56" s="580"/>
      <c r="BM56" s="580" t="str">
        <f>IF(BM$52&lt;=VLOOKUP(BM$55,'Calculation Basis'!$X$37:$AB$51,2,FALSE),"Reduce the line size",IF(BM$52&gt;=VLOOKUP(BM$55,'Calculation Basis'!$X$37:$AB$51,3,FALSE),"Increase the line size","Line Size is Okay"))</f>
        <v>Reduce the line size</v>
      </c>
      <c r="BN56" s="580"/>
      <c r="BO56" s="580"/>
      <c r="BP56" s="580"/>
      <c r="BQ56" s="580"/>
      <c r="BR56" s="580"/>
      <c r="BS56" s="580" t="str">
        <f>IF(BS$52&lt;=VLOOKUP(BS$55,'Calculation Basis'!$X$37:$AB$51,2,FALSE),"Reduce the line size",IF(BS$52&gt;=VLOOKUP(BS$55,'Calculation Basis'!$X$37:$AB$51,3,FALSE),"Increase the line size","Line Size is Okay"))</f>
        <v>Reduce the line size</v>
      </c>
      <c r="BT56" s="580"/>
      <c r="BU56" s="580"/>
      <c r="BV56" s="580"/>
      <c r="BW56" s="580"/>
      <c r="BX56" s="580"/>
      <c r="BY56" s="580" t="str">
        <f>IF(BY$52&lt;=VLOOKUP(BY$55,'Calculation Basis'!$X$37:$AB$51,2,FALSE),"Reduce the line size",IF(BY$52&gt;=VLOOKUP(BY$55,'Calculation Basis'!$X$37:$AB$51,3,FALSE),"Increase the line size","Line Size is Okay"))</f>
        <v>Line Size is Okay</v>
      </c>
      <c r="BZ56" s="580"/>
      <c r="CA56" s="580"/>
      <c r="CB56" s="580"/>
      <c r="CC56" s="580"/>
      <c r="CD56" s="580"/>
      <c r="CE56" s="580" t="str">
        <f>IF(CE$52&lt;=VLOOKUP(CE$55,'Calculation Basis'!$X$37:$AB$51,2,FALSE),"Reduce the line size",IF(CE$52&gt;=VLOOKUP(CE$55,'Calculation Basis'!$X$37:$AB$51,3,FALSE),"Increase the line size","Line Size is Okay"))</f>
        <v>Line Size is Okay</v>
      </c>
      <c r="CF56" s="580"/>
      <c r="CG56" s="580"/>
      <c r="CH56" s="580"/>
      <c r="CI56" s="580"/>
      <c r="CJ56" s="580"/>
      <c r="CK56" s="580" t="str">
        <f>IF(CK$52&lt;=VLOOKUP(CK$55,'Calculation Basis'!$X$37:$AB$51,2,FALSE),"Reduce the line size",IF(CK$52&gt;=VLOOKUP(CK$55,'Calculation Basis'!$X$37:$AB$51,3,FALSE),"Increase the line size","Line Size is Okay"))</f>
        <v>Line Size is Okay</v>
      </c>
      <c r="CL56" s="580"/>
      <c r="CM56" s="580"/>
      <c r="CN56" s="580"/>
      <c r="CO56" s="580"/>
      <c r="CP56" s="580"/>
      <c r="CQ56" s="580" t="str">
        <f>IF(CQ$52&lt;=VLOOKUP(CQ$55,'Calculation Basis'!$X$37:$AB$51,2,FALSE),"Reduce the line size",IF(CQ$52&gt;=VLOOKUP(CQ$55,'Calculation Basis'!$X$37:$AB$51,3,FALSE),"Increase the line size","Line Size is Okay"))</f>
        <v>Reduce the line size</v>
      </c>
      <c r="CR56" s="580"/>
      <c r="CS56" s="580"/>
      <c r="CT56" s="580"/>
      <c r="CU56" s="580"/>
      <c r="CV56" s="580"/>
      <c r="CW56" s="580" t="str">
        <f>IF(CW$52&lt;=VLOOKUP(CW$55,'Calculation Basis'!$X$37:$AB$51,2,FALSE),"Reduce the line size",IF(CW$52&gt;=VLOOKUP(CW$55,'Calculation Basis'!$X$37:$AB$51,3,FALSE),"Increase the line size","Line Size is Okay"))</f>
        <v>Reduce the line size</v>
      </c>
      <c r="CX56" s="580"/>
      <c r="CY56" s="580"/>
      <c r="CZ56" s="580"/>
      <c r="DA56" s="580"/>
      <c r="DB56" s="580"/>
    </row>
    <row r="57" spans="2:106" x14ac:dyDescent="0.35">
      <c r="B57" s="85"/>
      <c r="C57" s="11" t="s">
        <v>117</v>
      </c>
      <c r="E57" s="580" t="str">
        <f>IF(E54="Liquid",IF(E$52&lt;=VLOOKUP(E$55,'Calculation Basis'!$X$37:$AB$51,2,FALSE),"Reduce the line size",IF(E$52&gt;=VLOOKUP(E$55,'Calculation Basis'!$X$37:$AB$51,3,FALSE),"Increase the line size","Line Size is Okay")),"Refer Pressure Drop Criteria")</f>
        <v>Refer Pressure Drop Criteria</v>
      </c>
      <c r="F57" s="580"/>
      <c r="G57" s="580"/>
      <c r="H57" s="580"/>
      <c r="I57" s="580"/>
      <c r="J57" s="580"/>
      <c r="K57" s="580" t="str">
        <f>IF(K54="Liquid",IF(K$52&lt;=VLOOKUP(K$55,'Calculation Basis'!$X$37:$AB$51,2,FALSE),"Reduce the line size",IF(K$52&gt;=VLOOKUP(K$55,'Calculation Basis'!$X$37:$AB$51,3,FALSE),"Increase the line size","Line Size is Okay")),"Refer Pressure Drop Criteria")</f>
        <v>Refer Pressure Drop Criteria</v>
      </c>
      <c r="L57" s="580"/>
      <c r="M57" s="580"/>
      <c r="N57" s="580"/>
      <c r="O57" s="580"/>
      <c r="P57" s="580"/>
      <c r="Q57" s="580" t="str">
        <f>IF(Q54="Liquid",IF(Q$52&lt;=VLOOKUP(Q$55,'Calculation Basis'!$X$37:$AB$51,2,FALSE),"Reduce the line size",IF(Q$52&gt;=VLOOKUP(Q$55,'Calculation Basis'!$X$37:$AB$51,3,FALSE),"Increase the line size","Line Size is Okay")),"Refer Pressure Drop Criteria")</f>
        <v>Refer Pressure Drop Criteria</v>
      </c>
      <c r="R57" s="580"/>
      <c r="S57" s="580"/>
      <c r="T57" s="580"/>
      <c r="U57" s="580"/>
      <c r="V57" s="580"/>
      <c r="W57" s="580" t="str">
        <f>IF(W54="Liquid",IF(W$52&lt;=VLOOKUP(W$55,'Calculation Basis'!$X$37:$AB$51,2,FALSE),"Reduce the line size",IF(W$52&gt;=VLOOKUP(W$55,'Calculation Basis'!$X$37:$AB$51,3,FALSE),"Increase the line size","Line Size is Okay")),"Refer Pressure Drop Criteria")</f>
        <v>Refer Pressure Drop Criteria</v>
      </c>
      <c r="X57" s="580"/>
      <c r="Y57" s="580"/>
      <c r="Z57" s="580"/>
      <c r="AA57" s="580"/>
      <c r="AB57" s="580"/>
      <c r="AC57" s="580" t="str">
        <f>IF(AC54="Liquid",IF(AC$52&lt;=VLOOKUP(AC$55,'Calculation Basis'!$X$37:$AB$51,2,FALSE),"Reduce the line size",IF(AC$52&gt;=VLOOKUP(AC$55,'Calculation Basis'!$X$37:$AB$51,3,FALSE),"Increase the line size","Line Size is Okay")),"Refer Pressure Drop Criteria")</f>
        <v>Refer Pressure Drop Criteria</v>
      </c>
      <c r="AD57" s="580"/>
      <c r="AE57" s="580"/>
      <c r="AF57" s="580"/>
      <c r="AG57" s="580"/>
      <c r="AH57" s="580"/>
      <c r="AI57" s="580" t="str">
        <f>IF(AI54="Liquid",IF(AI$52&lt;=VLOOKUP(AI$55,'Calculation Basis'!$X$37:$AB$51,2,FALSE),"Reduce the line size",IF(AI$52&gt;=VLOOKUP(AI$55,'Calculation Basis'!$X$37:$AB$51,3,FALSE),"Increase the line size","Line Size is Okay")),"Refer Pressure Drop Criteria")</f>
        <v>Refer Pressure Drop Criteria</v>
      </c>
      <c r="AJ57" s="580"/>
      <c r="AK57" s="580"/>
      <c r="AL57" s="580"/>
      <c r="AM57" s="580"/>
      <c r="AN57" s="580"/>
      <c r="AO57" s="580" t="str">
        <f>IF(AO54="Liquid",IF(AO$52&lt;=VLOOKUP(AO$55,'Calculation Basis'!$X$37:$AB$51,2,FALSE),"Reduce the line size",IF(AO$52&gt;=VLOOKUP(AO$55,'Calculation Basis'!$X$37:$AB$51,3,FALSE),"Increase the line size","Line Size is Okay")),"Refer Pressure Drop Criteria")</f>
        <v>Refer Pressure Drop Criteria</v>
      </c>
      <c r="AP57" s="580"/>
      <c r="AQ57" s="580"/>
      <c r="AR57" s="580"/>
      <c r="AS57" s="580"/>
      <c r="AT57" s="580"/>
      <c r="AU57" s="580" t="str">
        <f>IF(AU54="Liquid",IF(AU$52&lt;=VLOOKUP(AU$55,'Calculation Basis'!$X$37:$AB$51,2,FALSE),"Reduce the line size",IF(AU$52&gt;=VLOOKUP(AU$55,'Calculation Basis'!$X$37:$AB$51,3,FALSE),"Increase the line size","Line Size is Okay")),"Refer Pressure Drop Criteria")</f>
        <v>Refer Pressure Drop Criteria</v>
      </c>
      <c r="AV57" s="580"/>
      <c r="AW57" s="580"/>
      <c r="AX57" s="580"/>
      <c r="AY57" s="580"/>
      <c r="AZ57" s="580"/>
      <c r="BA57" s="580" t="str">
        <f>IF(BA54="Liquid",IF(BA$52&lt;=VLOOKUP(BA$55,'Calculation Basis'!$X$37:$AB$51,2,FALSE),"Reduce the line size",IF(BA$52&gt;=VLOOKUP(BA$55,'Calculation Basis'!$X$37:$AB$51,3,FALSE),"Increase the line size","Line Size is Okay")),"Refer Pressure Drop Criteria")</f>
        <v>Refer Pressure Drop Criteria</v>
      </c>
      <c r="BB57" s="580"/>
      <c r="BC57" s="580"/>
      <c r="BD57" s="580"/>
      <c r="BE57" s="580"/>
      <c r="BF57" s="580"/>
      <c r="BG57" s="580" t="str">
        <f>IF(BG54="Liquid",IF(BG$52&lt;=VLOOKUP(BG$55,'Calculation Basis'!$X$37:$AB$51,2,FALSE),"Reduce the line size",IF(BG$52&gt;=VLOOKUP(BG$55,'Calculation Basis'!$X$37:$AB$51,3,FALSE),"Increase the line size","Line Size is Okay")),"Refer Pressure Drop Criteria")</f>
        <v>Refer Pressure Drop Criteria</v>
      </c>
      <c r="BH57" s="580"/>
      <c r="BI57" s="580"/>
      <c r="BJ57" s="580"/>
      <c r="BK57" s="580"/>
      <c r="BL57" s="580"/>
      <c r="BM57" s="580" t="str">
        <f>IF(BM54="Liquid",IF(BM$52&lt;=VLOOKUP(BM$55,'Calculation Basis'!$X$37:$AB$51,2,FALSE),"Reduce the line size",IF(BM$52&gt;=VLOOKUP(BM$55,'Calculation Basis'!$X$37:$AB$51,3,FALSE),"Increase the line size","Line Size is Okay")),"Refer Pressure Drop Criteria")</f>
        <v>Refer Pressure Drop Criteria</v>
      </c>
      <c r="BN57" s="580"/>
      <c r="BO57" s="580"/>
      <c r="BP57" s="580"/>
      <c r="BQ57" s="580"/>
      <c r="BR57" s="580"/>
      <c r="BS57" s="580" t="str">
        <f>IF(BS54="Liquid",IF(BS$52&lt;=VLOOKUP(BS$55,'Calculation Basis'!$X$37:$AB$51,2,FALSE),"Reduce the line size",IF(BS$52&gt;=VLOOKUP(BS$55,'Calculation Basis'!$X$37:$AB$51,3,FALSE),"Increase the line size","Line Size is Okay")),"Refer Pressure Drop Criteria")</f>
        <v>Refer Pressure Drop Criteria</v>
      </c>
      <c r="BT57" s="580"/>
      <c r="BU57" s="580"/>
      <c r="BV57" s="580"/>
      <c r="BW57" s="580"/>
      <c r="BX57" s="580"/>
      <c r="BY57" s="580" t="str">
        <f>IF(BY54="Liquid",IF(BY$52&lt;=VLOOKUP(BY$55,'Calculation Basis'!$X$37:$AB$51,2,FALSE),"Reduce the line size",IF(BY$52&gt;=VLOOKUP(BY$55,'Calculation Basis'!$X$37:$AB$51,3,FALSE),"Increase the line size","Line Size is Okay")),"Refer Pressure Drop Criteria")</f>
        <v>Refer Pressure Drop Criteria</v>
      </c>
      <c r="BZ57" s="580"/>
      <c r="CA57" s="580"/>
      <c r="CB57" s="580"/>
      <c r="CC57" s="580"/>
      <c r="CD57" s="580"/>
      <c r="CE57" s="580" t="str">
        <f>IF(CE54="Liquid",IF(CE$52&lt;=VLOOKUP(CE$55,'Calculation Basis'!$X$37:$AB$51,2,FALSE),"Reduce the line size",IF(CE$52&gt;=VLOOKUP(CE$55,'Calculation Basis'!$X$37:$AB$51,3,FALSE),"Increase the line size","Line Size is Okay")),"Refer Pressure Drop Criteria")</f>
        <v>Refer Pressure Drop Criteria</v>
      </c>
      <c r="CF57" s="580"/>
      <c r="CG57" s="580"/>
      <c r="CH57" s="580"/>
      <c r="CI57" s="580"/>
      <c r="CJ57" s="580"/>
      <c r="CK57" s="580" t="str">
        <f>IF(CK54="Liquid",IF(CK$52&lt;=VLOOKUP(CK$55,'Calculation Basis'!$X$37:$AB$51,2,FALSE),"Reduce the line size",IF(CK$52&gt;=VLOOKUP(CK$55,'Calculation Basis'!$X$37:$AB$51,3,FALSE),"Increase the line size","Line Size is Okay")),"Refer Pressure Drop Criteria")</f>
        <v>Refer Pressure Drop Criteria</v>
      </c>
      <c r="CL57" s="580"/>
      <c r="CM57" s="580"/>
      <c r="CN57" s="580"/>
      <c r="CO57" s="580"/>
      <c r="CP57" s="580"/>
      <c r="CQ57" s="580" t="str">
        <f>IF(CQ54="Liquid",IF(CQ$52&lt;=VLOOKUP(CQ$55,'Calculation Basis'!$X$37:$AB$51,2,FALSE),"Reduce the line size",IF(CQ$52&gt;=VLOOKUP(CQ$55,'Calculation Basis'!$X$37:$AB$51,3,FALSE),"Increase the line size","Line Size is Okay")),"Refer Pressure Drop Criteria")</f>
        <v>Refer Pressure Drop Criteria</v>
      </c>
      <c r="CR57" s="580"/>
      <c r="CS57" s="580"/>
      <c r="CT57" s="580"/>
      <c r="CU57" s="580"/>
      <c r="CV57" s="580"/>
      <c r="CW57" s="580" t="str">
        <f>IF(CW54="Liquid",IF(CW$52&lt;=VLOOKUP(CW$55,'Calculation Basis'!$X$37:$AB$51,2,FALSE),"Reduce the line size",IF(CW$52&gt;=VLOOKUP(CW$55,'Calculation Basis'!$X$37:$AB$51,3,FALSE),"Increase the line size","Line Size is Okay")),"Refer Pressure Drop Criteria")</f>
        <v>Refer Pressure Drop Criteria</v>
      </c>
      <c r="CX57" s="580"/>
      <c r="CY57" s="580"/>
      <c r="CZ57" s="580"/>
      <c r="DA57" s="580"/>
      <c r="DB57" s="580"/>
    </row>
    <row r="58" spans="2:106" x14ac:dyDescent="0.35">
      <c r="B58" s="85"/>
      <c r="G58" s="83"/>
      <c r="H58" s="79"/>
      <c r="I58" s="83"/>
      <c r="J58" s="83"/>
      <c r="M58" s="83"/>
      <c r="N58" s="79"/>
      <c r="O58" s="83"/>
      <c r="P58" s="83"/>
      <c r="S58" s="83"/>
      <c r="T58" s="79"/>
      <c r="U58" s="83"/>
      <c r="V58" s="83"/>
      <c r="Y58" s="83"/>
      <c r="Z58" s="79"/>
      <c r="AA58" s="83"/>
      <c r="AB58" s="83"/>
      <c r="AE58" s="83"/>
      <c r="AF58" s="79"/>
      <c r="AG58" s="83"/>
      <c r="AH58" s="83"/>
      <c r="AK58" s="83"/>
      <c r="AL58" s="79"/>
      <c r="AM58" s="83"/>
      <c r="AN58" s="83"/>
      <c r="AQ58" s="83"/>
      <c r="AR58" s="79"/>
      <c r="AS58" s="83"/>
      <c r="AT58" s="83"/>
      <c r="AW58" s="83"/>
      <c r="AX58" s="79"/>
      <c r="AY58" s="83"/>
      <c r="AZ58" s="83"/>
      <c r="BC58" s="83"/>
      <c r="BD58" s="79"/>
      <c r="BE58" s="83"/>
      <c r="BF58" s="83"/>
      <c r="BI58" s="83"/>
      <c r="BJ58" s="79"/>
      <c r="BK58" s="83"/>
      <c r="BL58" s="83"/>
      <c r="BO58" s="83"/>
      <c r="BP58" s="79"/>
      <c r="BQ58" s="83"/>
      <c r="BR58" s="83"/>
      <c r="BU58" s="83"/>
      <c r="BV58" s="79"/>
      <c r="BW58" s="83"/>
      <c r="BX58" s="83"/>
      <c r="CA58" s="83"/>
      <c r="CB58" s="79"/>
      <c r="CC58" s="83"/>
      <c r="CD58" s="83"/>
      <c r="CG58" s="83"/>
      <c r="CH58" s="79"/>
      <c r="CI58" s="83"/>
      <c r="CJ58" s="83"/>
      <c r="CM58" s="83"/>
      <c r="CN58" s="79"/>
      <c r="CO58" s="83"/>
      <c r="CP58" s="83"/>
      <c r="CS58" s="83"/>
      <c r="CT58" s="79"/>
      <c r="CU58" s="83"/>
      <c r="CV58" s="83"/>
      <c r="CY58" s="83"/>
      <c r="CZ58" s="79"/>
      <c r="DA58" s="83"/>
      <c r="DB58" s="83"/>
    </row>
    <row r="59" spans="2:106" x14ac:dyDescent="0.35">
      <c r="B59" s="85"/>
      <c r="G59" s="83"/>
      <c r="H59" s="79"/>
      <c r="I59" s="83"/>
      <c r="J59" s="83"/>
      <c r="M59" s="83"/>
      <c r="N59" s="79"/>
      <c r="O59" s="83"/>
      <c r="P59" s="83"/>
      <c r="S59" s="83"/>
      <c r="T59" s="79"/>
      <c r="U59" s="83"/>
      <c r="V59" s="83"/>
      <c r="Y59" s="83"/>
      <c r="Z59" s="79"/>
      <c r="AA59" s="83"/>
      <c r="AB59" s="83"/>
      <c r="AE59" s="83"/>
      <c r="AF59" s="79"/>
      <c r="AG59" s="83"/>
      <c r="AH59" s="83"/>
      <c r="AK59" s="83"/>
      <c r="AL59" s="79"/>
      <c r="AM59" s="83"/>
      <c r="AN59" s="83"/>
      <c r="AQ59" s="83"/>
      <c r="AR59" s="79"/>
      <c r="AS59" s="83"/>
      <c r="AT59" s="83"/>
      <c r="AW59" s="83"/>
      <c r="AX59" s="79"/>
      <c r="AY59" s="83"/>
      <c r="AZ59" s="83"/>
      <c r="BC59" s="83"/>
      <c r="BD59" s="79"/>
      <c r="BE59" s="83"/>
      <c r="BF59" s="83"/>
      <c r="BI59" s="83"/>
      <c r="BJ59" s="79"/>
      <c r="BK59" s="83"/>
      <c r="BL59" s="83"/>
      <c r="BO59" s="83"/>
      <c r="BP59" s="79"/>
      <c r="BQ59" s="83"/>
      <c r="BR59" s="83"/>
      <c r="BU59" s="83"/>
      <c r="BV59" s="79"/>
      <c r="BW59" s="83"/>
      <c r="BX59" s="83"/>
      <c r="CA59" s="83"/>
      <c r="CB59" s="79"/>
      <c r="CC59" s="83"/>
      <c r="CD59" s="83"/>
      <c r="CG59" s="83"/>
      <c r="CH59" s="79"/>
      <c r="CI59" s="83"/>
      <c r="CJ59" s="83"/>
      <c r="CM59" s="83"/>
      <c r="CN59" s="79"/>
      <c r="CO59" s="83"/>
      <c r="CP59" s="83"/>
      <c r="CS59" s="83"/>
      <c r="CT59" s="79"/>
      <c r="CU59" s="83"/>
      <c r="CV59" s="83"/>
      <c r="CY59" s="83"/>
      <c r="CZ59" s="79"/>
      <c r="DA59" s="83"/>
      <c r="DB59" s="83"/>
    </row>
    <row r="60" spans="2:106" x14ac:dyDescent="0.35">
      <c r="B60" s="85"/>
      <c r="G60" s="83"/>
      <c r="H60" s="79"/>
      <c r="I60" s="83"/>
      <c r="J60" s="83"/>
      <c r="M60" s="83"/>
      <c r="N60" s="79"/>
      <c r="O60" s="83"/>
      <c r="P60" s="83"/>
      <c r="S60" s="83"/>
      <c r="T60" s="79"/>
      <c r="U60" s="83"/>
      <c r="V60" s="83"/>
      <c r="Y60" s="83"/>
      <c r="Z60" s="79"/>
      <c r="AA60" s="83"/>
      <c r="AB60" s="83"/>
      <c r="AE60" s="83"/>
      <c r="AF60" s="79"/>
      <c r="AG60" s="83"/>
      <c r="AH60" s="83"/>
      <c r="AK60" s="83"/>
      <c r="AL60" s="79"/>
      <c r="AM60" s="83"/>
      <c r="AN60" s="83"/>
      <c r="AQ60" s="83"/>
      <c r="AR60" s="79"/>
      <c r="AS60" s="83"/>
      <c r="AT60" s="83"/>
      <c r="AW60" s="83"/>
      <c r="AX60" s="79"/>
      <c r="AY60" s="83"/>
      <c r="AZ60" s="83"/>
      <c r="BC60" s="83"/>
      <c r="BD60" s="79"/>
      <c r="BE60" s="83"/>
      <c r="BF60" s="83"/>
      <c r="BI60" s="83"/>
      <c r="BJ60" s="79"/>
      <c r="BK60" s="83"/>
      <c r="BL60" s="83"/>
      <c r="BO60" s="83"/>
      <c r="BP60" s="79"/>
      <c r="BQ60" s="83"/>
      <c r="BR60" s="83"/>
      <c r="BU60" s="83"/>
      <c r="BV60" s="79"/>
      <c r="BW60" s="83"/>
      <c r="BX60" s="83"/>
      <c r="CA60" s="83"/>
      <c r="CB60" s="79"/>
      <c r="CC60" s="83"/>
      <c r="CD60" s="83"/>
      <c r="CG60" s="83"/>
      <c r="CH60" s="79"/>
      <c r="CI60" s="83"/>
      <c r="CJ60" s="83"/>
      <c r="CM60" s="83"/>
      <c r="CN60" s="79"/>
      <c r="CO60" s="83"/>
      <c r="CP60" s="83"/>
      <c r="CS60" s="83"/>
      <c r="CT60" s="79"/>
      <c r="CU60" s="83"/>
      <c r="CV60" s="83"/>
      <c r="CY60" s="83"/>
      <c r="CZ60" s="79"/>
      <c r="DA60" s="83"/>
      <c r="DB60" s="83"/>
    </row>
    <row r="61" spans="2:106" x14ac:dyDescent="0.35">
      <c r="B61" s="85"/>
      <c r="S61" s="83"/>
      <c r="T61" s="79"/>
      <c r="U61" s="83"/>
      <c r="V61" s="83"/>
      <c r="Y61" s="83"/>
      <c r="Z61" s="79"/>
      <c r="AA61" s="83"/>
      <c r="AB61" s="83"/>
      <c r="AE61" s="83"/>
      <c r="AF61" s="79"/>
      <c r="AG61" s="83"/>
      <c r="AH61" s="83"/>
      <c r="AK61" s="83"/>
      <c r="AL61" s="79"/>
      <c r="AM61" s="83"/>
      <c r="AN61" s="83"/>
      <c r="AQ61" s="83"/>
      <c r="AR61" s="79"/>
      <c r="AS61" s="83"/>
      <c r="AT61" s="83"/>
      <c r="AW61" s="83"/>
      <c r="AX61" s="79"/>
      <c r="AY61" s="83"/>
      <c r="AZ61" s="83"/>
      <c r="BC61" s="83"/>
      <c r="BD61" s="79"/>
      <c r="BE61" s="83"/>
      <c r="BF61" s="83"/>
      <c r="BI61" s="83"/>
      <c r="BJ61" s="79"/>
      <c r="BK61" s="83"/>
      <c r="BL61" s="83"/>
      <c r="BO61" s="83"/>
      <c r="BP61" s="79"/>
      <c r="BQ61" s="83"/>
      <c r="BR61" s="83"/>
      <c r="BU61" s="83"/>
      <c r="BV61" s="79"/>
      <c r="BW61" s="83"/>
      <c r="BX61" s="83"/>
      <c r="CA61" s="83"/>
      <c r="CB61" s="79"/>
      <c r="CC61" s="83"/>
      <c r="CD61" s="83"/>
      <c r="CG61" s="83"/>
      <c r="CH61" s="79"/>
      <c r="CI61" s="83"/>
      <c r="CJ61" s="83"/>
      <c r="CM61" s="83"/>
      <c r="CN61" s="79"/>
      <c r="CO61" s="83"/>
      <c r="CP61" s="83"/>
      <c r="CS61" s="83"/>
      <c r="CT61" s="79"/>
      <c r="CU61" s="83"/>
      <c r="CV61" s="83"/>
      <c r="CY61" s="83"/>
      <c r="CZ61" s="79"/>
      <c r="DA61" s="83"/>
      <c r="DB61" s="83"/>
    </row>
    <row r="62" spans="2:106" x14ac:dyDescent="0.35">
      <c r="B62" s="85"/>
      <c r="S62" s="83"/>
      <c r="T62" s="79"/>
      <c r="U62" s="83"/>
      <c r="V62" s="83"/>
      <c r="Y62" s="83"/>
      <c r="Z62" s="79"/>
      <c r="AA62" s="83"/>
      <c r="AB62" s="83"/>
      <c r="AE62" s="83"/>
      <c r="AF62" s="79"/>
      <c r="AG62" s="83"/>
      <c r="AH62" s="83"/>
      <c r="AK62" s="83"/>
      <c r="AL62" s="79"/>
      <c r="AM62" s="83"/>
      <c r="AN62" s="83"/>
      <c r="AQ62" s="83"/>
      <c r="AR62" s="79"/>
      <c r="AS62" s="83"/>
      <c r="AT62" s="83"/>
      <c r="AW62" s="83"/>
      <c r="AX62" s="79"/>
      <c r="AY62" s="83"/>
      <c r="AZ62" s="83"/>
      <c r="BC62" s="83"/>
      <c r="BD62" s="79"/>
      <c r="BE62" s="83"/>
      <c r="BF62" s="83"/>
      <c r="BI62" s="83"/>
      <c r="BJ62" s="79"/>
      <c r="BK62" s="83"/>
      <c r="BL62" s="83"/>
      <c r="BO62" s="83"/>
      <c r="BP62" s="79"/>
      <c r="BQ62" s="83"/>
      <c r="BR62" s="83"/>
      <c r="BU62" s="83"/>
      <c r="BV62" s="79"/>
      <c r="BW62" s="83"/>
      <c r="BX62" s="83"/>
      <c r="CA62" s="83"/>
      <c r="CB62" s="79"/>
      <c r="CC62" s="83"/>
      <c r="CD62" s="83"/>
      <c r="CG62" s="83"/>
      <c r="CH62" s="79"/>
      <c r="CI62" s="83"/>
      <c r="CJ62" s="83"/>
      <c r="CM62" s="83"/>
      <c r="CN62" s="79"/>
      <c r="CO62" s="83"/>
      <c r="CP62" s="83"/>
      <c r="CS62" s="83"/>
      <c r="CT62" s="79"/>
      <c r="CU62" s="83"/>
      <c r="CV62" s="83"/>
      <c r="CY62" s="83"/>
      <c r="CZ62" s="79"/>
      <c r="DA62" s="83"/>
      <c r="DB62" s="83"/>
    </row>
    <row r="63" spans="2:106" x14ac:dyDescent="0.35">
      <c r="B63" s="85"/>
      <c r="S63" s="83"/>
      <c r="T63" s="79"/>
      <c r="U63" s="83"/>
      <c r="V63" s="83"/>
      <c r="Y63" s="83"/>
      <c r="Z63" s="79"/>
      <c r="AA63" s="83"/>
      <c r="AB63" s="83"/>
      <c r="AE63" s="83"/>
      <c r="AF63" s="79"/>
      <c r="AG63" s="83"/>
      <c r="AH63" s="83"/>
      <c r="AK63" s="83"/>
      <c r="AL63" s="79"/>
      <c r="AM63" s="83"/>
      <c r="AN63" s="83"/>
      <c r="AQ63" s="83"/>
      <c r="AR63" s="79"/>
      <c r="AS63" s="83"/>
      <c r="AT63" s="83"/>
      <c r="AW63" s="83"/>
      <c r="AX63" s="79"/>
      <c r="AY63" s="83"/>
      <c r="AZ63" s="83"/>
      <c r="BC63" s="83"/>
      <c r="BD63" s="79"/>
      <c r="BE63" s="83"/>
      <c r="BF63" s="83"/>
      <c r="BI63" s="83"/>
      <c r="BJ63" s="79"/>
      <c r="BK63" s="83"/>
      <c r="BL63" s="83"/>
      <c r="BO63" s="83"/>
      <c r="BP63" s="79"/>
      <c r="BQ63" s="83"/>
      <c r="BR63" s="83"/>
      <c r="BU63" s="83"/>
      <c r="BV63" s="79"/>
      <c r="BW63" s="83"/>
      <c r="BX63" s="83"/>
      <c r="CA63" s="83"/>
      <c r="CB63" s="79"/>
      <c r="CC63" s="83"/>
      <c r="CD63" s="83"/>
      <c r="CG63" s="83"/>
      <c r="CH63" s="79"/>
      <c r="CI63" s="83"/>
      <c r="CJ63" s="83"/>
      <c r="CM63" s="83"/>
      <c r="CN63" s="79"/>
      <c r="CO63" s="83"/>
      <c r="CP63" s="83"/>
      <c r="CS63" s="83"/>
      <c r="CT63" s="79"/>
      <c r="CU63" s="83"/>
      <c r="CV63" s="83"/>
      <c r="CY63" s="83"/>
      <c r="CZ63" s="79"/>
      <c r="DA63" s="83"/>
      <c r="DB63" s="83"/>
    </row>
    <row r="64" spans="2:106" x14ac:dyDescent="0.35">
      <c r="B64" s="85"/>
      <c r="S64" s="83"/>
      <c r="T64" s="79"/>
      <c r="U64" s="83"/>
      <c r="V64" s="83"/>
      <c r="Y64" s="83"/>
      <c r="Z64" s="79"/>
      <c r="AA64" s="83"/>
      <c r="AB64" s="83"/>
      <c r="AE64" s="83"/>
      <c r="AF64" s="79"/>
      <c r="AG64" s="83"/>
      <c r="AH64" s="83"/>
      <c r="AK64" s="83"/>
      <c r="AL64" s="79"/>
      <c r="AM64" s="83"/>
      <c r="AN64" s="83"/>
      <c r="AQ64" s="83"/>
      <c r="AR64" s="79"/>
      <c r="AS64" s="83"/>
      <c r="AT64" s="83"/>
      <c r="AW64" s="83"/>
      <c r="AX64" s="79"/>
      <c r="AY64" s="83"/>
      <c r="AZ64" s="83"/>
      <c r="BC64" s="83"/>
      <c r="BD64" s="79"/>
      <c r="BE64" s="83"/>
      <c r="BF64" s="83"/>
      <c r="BI64" s="83"/>
      <c r="BJ64" s="79"/>
      <c r="BK64" s="83"/>
      <c r="BL64" s="83"/>
      <c r="BO64" s="83"/>
      <c r="BP64" s="79"/>
      <c r="BQ64" s="83"/>
      <c r="BR64" s="83"/>
      <c r="BU64" s="83"/>
      <c r="BV64" s="79"/>
      <c r="BW64" s="83"/>
      <c r="BX64" s="83"/>
      <c r="CA64" s="83"/>
      <c r="CB64" s="79"/>
      <c r="CC64" s="83"/>
      <c r="CD64" s="83"/>
      <c r="CG64" s="83"/>
      <c r="CH64" s="79"/>
      <c r="CI64" s="83"/>
      <c r="CJ64" s="83"/>
      <c r="CM64" s="83"/>
      <c r="CN64" s="79"/>
      <c r="CO64" s="83"/>
      <c r="CP64" s="83"/>
      <c r="CS64" s="83"/>
      <c r="CT64" s="79"/>
      <c r="CU64" s="83"/>
      <c r="CV64" s="83"/>
      <c r="CY64" s="83"/>
      <c r="CZ64" s="79"/>
      <c r="DA64" s="83"/>
      <c r="DB64" s="83"/>
    </row>
    <row r="65" spans="2:106" x14ac:dyDescent="0.35">
      <c r="B65" s="85"/>
      <c r="S65" s="83"/>
      <c r="T65" s="79"/>
      <c r="U65" s="83"/>
      <c r="V65" s="83"/>
      <c r="Y65" s="83"/>
      <c r="Z65" s="79"/>
      <c r="AA65" s="83"/>
      <c r="AB65" s="83"/>
      <c r="AE65" s="83"/>
      <c r="AF65" s="79"/>
      <c r="AG65" s="83"/>
      <c r="AH65" s="83"/>
      <c r="AK65" s="83"/>
      <c r="AL65" s="79"/>
      <c r="AM65" s="83"/>
      <c r="AN65" s="83"/>
      <c r="AQ65" s="83"/>
      <c r="AR65" s="79"/>
      <c r="AS65" s="83"/>
      <c r="AT65" s="83"/>
      <c r="AW65" s="83"/>
      <c r="AX65" s="79"/>
      <c r="AY65" s="83"/>
      <c r="AZ65" s="83"/>
      <c r="BC65" s="83"/>
      <c r="BD65" s="79"/>
      <c r="BE65" s="83"/>
      <c r="BF65" s="83"/>
      <c r="BI65" s="83"/>
      <c r="BJ65" s="79"/>
      <c r="BK65" s="83"/>
      <c r="BL65" s="83"/>
      <c r="BO65" s="83"/>
      <c r="BP65" s="79"/>
      <c r="BQ65" s="83"/>
      <c r="BR65" s="83"/>
      <c r="BU65" s="83"/>
      <c r="BV65" s="79"/>
      <c r="BW65" s="83"/>
      <c r="BX65" s="83"/>
      <c r="CA65" s="83"/>
      <c r="CB65" s="79"/>
      <c r="CC65" s="83"/>
      <c r="CD65" s="83"/>
      <c r="CG65" s="83"/>
      <c r="CH65" s="79"/>
      <c r="CI65" s="83"/>
      <c r="CJ65" s="83"/>
      <c r="CM65" s="83"/>
      <c r="CN65" s="79"/>
      <c r="CO65" s="83"/>
      <c r="CP65" s="83"/>
      <c r="CS65" s="83"/>
      <c r="CT65" s="79"/>
      <c r="CU65" s="83"/>
      <c r="CV65" s="83"/>
      <c r="CY65" s="83"/>
      <c r="CZ65" s="79"/>
      <c r="DA65" s="83"/>
      <c r="DB65" s="83"/>
    </row>
    <row r="66" spans="2:106" x14ac:dyDescent="0.35">
      <c r="B66" s="85"/>
      <c r="S66" s="83"/>
      <c r="T66" s="79"/>
      <c r="U66" s="83"/>
      <c r="V66" s="83"/>
      <c r="Y66" s="83"/>
      <c r="Z66" s="79"/>
      <c r="AA66" s="83"/>
      <c r="AB66" s="83"/>
      <c r="AE66" s="83"/>
      <c r="AF66" s="79"/>
      <c r="AG66" s="83"/>
      <c r="AH66" s="83"/>
      <c r="AK66" s="83"/>
      <c r="AL66" s="79"/>
      <c r="AM66" s="83"/>
      <c r="AN66" s="83"/>
      <c r="AQ66" s="83"/>
      <c r="AR66" s="79"/>
      <c r="AS66" s="83"/>
      <c r="AT66" s="83"/>
      <c r="AW66" s="83"/>
      <c r="AX66" s="79"/>
      <c r="AY66" s="83"/>
      <c r="AZ66" s="83"/>
      <c r="BC66" s="83"/>
      <c r="BD66" s="79"/>
      <c r="BE66" s="83"/>
      <c r="BF66" s="83"/>
      <c r="BI66" s="83"/>
      <c r="BJ66" s="79"/>
      <c r="BK66" s="83"/>
      <c r="BL66" s="83"/>
      <c r="BO66" s="83"/>
      <c r="BP66" s="79"/>
      <c r="BQ66" s="83"/>
      <c r="BR66" s="83"/>
      <c r="BU66" s="83"/>
      <c r="BV66" s="79"/>
      <c r="BW66" s="83"/>
      <c r="BX66" s="83"/>
      <c r="CA66" s="83"/>
      <c r="CB66" s="79"/>
      <c r="CC66" s="83"/>
      <c r="CD66" s="83"/>
      <c r="CG66" s="83"/>
      <c r="CH66" s="79"/>
      <c r="CI66" s="83"/>
      <c r="CJ66" s="83"/>
      <c r="CM66" s="83"/>
      <c r="CN66" s="79"/>
      <c r="CO66" s="83"/>
      <c r="CP66" s="83"/>
      <c r="CS66" s="83"/>
      <c r="CT66" s="79"/>
      <c r="CU66" s="83"/>
      <c r="CV66" s="83"/>
      <c r="CY66" s="83"/>
      <c r="CZ66" s="79"/>
      <c r="DA66" s="83"/>
      <c r="DB66" s="83"/>
    </row>
    <row r="67" spans="2:106" x14ac:dyDescent="0.35">
      <c r="B67" s="85"/>
      <c r="S67" s="83"/>
      <c r="T67" s="79"/>
      <c r="U67" s="83"/>
      <c r="V67" s="83"/>
      <c r="Y67" s="83"/>
      <c r="Z67" s="79"/>
      <c r="AA67" s="83"/>
      <c r="AB67" s="83"/>
      <c r="AE67" s="83"/>
      <c r="AF67" s="79"/>
      <c r="AG67" s="83"/>
      <c r="AH67" s="83"/>
      <c r="AK67" s="83"/>
      <c r="AL67" s="79"/>
      <c r="AM67" s="83"/>
      <c r="AN67" s="83"/>
      <c r="AQ67" s="83"/>
      <c r="AR67" s="79"/>
      <c r="AS67" s="83"/>
      <c r="AT67" s="83"/>
      <c r="AW67" s="83"/>
      <c r="AX67" s="79"/>
      <c r="AY67" s="83"/>
      <c r="AZ67" s="83"/>
      <c r="BC67" s="83"/>
      <c r="BD67" s="79"/>
      <c r="BE67" s="83"/>
      <c r="BF67" s="83"/>
      <c r="BI67" s="83"/>
      <c r="BJ67" s="79"/>
      <c r="BK67" s="83"/>
      <c r="BL67" s="83"/>
      <c r="BO67" s="83"/>
      <c r="BP67" s="79"/>
      <c r="BQ67" s="83"/>
      <c r="BR67" s="83"/>
      <c r="BU67" s="83"/>
      <c r="BV67" s="79"/>
      <c r="BW67" s="83"/>
      <c r="BX67" s="83"/>
      <c r="CA67" s="83"/>
      <c r="CB67" s="79"/>
      <c r="CC67" s="83"/>
      <c r="CD67" s="83"/>
      <c r="CG67" s="83"/>
      <c r="CH67" s="79"/>
      <c r="CI67" s="83"/>
      <c r="CJ67" s="83"/>
      <c r="CM67" s="83"/>
      <c r="CN67" s="79"/>
      <c r="CO67" s="83"/>
      <c r="CP67" s="83"/>
      <c r="CS67" s="83"/>
      <c r="CT67" s="79"/>
      <c r="CU67" s="83"/>
      <c r="CV67" s="83"/>
      <c r="CY67" s="83"/>
      <c r="CZ67" s="79"/>
      <c r="DA67" s="83"/>
      <c r="DB67" s="83"/>
    </row>
    <row r="68" spans="2:106" x14ac:dyDescent="0.35">
      <c r="B68" s="85"/>
      <c r="S68" s="83"/>
      <c r="T68" s="79"/>
      <c r="U68" s="83"/>
      <c r="V68" s="83"/>
      <c r="Y68" s="83"/>
      <c r="Z68" s="79"/>
      <c r="AA68" s="83"/>
      <c r="AB68" s="83"/>
      <c r="AE68" s="83"/>
      <c r="AF68" s="79"/>
      <c r="AG68" s="83"/>
      <c r="AH68" s="83"/>
      <c r="AK68" s="83"/>
      <c r="AL68" s="79"/>
      <c r="AM68" s="83"/>
      <c r="AN68" s="83"/>
      <c r="AQ68" s="83"/>
      <c r="AR68" s="79"/>
      <c r="AS68" s="83"/>
      <c r="AT68" s="83"/>
      <c r="AW68" s="83"/>
      <c r="AX68" s="79"/>
      <c r="AY68" s="83"/>
      <c r="AZ68" s="83"/>
      <c r="BC68" s="83"/>
      <c r="BD68" s="79"/>
      <c r="BE68" s="83"/>
      <c r="BF68" s="83"/>
      <c r="BI68" s="83"/>
      <c r="BJ68" s="79"/>
      <c r="BK68" s="83"/>
      <c r="BL68" s="83"/>
      <c r="BO68" s="83"/>
      <c r="BP68" s="79"/>
      <c r="BQ68" s="83"/>
      <c r="BR68" s="83"/>
      <c r="BU68" s="83"/>
      <c r="BV68" s="79"/>
      <c r="BW68" s="83"/>
      <c r="BX68" s="83"/>
      <c r="CA68" s="83"/>
      <c r="CB68" s="79"/>
      <c r="CC68" s="83"/>
      <c r="CD68" s="83"/>
      <c r="CG68" s="83"/>
      <c r="CH68" s="79"/>
      <c r="CI68" s="83"/>
      <c r="CJ68" s="83"/>
      <c r="CM68" s="83"/>
      <c r="CN68" s="79"/>
      <c r="CO68" s="83"/>
      <c r="CP68" s="83"/>
      <c r="CS68" s="83"/>
      <c r="CT68" s="79"/>
      <c r="CU68" s="83"/>
      <c r="CV68" s="83"/>
      <c r="CY68" s="83"/>
      <c r="CZ68" s="79"/>
      <c r="DA68" s="83"/>
      <c r="DB68" s="83"/>
    </row>
    <row r="69" spans="2:106" x14ac:dyDescent="0.35">
      <c r="B69" s="85"/>
      <c r="S69" s="83"/>
      <c r="T69" s="79"/>
      <c r="U69" s="83"/>
      <c r="V69" s="83"/>
      <c r="Y69" s="83"/>
      <c r="Z69" s="79"/>
      <c r="AA69" s="83"/>
      <c r="AB69" s="83"/>
      <c r="AE69" s="83"/>
      <c r="AF69" s="79"/>
      <c r="AG69" s="83"/>
      <c r="AH69" s="83"/>
      <c r="AK69" s="83"/>
      <c r="AL69" s="79"/>
      <c r="AM69" s="83"/>
      <c r="AN69" s="83"/>
      <c r="AQ69" s="83"/>
      <c r="AR69" s="79"/>
      <c r="AS69" s="83"/>
      <c r="AT69" s="83"/>
      <c r="AW69" s="83"/>
      <c r="AX69" s="79"/>
      <c r="AY69" s="83"/>
      <c r="AZ69" s="83"/>
      <c r="BC69" s="83"/>
      <c r="BD69" s="79"/>
      <c r="BE69" s="83"/>
      <c r="BF69" s="83"/>
      <c r="BI69" s="83"/>
      <c r="BJ69" s="79"/>
      <c r="BK69" s="83"/>
      <c r="BL69" s="83"/>
      <c r="BO69" s="83"/>
      <c r="BP69" s="79"/>
      <c r="BQ69" s="83"/>
      <c r="BR69" s="83"/>
      <c r="BU69" s="83"/>
      <c r="BV69" s="79"/>
      <c r="BW69" s="83"/>
      <c r="BX69" s="83"/>
      <c r="CA69" s="83"/>
      <c r="CB69" s="79"/>
      <c r="CC69" s="83"/>
      <c r="CD69" s="83"/>
      <c r="CG69" s="83"/>
      <c r="CH69" s="79"/>
      <c r="CI69" s="83"/>
      <c r="CJ69" s="83"/>
      <c r="CM69" s="83"/>
      <c r="CN69" s="79"/>
      <c r="CO69" s="83"/>
      <c r="CP69" s="83"/>
      <c r="CS69" s="83"/>
      <c r="CT69" s="79"/>
      <c r="CU69" s="83"/>
      <c r="CV69" s="83"/>
      <c r="CY69" s="83"/>
      <c r="CZ69" s="79"/>
      <c r="DA69" s="83"/>
      <c r="DB69" s="83"/>
    </row>
    <row r="70" spans="2:106" x14ac:dyDescent="0.35">
      <c r="B70" s="85"/>
      <c r="S70" s="83"/>
      <c r="T70" s="79"/>
      <c r="U70" s="83"/>
      <c r="V70" s="83"/>
      <c r="Y70" s="83"/>
      <c r="Z70" s="79"/>
      <c r="AA70" s="83"/>
      <c r="AB70" s="83"/>
      <c r="AE70" s="83"/>
      <c r="AF70" s="79"/>
      <c r="AG70" s="83"/>
      <c r="AH70" s="83"/>
      <c r="AK70" s="83"/>
      <c r="AL70" s="79"/>
      <c r="AM70" s="83"/>
      <c r="AN70" s="83"/>
      <c r="AQ70" s="83"/>
      <c r="AR70" s="79"/>
      <c r="AS70" s="83"/>
      <c r="AT70" s="83"/>
      <c r="AW70" s="83"/>
      <c r="AX70" s="79"/>
      <c r="AY70" s="83"/>
      <c r="AZ70" s="83"/>
      <c r="BC70" s="83"/>
      <c r="BD70" s="79"/>
      <c r="BE70" s="83"/>
      <c r="BF70" s="83"/>
      <c r="BI70" s="83"/>
      <c r="BJ70" s="79"/>
      <c r="BK70" s="83"/>
      <c r="BL70" s="83"/>
      <c r="BO70" s="83"/>
      <c r="BP70" s="79"/>
      <c r="BQ70" s="83"/>
      <c r="BR70" s="83"/>
      <c r="BU70" s="83"/>
      <c r="BV70" s="79"/>
      <c r="BW70" s="83"/>
      <c r="BX70" s="83"/>
      <c r="CA70" s="83"/>
      <c r="CB70" s="79"/>
      <c r="CC70" s="83"/>
      <c r="CD70" s="83"/>
      <c r="CG70" s="83"/>
      <c r="CH70" s="79"/>
      <c r="CI70" s="83"/>
      <c r="CJ70" s="83"/>
      <c r="CM70" s="83"/>
      <c r="CN70" s="79"/>
      <c r="CO70" s="83"/>
      <c r="CP70" s="83"/>
      <c r="CS70" s="83"/>
      <c r="CT70" s="79"/>
      <c r="CU70" s="83"/>
      <c r="CV70" s="83"/>
      <c r="CY70" s="83"/>
      <c r="CZ70" s="79"/>
      <c r="DA70" s="83"/>
      <c r="DB70" s="83"/>
    </row>
    <row r="71" spans="2:106" x14ac:dyDescent="0.35">
      <c r="B71" s="85"/>
      <c r="S71" s="83"/>
      <c r="T71" s="79"/>
      <c r="U71" s="83"/>
      <c r="V71" s="83"/>
      <c r="Y71" s="83"/>
      <c r="Z71" s="79"/>
      <c r="AA71" s="83"/>
      <c r="AB71" s="83"/>
      <c r="AE71" s="83"/>
      <c r="AF71" s="79"/>
      <c r="AG71" s="83"/>
      <c r="AH71" s="83"/>
      <c r="AK71" s="83"/>
      <c r="AL71" s="79"/>
      <c r="AM71" s="83"/>
      <c r="AN71" s="83"/>
      <c r="AQ71" s="83"/>
      <c r="AR71" s="79"/>
      <c r="AS71" s="83"/>
      <c r="AT71" s="83"/>
      <c r="AW71" s="83"/>
      <c r="AX71" s="79"/>
      <c r="AY71" s="83"/>
      <c r="AZ71" s="83"/>
      <c r="BC71" s="83"/>
      <c r="BD71" s="79"/>
      <c r="BE71" s="83"/>
      <c r="BF71" s="83"/>
      <c r="BI71" s="83"/>
      <c r="BJ71" s="79"/>
      <c r="BK71" s="83"/>
      <c r="BL71" s="83"/>
      <c r="BO71" s="83"/>
      <c r="BP71" s="79"/>
      <c r="BQ71" s="83"/>
      <c r="BR71" s="83"/>
      <c r="BU71" s="83"/>
      <c r="BV71" s="79"/>
      <c r="BW71" s="83"/>
      <c r="BX71" s="83"/>
      <c r="CA71" s="83"/>
      <c r="CB71" s="79"/>
      <c r="CC71" s="83"/>
      <c r="CD71" s="83"/>
      <c r="CG71" s="83"/>
      <c r="CH71" s="79"/>
      <c r="CI71" s="83"/>
      <c r="CJ71" s="83"/>
      <c r="CM71" s="83"/>
      <c r="CN71" s="79"/>
      <c r="CO71" s="83"/>
      <c r="CP71" s="83"/>
      <c r="CS71" s="83"/>
      <c r="CT71" s="79"/>
      <c r="CU71" s="83"/>
      <c r="CV71" s="83"/>
      <c r="CY71" s="83"/>
      <c r="CZ71" s="79"/>
      <c r="DA71" s="83"/>
      <c r="DB71" s="83"/>
    </row>
    <row r="72" spans="2:106" x14ac:dyDescent="0.35">
      <c r="B72" s="85"/>
      <c r="S72" s="83"/>
      <c r="T72" s="79"/>
      <c r="U72" s="83"/>
      <c r="V72" s="83"/>
      <c r="Y72" s="83"/>
      <c r="Z72" s="79"/>
      <c r="AA72" s="83"/>
      <c r="AB72" s="83"/>
      <c r="AE72" s="83"/>
      <c r="AF72" s="79"/>
      <c r="AG72" s="83"/>
      <c r="AH72" s="83"/>
      <c r="AK72" s="83"/>
      <c r="AL72" s="79"/>
      <c r="AM72" s="83"/>
      <c r="AN72" s="83"/>
      <c r="AQ72" s="83"/>
      <c r="AR72" s="79"/>
      <c r="AS72" s="83"/>
      <c r="AT72" s="83"/>
      <c r="AW72" s="83"/>
      <c r="AX72" s="79"/>
      <c r="AY72" s="83"/>
      <c r="AZ72" s="83"/>
      <c r="BC72" s="83"/>
      <c r="BD72" s="79"/>
      <c r="BE72" s="83"/>
      <c r="BF72" s="83"/>
      <c r="BI72" s="83"/>
      <c r="BJ72" s="79"/>
      <c r="BK72" s="83"/>
      <c r="BL72" s="83"/>
      <c r="BO72" s="83"/>
      <c r="BP72" s="79"/>
      <c r="BQ72" s="83"/>
      <c r="BR72" s="83"/>
      <c r="BU72" s="83"/>
      <c r="BV72" s="79"/>
      <c r="BW72" s="83"/>
      <c r="BX72" s="83"/>
      <c r="CA72" s="83"/>
      <c r="CB72" s="79"/>
      <c r="CC72" s="83"/>
      <c r="CD72" s="83"/>
      <c r="CG72" s="83"/>
      <c r="CH72" s="79"/>
      <c r="CI72" s="83"/>
      <c r="CJ72" s="83"/>
      <c r="CM72" s="83"/>
      <c r="CN72" s="79"/>
      <c r="CO72" s="83"/>
      <c r="CP72" s="83"/>
      <c r="CS72" s="83"/>
      <c r="CT72" s="79"/>
      <c r="CU72" s="83"/>
      <c r="CV72" s="83"/>
      <c r="CY72" s="83"/>
      <c r="CZ72" s="79"/>
      <c r="DA72" s="83"/>
      <c r="DB72" s="83"/>
    </row>
    <row r="73" spans="2:106" x14ac:dyDescent="0.35">
      <c r="B73" s="85"/>
      <c r="S73" s="83"/>
      <c r="T73" s="79"/>
      <c r="U73" s="83"/>
      <c r="V73" s="83"/>
      <c r="Y73" s="83"/>
      <c r="Z73" s="79"/>
      <c r="AA73" s="83"/>
      <c r="AB73" s="83"/>
      <c r="AE73" s="83"/>
      <c r="AF73" s="79"/>
      <c r="AG73" s="83"/>
      <c r="AH73" s="83"/>
      <c r="AK73" s="83"/>
      <c r="AL73" s="79"/>
      <c r="AM73" s="83"/>
      <c r="AN73" s="83"/>
      <c r="AQ73" s="83"/>
      <c r="AR73" s="79"/>
      <c r="AS73" s="83"/>
      <c r="AT73" s="83"/>
      <c r="AW73" s="83"/>
      <c r="AX73" s="79"/>
      <c r="AY73" s="83"/>
      <c r="AZ73" s="83"/>
      <c r="BC73" s="83"/>
      <c r="BD73" s="79"/>
      <c r="BE73" s="83"/>
      <c r="BF73" s="83"/>
      <c r="BI73" s="83"/>
      <c r="BJ73" s="79"/>
      <c r="BK73" s="83"/>
      <c r="BL73" s="83"/>
      <c r="BO73" s="83"/>
      <c r="BP73" s="79"/>
      <c r="BQ73" s="83"/>
      <c r="BR73" s="83"/>
      <c r="BU73" s="83"/>
      <c r="BV73" s="79"/>
      <c r="BW73" s="83"/>
      <c r="BX73" s="83"/>
      <c r="CA73" s="83"/>
      <c r="CB73" s="79"/>
      <c r="CC73" s="83"/>
      <c r="CD73" s="83"/>
      <c r="CG73" s="83"/>
      <c r="CH73" s="79"/>
      <c r="CI73" s="83"/>
      <c r="CJ73" s="83"/>
      <c r="CM73" s="83"/>
      <c r="CN73" s="79"/>
      <c r="CO73" s="83"/>
      <c r="CP73" s="83"/>
      <c r="CS73" s="83"/>
      <c r="CT73" s="79"/>
      <c r="CU73" s="83"/>
      <c r="CV73" s="83"/>
      <c r="CY73" s="83"/>
      <c r="CZ73" s="79"/>
      <c r="DA73" s="83"/>
      <c r="DB73" s="83"/>
    </row>
    <row r="74" spans="2:106" x14ac:dyDescent="0.35">
      <c r="B74" s="85"/>
      <c r="S74" s="83"/>
      <c r="T74" s="79"/>
      <c r="U74" s="83"/>
      <c r="V74" s="83"/>
      <c r="Y74" s="83"/>
      <c r="Z74" s="79"/>
      <c r="AA74" s="83"/>
      <c r="AB74" s="83"/>
      <c r="AE74" s="83"/>
      <c r="AF74" s="79"/>
      <c r="AG74" s="83"/>
      <c r="AH74" s="83"/>
      <c r="AK74" s="83"/>
      <c r="AL74" s="79"/>
      <c r="AM74" s="83"/>
      <c r="AN74" s="83"/>
      <c r="AQ74" s="83"/>
      <c r="AR74" s="79"/>
      <c r="AS74" s="83"/>
      <c r="AT74" s="83"/>
      <c r="AW74" s="83"/>
      <c r="AX74" s="79"/>
      <c r="AY74" s="83"/>
      <c r="AZ74" s="83"/>
      <c r="BC74" s="83"/>
      <c r="BD74" s="79"/>
      <c r="BE74" s="83"/>
      <c r="BF74" s="83"/>
      <c r="BI74" s="83"/>
      <c r="BJ74" s="79"/>
      <c r="BK74" s="83"/>
      <c r="BL74" s="83"/>
      <c r="BO74" s="83"/>
      <c r="BP74" s="79"/>
      <c r="BQ74" s="83"/>
      <c r="BR74" s="83"/>
      <c r="BU74" s="83"/>
      <c r="BV74" s="79"/>
      <c r="BW74" s="83"/>
      <c r="BX74" s="83"/>
      <c r="CA74" s="83"/>
      <c r="CB74" s="79"/>
      <c r="CC74" s="83"/>
      <c r="CD74" s="83"/>
      <c r="CG74" s="83"/>
      <c r="CH74" s="79"/>
      <c r="CI74" s="83"/>
      <c r="CJ74" s="83"/>
      <c r="CM74" s="83"/>
      <c r="CN74" s="79"/>
      <c r="CO74" s="83"/>
      <c r="CP74" s="83"/>
      <c r="CS74" s="83"/>
      <c r="CT74" s="79"/>
      <c r="CU74" s="83"/>
      <c r="CV74" s="83"/>
      <c r="CY74" s="83"/>
      <c r="CZ74" s="79"/>
      <c r="DA74" s="83"/>
      <c r="DB74" s="83"/>
    </row>
    <row r="75" spans="2:106" x14ac:dyDescent="0.35">
      <c r="B75" s="85"/>
      <c r="S75" s="83"/>
      <c r="T75" s="79"/>
      <c r="U75" s="83"/>
      <c r="V75" s="83"/>
      <c r="Y75" s="83"/>
      <c r="Z75" s="79"/>
      <c r="AA75" s="83"/>
      <c r="AB75" s="83"/>
      <c r="AE75" s="83"/>
      <c r="AF75" s="79"/>
      <c r="AG75" s="83"/>
      <c r="AH75" s="83"/>
      <c r="AK75" s="83"/>
      <c r="AL75" s="79"/>
      <c r="AM75" s="83"/>
      <c r="AN75" s="83"/>
      <c r="AQ75" s="83"/>
      <c r="AR75" s="79"/>
      <c r="AS75" s="83"/>
      <c r="AT75" s="83"/>
      <c r="AW75" s="83"/>
      <c r="AX75" s="79"/>
      <c r="AY75" s="83"/>
      <c r="AZ75" s="83"/>
      <c r="BC75" s="83"/>
      <c r="BD75" s="79"/>
      <c r="BE75" s="83"/>
      <c r="BF75" s="83"/>
      <c r="BI75" s="83"/>
      <c r="BJ75" s="79"/>
      <c r="BK75" s="83"/>
      <c r="BL75" s="83"/>
      <c r="BO75" s="83"/>
      <c r="BP75" s="79"/>
      <c r="BQ75" s="83"/>
      <c r="BR75" s="83"/>
      <c r="BU75" s="83"/>
      <c r="BV75" s="79"/>
      <c r="BW75" s="83"/>
      <c r="BX75" s="83"/>
      <c r="CA75" s="83"/>
      <c r="CB75" s="79"/>
      <c r="CC75" s="83"/>
      <c r="CD75" s="83"/>
      <c r="CG75" s="83"/>
      <c r="CH75" s="79"/>
      <c r="CI75" s="83"/>
      <c r="CJ75" s="83"/>
      <c r="CM75" s="83"/>
      <c r="CN75" s="79"/>
      <c r="CO75" s="83"/>
      <c r="CP75" s="83"/>
      <c r="CS75" s="83"/>
      <c r="CT75" s="79"/>
      <c r="CU75" s="83"/>
      <c r="CV75" s="83"/>
      <c r="CY75" s="83"/>
      <c r="CZ75" s="79"/>
      <c r="DA75" s="83"/>
      <c r="DB75" s="83"/>
    </row>
    <row r="76" spans="2:106" x14ac:dyDescent="0.35">
      <c r="B76" s="85"/>
      <c r="S76" s="83"/>
      <c r="T76" s="79"/>
      <c r="U76" s="83"/>
      <c r="V76" s="83"/>
      <c r="Y76" s="83"/>
      <c r="Z76" s="79"/>
      <c r="AA76" s="83"/>
      <c r="AB76" s="83"/>
      <c r="AE76" s="83"/>
      <c r="AF76" s="79"/>
      <c r="AG76" s="83"/>
      <c r="AH76" s="83"/>
      <c r="AK76" s="83"/>
      <c r="AL76" s="79"/>
      <c r="AM76" s="83"/>
      <c r="AN76" s="83"/>
      <c r="AQ76" s="83"/>
      <c r="AR76" s="79"/>
      <c r="AS76" s="83"/>
      <c r="AT76" s="83"/>
      <c r="AW76" s="83"/>
      <c r="AX76" s="79"/>
      <c r="AY76" s="83"/>
      <c r="AZ76" s="83"/>
      <c r="BC76" s="83"/>
      <c r="BD76" s="79"/>
      <c r="BE76" s="83"/>
      <c r="BF76" s="83"/>
      <c r="BI76" s="83"/>
      <c r="BJ76" s="79"/>
      <c r="BK76" s="83"/>
      <c r="BL76" s="83"/>
      <c r="BO76" s="83"/>
      <c r="BP76" s="79"/>
      <c r="BQ76" s="83"/>
      <c r="BR76" s="83"/>
      <c r="BU76" s="83"/>
      <c r="BV76" s="79"/>
      <c r="BW76" s="83"/>
      <c r="BX76" s="83"/>
      <c r="CA76" s="83"/>
      <c r="CB76" s="79"/>
      <c r="CC76" s="83"/>
      <c r="CD76" s="83"/>
      <c r="CG76" s="83"/>
      <c r="CH76" s="79"/>
      <c r="CI76" s="83"/>
      <c r="CJ76" s="83"/>
      <c r="CM76" s="83"/>
      <c r="CN76" s="79"/>
      <c r="CO76" s="83"/>
      <c r="CP76" s="83"/>
      <c r="CS76" s="83"/>
      <c r="CT76" s="79"/>
      <c r="CU76" s="83"/>
      <c r="CV76" s="83"/>
      <c r="CY76" s="83"/>
      <c r="CZ76" s="79"/>
      <c r="DA76" s="83"/>
      <c r="DB76" s="83"/>
    </row>
    <row r="77" spans="2:106" x14ac:dyDescent="0.35">
      <c r="B77" s="85"/>
      <c r="S77" s="83"/>
      <c r="T77" s="79"/>
      <c r="U77" s="83"/>
      <c r="V77" s="83"/>
      <c r="Y77" s="83"/>
      <c r="Z77" s="79"/>
      <c r="AA77" s="83"/>
      <c r="AB77" s="83"/>
      <c r="AE77" s="83"/>
      <c r="AF77" s="79"/>
      <c r="AG77" s="83"/>
      <c r="AH77" s="83"/>
      <c r="AK77" s="83"/>
      <c r="AL77" s="79"/>
      <c r="AM77" s="83"/>
      <c r="AN77" s="83"/>
      <c r="AQ77" s="83"/>
      <c r="AR77" s="79"/>
      <c r="AS77" s="83"/>
      <c r="AT77" s="83"/>
      <c r="AW77" s="83"/>
      <c r="AX77" s="79"/>
      <c r="AY77" s="83"/>
      <c r="AZ77" s="83"/>
      <c r="BC77" s="83"/>
      <c r="BD77" s="79"/>
      <c r="BE77" s="83"/>
      <c r="BF77" s="83"/>
      <c r="BI77" s="83"/>
      <c r="BJ77" s="79"/>
      <c r="BK77" s="83"/>
      <c r="BL77" s="83"/>
      <c r="BO77" s="83"/>
      <c r="BP77" s="79"/>
      <c r="BQ77" s="83"/>
      <c r="BR77" s="83"/>
      <c r="BU77" s="83"/>
      <c r="BV77" s="79"/>
      <c r="BW77" s="83"/>
      <c r="BX77" s="83"/>
      <c r="CA77" s="83"/>
      <c r="CB77" s="79"/>
      <c r="CC77" s="83"/>
      <c r="CD77" s="83"/>
      <c r="CG77" s="83"/>
      <c r="CH77" s="79"/>
      <c r="CI77" s="83"/>
      <c r="CJ77" s="83"/>
      <c r="CM77" s="83"/>
      <c r="CN77" s="79"/>
      <c r="CO77" s="83"/>
      <c r="CP77" s="83"/>
      <c r="CS77" s="83"/>
      <c r="CT77" s="79"/>
      <c r="CU77" s="83"/>
      <c r="CV77" s="83"/>
      <c r="CY77" s="83"/>
      <c r="CZ77" s="79"/>
      <c r="DA77" s="83"/>
      <c r="DB77" s="83"/>
    </row>
    <row r="78" spans="2:106" x14ac:dyDescent="0.35">
      <c r="B78" s="85"/>
      <c r="S78" s="83"/>
      <c r="T78" s="79"/>
      <c r="U78" s="83"/>
      <c r="V78" s="83"/>
      <c r="Y78" s="83"/>
      <c r="Z78" s="79"/>
      <c r="AA78" s="83"/>
      <c r="AB78" s="83"/>
      <c r="AE78" s="83"/>
      <c r="AF78" s="79"/>
      <c r="AG78" s="83"/>
      <c r="AH78" s="83"/>
      <c r="AK78" s="83"/>
      <c r="AL78" s="79"/>
      <c r="AM78" s="83"/>
      <c r="AN78" s="83"/>
      <c r="AQ78" s="83"/>
      <c r="AR78" s="79"/>
      <c r="AS78" s="83"/>
      <c r="AT78" s="83"/>
      <c r="AW78" s="83"/>
      <c r="AX78" s="79"/>
      <c r="AY78" s="83"/>
      <c r="AZ78" s="83"/>
      <c r="BC78" s="83"/>
      <c r="BD78" s="79"/>
      <c r="BE78" s="83"/>
      <c r="BF78" s="83"/>
      <c r="BI78" s="83"/>
      <c r="BJ78" s="79"/>
      <c r="BK78" s="83"/>
      <c r="BL78" s="83"/>
      <c r="BO78" s="83"/>
      <c r="BP78" s="79"/>
      <c r="BQ78" s="83"/>
      <c r="BR78" s="83"/>
      <c r="BU78" s="83"/>
      <c r="BV78" s="79"/>
      <c r="BW78" s="83"/>
      <c r="BX78" s="83"/>
      <c r="CA78" s="83"/>
      <c r="CB78" s="79"/>
      <c r="CC78" s="83"/>
      <c r="CD78" s="83"/>
      <c r="CG78" s="83"/>
      <c r="CH78" s="79"/>
      <c r="CI78" s="83"/>
      <c r="CJ78" s="83"/>
      <c r="CM78" s="83"/>
      <c r="CN78" s="79"/>
      <c r="CO78" s="83"/>
      <c r="CP78" s="83"/>
      <c r="CS78" s="83"/>
      <c r="CT78" s="79"/>
      <c r="CU78" s="83"/>
      <c r="CV78" s="83"/>
      <c r="CY78" s="83"/>
      <c r="CZ78" s="79"/>
      <c r="DA78" s="83"/>
      <c r="DB78" s="83"/>
    </row>
    <row r="79" spans="2:106" x14ac:dyDescent="0.35">
      <c r="B79" s="85"/>
      <c r="S79" s="83"/>
      <c r="T79" s="79"/>
      <c r="U79" s="83"/>
      <c r="V79" s="83"/>
      <c r="Y79" s="83"/>
      <c r="Z79" s="79"/>
      <c r="AA79" s="83"/>
      <c r="AB79" s="83"/>
      <c r="AE79" s="83"/>
      <c r="AF79" s="79"/>
      <c r="AG79" s="83"/>
      <c r="AH79" s="83"/>
      <c r="AK79" s="83"/>
      <c r="AL79" s="79"/>
      <c r="AM79" s="83"/>
      <c r="AN79" s="83"/>
      <c r="AQ79" s="83"/>
      <c r="AR79" s="79"/>
      <c r="AS79" s="83"/>
      <c r="AT79" s="83"/>
      <c r="AW79" s="83"/>
      <c r="AX79" s="79"/>
      <c r="AY79" s="83"/>
      <c r="AZ79" s="83"/>
      <c r="BC79" s="83"/>
      <c r="BD79" s="79"/>
      <c r="BE79" s="83"/>
      <c r="BF79" s="83"/>
      <c r="BI79" s="83"/>
      <c r="BJ79" s="79"/>
      <c r="BK79" s="83"/>
      <c r="BL79" s="83"/>
      <c r="BO79" s="83"/>
      <c r="BP79" s="79"/>
      <c r="BQ79" s="83"/>
      <c r="BR79" s="83"/>
      <c r="BU79" s="83"/>
      <c r="BV79" s="79"/>
      <c r="BW79" s="83"/>
      <c r="BX79" s="83"/>
      <c r="CA79" s="83"/>
      <c r="CB79" s="79"/>
      <c r="CC79" s="83"/>
      <c r="CD79" s="83"/>
      <c r="CG79" s="83"/>
      <c r="CH79" s="79"/>
      <c r="CI79" s="83"/>
      <c r="CJ79" s="83"/>
      <c r="CM79" s="83"/>
      <c r="CN79" s="79"/>
      <c r="CO79" s="83"/>
      <c r="CP79" s="83"/>
      <c r="CS79" s="83"/>
      <c r="CT79" s="79"/>
      <c r="CU79" s="83"/>
      <c r="CV79" s="83"/>
      <c r="CY79" s="83"/>
      <c r="CZ79" s="79"/>
      <c r="DA79" s="83"/>
      <c r="DB79" s="83"/>
    </row>
    <row r="80" spans="2:106" x14ac:dyDescent="0.35">
      <c r="B80" s="85"/>
      <c r="S80" s="83"/>
      <c r="T80" s="79"/>
      <c r="U80" s="83"/>
      <c r="V80" s="83"/>
      <c r="Y80" s="83"/>
      <c r="Z80" s="79"/>
      <c r="AA80" s="83"/>
      <c r="AB80" s="83"/>
      <c r="AE80" s="83"/>
      <c r="AF80" s="79"/>
      <c r="AG80" s="83"/>
      <c r="AH80" s="83"/>
      <c r="AK80" s="83"/>
      <c r="AL80" s="79"/>
      <c r="AM80" s="83"/>
      <c r="AN80" s="83"/>
      <c r="AQ80" s="83"/>
      <c r="AR80" s="79"/>
      <c r="AS80" s="83"/>
      <c r="AT80" s="83"/>
      <c r="AW80" s="83"/>
      <c r="AX80" s="79"/>
      <c r="AY80" s="83"/>
      <c r="AZ80" s="83"/>
      <c r="BC80" s="83"/>
      <c r="BD80" s="79"/>
      <c r="BE80" s="83"/>
      <c r="BF80" s="83"/>
      <c r="BI80" s="83"/>
      <c r="BJ80" s="79"/>
      <c r="BK80" s="83"/>
      <c r="BL80" s="83"/>
      <c r="BO80" s="83"/>
      <c r="BP80" s="79"/>
      <c r="BQ80" s="83"/>
      <c r="BR80" s="83"/>
      <c r="BU80" s="83"/>
      <c r="BV80" s="79"/>
      <c r="BW80" s="83"/>
      <c r="BX80" s="83"/>
      <c r="CA80" s="83"/>
      <c r="CB80" s="79"/>
      <c r="CC80" s="83"/>
      <c r="CD80" s="83"/>
      <c r="CG80" s="83"/>
      <c r="CH80" s="79"/>
      <c r="CI80" s="83"/>
      <c r="CJ80" s="83"/>
      <c r="CM80" s="83"/>
      <c r="CN80" s="79"/>
      <c r="CO80" s="83"/>
      <c r="CP80" s="83"/>
      <c r="CS80" s="83"/>
      <c r="CT80" s="79"/>
      <c r="CU80" s="83"/>
      <c r="CV80" s="83"/>
      <c r="CY80" s="83"/>
      <c r="CZ80" s="79"/>
      <c r="DA80" s="83"/>
      <c r="DB80" s="83"/>
    </row>
    <row r="81" spans="2:106" x14ac:dyDescent="0.35">
      <c r="B81" s="85"/>
      <c r="S81" s="83"/>
      <c r="T81" s="79"/>
      <c r="U81" s="83"/>
      <c r="V81" s="83"/>
      <c r="Y81" s="83"/>
      <c r="Z81" s="79"/>
      <c r="AA81" s="83"/>
      <c r="AB81" s="83"/>
      <c r="AE81" s="83"/>
      <c r="AF81" s="79"/>
      <c r="AG81" s="83"/>
      <c r="AH81" s="83"/>
      <c r="AK81" s="83"/>
      <c r="AL81" s="79"/>
      <c r="AM81" s="83"/>
      <c r="AN81" s="83"/>
      <c r="AQ81" s="83"/>
      <c r="AR81" s="79"/>
      <c r="AS81" s="83"/>
      <c r="AT81" s="83"/>
      <c r="AW81" s="83"/>
      <c r="AX81" s="79"/>
      <c r="AY81" s="83"/>
      <c r="AZ81" s="83"/>
      <c r="BC81" s="83"/>
      <c r="BD81" s="79"/>
      <c r="BE81" s="83"/>
      <c r="BF81" s="83"/>
      <c r="BI81" s="83"/>
      <c r="BJ81" s="79"/>
      <c r="BK81" s="83"/>
      <c r="BL81" s="83"/>
      <c r="BO81" s="83"/>
      <c r="BP81" s="79"/>
      <c r="BQ81" s="83"/>
      <c r="BR81" s="83"/>
      <c r="BU81" s="83"/>
      <c r="BV81" s="79"/>
      <c r="BW81" s="83"/>
      <c r="BX81" s="83"/>
      <c r="CA81" s="83"/>
      <c r="CB81" s="79"/>
      <c r="CC81" s="83"/>
      <c r="CD81" s="83"/>
      <c r="CG81" s="83"/>
      <c r="CH81" s="79"/>
      <c r="CI81" s="83"/>
      <c r="CJ81" s="83"/>
      <c r="CM81" s="83"/>
      <c r="CN81" s="79"/>
      <c r="CO81" s="83"/>
      <c r="CP81" s="83"/>
      <c r="CS81" s="83"/>
      <c r="CT81" s="79"/>
      <c r="CU81" s="83"/>
      <c r="CV81" s="83"/>
      <c r="CY81" s="83"/>
      <c r="CZ81" s="79"/>
      <c r="DA81" s="83"/>
      <c r="DB81" s="83"/>
    </row>
    <row r="82" spans="2:106" x14ac:dyDescent="0.35">
      <c r="B82" s="85"/>
      <c r="S82" s="83"/>
      <c r="T82" s="79"/>
      <c r="U82" s="83"/>
      <c r="V82" s="83"/>
      <c r="Y82" s="83"/>
      <c r="Z82" s="79"/>
      <c r="AA82" s="83"/>
      <c r="AB82" s="83"/>
      <c r="AE82" s="83"/>
      <c r="AF82" s="79"/>
      <c r="AG82" s="83"/>
      <c r="AH82" s="83"/>
      <c r="AK82" s="83"/>
      <c r="AL82" s="79"/>
      <c r="AM82" s="83"/>
      <c r="AN82" s="83"/>
      <c r="AQ82" s="83"/>
      <c r="AR82" s="79"/>
      <c r="AS82" s="83"/>
      <c r="AT82" s="83"/>
      <c r="AW82" s="83"/>
      <c r="AX82" s="79"/>
      <c r="AY82" s="83"/>
      <c r="AZ82" s="83"/>
      <c r="BC82" s="83"/>
      <c r="BD82" s="79"/>
      <c r="BE82" s="83"/>
      <c r="BF82" s="83"/>
      <c r="BI82" s="83"/>
      <c r="BJ82" s="79"/>
      <c r="BK82" s="83"/>
      <c r="BL82" s="83"/>
      <c r="BO82" s="83"/>
      <c r="BP82" s="79"/>
      <c r="BQ82" s="83"/>
      <c r="BR82" s="83"/>
      <c r="BU82" s="83"/>
      <c r="BV82" s="79"/>
      <c r="BW82" s="83"/>
      <c r="BX82" s="83"/>
      <c r="CA82" s="83"/>
      <c r="CB82" s="79"/>
      <c r="CC82" s="83"/>
      <c r="CD82" s="83"/>
      <c r="CG82" s="83"/>
      <c r="CH82" s="79"/>
      <c r="CI82" s="83"/>
      <c r="CJ82" s="83"/>
      <c r="CM82" s="83"/>
      <c r="CN82" s="79"/>
      <c r="CO82" s="83"/>
      <c r="CP82" s="83"/>
      <c r="CS82" s="83"/>
      <c r="CT82" s="79"/>
      <c r="CU82" s="83"/>
      <c r="CV82" s="83"/>
      <c r="CY82" s="83"/>
      <c r="CZ82" s="79"/>
      <c r="DA82" s="83"/>
      <c r="DB82" s="83"/>
    </row>
    <row r="83" spans="2:106" x14ac:dyDescent="0.35">
      <c r="B83" s="85"/>
      <c r="S83" s="83"/>
      <c r="T83" s="79"/>
      <c r="U83" s="83"/>
      <c r="V83" s="83"/>
      <c r="Y83" s="83"/>
      <c r="Z83" s="79"/>
      <c r="AA83" s="83"/>
      <c r="AB83" s="83"/>
      <c r="AE83" s="83"/>
      <c r="AF83" s="79"/>
      <c r="AG83" s="83"/>
      <c r="AH83" s="83"/>
      <c r="AK83" s="83"/>
      <c r="AL83" s="79"/>
      <c r="AM83" s="83"/>
      <c r="AN83" s="83"/>
      <c r="AQ83" s="83"/>
      <c r="AR83" s="79"/>
      <c r="AS83" s="83"/>
      <c r="AT83" s="83"/>
      <c r="AW83" s="83"/>
      <c r="AX83" s="79"/>
      <c r="AY83" s="83"/>
      <c r="AZ83" s="83"/>
      <c r="BC83" s="83"/>
      <c r="BD83" s="79"/>
      <c r="BE83" s="83"/>
      <c r="BF83" s="83"/>
      <c r="BI83" s="83"/>
      <c r="BJ83" s="79"/>
      <c r="BK83" s="83"/>
      <c r="BL83" s="83"/>
      <c r="BO83" s="83"/>
      <c r="BP83" s="79"/>
      <c r="BQ83" s="83"/>
      <c r="BR83" s="83"/>
      <c r="BU83" s="83"/>
      <c r="BV83" s="79"/>
      <c r="BW83" s="83"/>
      <c r="BX83" s="83"/>
      <c r="CA83" s="83"/>
      <c r="CB83" s="79"/>
      <c r="CC83" s="83"/>
      <c r="CD83" s="83"/>
      <c r="CG83" s="83"/>
      <c r="CH83" s="79"/>
      <c r="CI83" s="83"/>
      <c r="CJ83" s="83"/>
      <c r="CM83" s="83"/>
      <c r="CN83" s="79"/>
      <c r="CO83" s="83"/>
      <c r="CP83" s="83"/>
      <c r="CS83" s="83"/>
      <c r="CT83" s="79"/>
      <c r="CU83" s="83"/>
      <c r="CV83" s="83"/>
      <c r="CY83" s="83"/>
      <c r="CZ83" s="79"/>
      <c r="DA83" s="83"/>
      <c r="DB83" s="83"/>
    </row>
    <row r="84" spans="2:106" x14ac:dyDescent="0.35">
      <c r="B84" s="85"/>
      <c r="S84" s="83"/>
      <c r="T84" s="79"/>
      <c r="U84" s="83"/>
      <c r="V84" s="83"/>
      <c r="Y84" s="83"/>
      <c r="Z84" s="79"/>
      <c r="AA84" s="83"/>
      <c r="AB84" s="83"/>
      <c r="AE84" s="83"/>
      <c r="AF84" s="79"/>
      <c r="AG84" s="83"/>
      <c r="AH84" s="83"/>
      <c r="AK84" s="83"/>
      <c r="AL84" s="79"/>
      <c r="AM84" s="83"/>
      <c r="AN84" s="83"/>
      <c r="AQ84" s="83"/>
      <c r="AR84" s="79"/>
      <c r="AS84" s="83"/>
      <c r="AT84" s="83"/>
      <c r="AW84" s="83"/>
      <c r="AX84" s="79"/>
      <c r="AY84" s="83"/>
      <c r="AZ84" s="83"/>
      <c r="BC84" s="83"/>
      <c r="BD84" s="79"/>
      <c r="BE84" s="83"/>
      <c r="BF84" s="83"/>
      <c r="BI84" s="83"/>
      <c r="BJ84" s="79"/>
      <c r="BK84" s="83"/>
      <c r="BL84" s="83"/>
      <c r="BO84" s="83"/>
      <c r="BP84" s="79"/>
      <c r="BQ84" s="83"/>
      <c r="BR84" s="83"/>
      <c r="BU84" s="83"/>
      <c r="BV84" s="79"/>
      <c r="BW84" s="83"/>
      <c r="BX84" s="83"/>
      <c r="CA84" s="83"/>
      <c r="CB84" s="79"/>
      <c r="CC84" s="83"/>
      <c r="CD84" s="83"/>
      <c r="CG84" s="83"/>
      <c r="CH84" s="79"/>
      <c r="CI84" s="83"/>
      <c r="CJ84" s="83"/>
      <c r="CM84" s="83"/>
      <c r="CN84" s="79"/>
      <c r="CO84" s="83"/>
      <c r="CP84" s="83"/>
      <c r="CS84" s="83"/>
      <c r="CT84" s="79"/>
      <c r="CU84" s="83"/>
      <c r="CV84" s="83"/>
      <c r="CY84" s="83"/>
      <c r="CZ84" s="79"/>
      <c r="DA84" s="83"/>
      <c r="DB84" s="83"/>
    </row>
    <row r="85" spans="2:106" x14ac:dyDescent="0.35">
      <c r="B85" s="85"/>
      <c r="S85" s="83"/>
      <c r="T85" s="79"/>
      <c r="U85" s="83"/>
      <c r="V85" s="83"/>
      <c r="Y85" s="83"/>
      <c r="Z85" s="79"/>
      <c r="AA85" s="83"/>
      <c r="AB85" s="83"/>
      <c r="AE85" s="83"/>
      <c r="AF85" s="79"/>
      <c r="AG85" s="83"/>
      <c r="AH85" s="83"/>
      <c r="AK85" s="83"/>
      <c r="AL85" s="79"/>
      <c r="AM85" s="83"/>
      <c r="AN85" s="83"/>
      <c r="AQ85" s="83"/>
      <c r="AR85" s="79"/>
      <c r="AS85" s="83"/>
      <c r="AT85" s="83"/>
      <c r="AW85" s="83"/>
      <c r="AX85" s="79"/>
      <c r="AY85" s="83"/>
      <c r="AZ85" s="83"/>
      <c r="BC85" s="83"/>
      <c r="BD85" s="79"/>
      <c r="BE85" s="83"/>
      <c r="BF85" s="83"/>
      <c r="BI85" s="83"/>
      <c r="BJ85" s="79"/>
      <c r="BK85" s="83"/>
      <c r="BL85" s="83"/>
      <c r="BO85" s="83"/>
      <c r="BP85" s="79"/>
      <c r="BQ85" s="83"/>
      <c r="BR85" s="83"/>
      <c r="BU85" s="83"/>
      <c r="BV85" s="79"/>
      <c r="BW85" s="83"/>
      <c r="BX85" s="83"/>
      <c r="CA85" s="83"/>
      <c r="CB85" s="79"/>
      <c r="CC85" s="83"/>
      <c r="CD85" s="83"/>
      <c r="CG85" s="83"/>
      <c r="CH85" s="79"/>
      <c r="CI85" s="83"/>
      <c r="CJ85" s="83"/>
      <c r="CM85" s="83"/>
      <c r="CN85" s="79"/>
      <c r="CO85" s="83"/>
      <c r="CP85" s="83"/>
      <c r="CS85" s="83"/>
      <c r="CT85" s="79"/>
      <c r="CU85" s="83"/>
      <c r="CV85" s="83"/>
      <c r="CY85" s="83"/>
      <c r="CZ85" s="79"/>
      <c r="DA85" s="83"/>
      <c r="DB85" s="83"/>
    </row>
    <row r="86" spans="2:106" x14ac:dyDescent="0.35">
      <c r="B86" s="85"/>
      <c r="S86" s="83"/>
      <c r="T86" s="79"/>
      <c r="U86" s="83"/>
      <c r="V86" s="83"/>
      <c r="Y86" s="83"/>
      <c r="Z86" s="79"/>
      <c r="AA86" s="83"/>
      <c r="AB86" s="83"/>
      <c r="AE86" s="83"/>
      <c r="AF86" s="79"/>
      <c r="AG86" s="83"/>
      <c r="AH86" s="83"/>
      <c r="AK86" s="83"/>
      <c r="AL86" s="79"/>
      <c r="AM86" s="83"/>
      <c r="AN86" s="83"/>
      <c r="AQ86" s="83"/>
      <c r="AR86" s="79"/>
      <c r="AS86" s="83"/>
      <c r="AT86" s="83"/>
      <c r="AW86" s="83"/>
      <c r="AX86" s="79"/>
      <c r="AY86" s="83"/>
      <c r="AZ86" s="83"/>
      <c r="BC86" s="83"/>
      <c r="BD86" s="79"/>
      <c r="BE86" s="83"/>
      <c r="BF86" s="83"/>
      <c r="BI86" s="83"/>
      <c r="BJ86" s="79"/>
      <c r="BK86" s="83"/>
      <c r="BL86" s="83"/>
      <c r="BO86" s="83"/>
      <c r="BP86" s="79"/>
      <c r="BQ86" s="83"/>
      <c r="BR86" s="83"/>
      <c r="BU86" s="83"/>
      <c r="BV86" s="79"/>
      <c r="BW86" s="83"/>
      <c r="BX86" s="83"/>
      <c r="CA86" s="83"/>
      <c r="CB86" s="79"/>
      <c r="CC86" s="83"/>
      <c r="CD86" s="83"/>
      <c r="CG86" s="83"/>
      <c r="CH86" s="79"/>
      <c r="CI86" s="83"/>
      <c r="CJ86" s="83"/>
      <c r="CM86" s="83"/>
      <c r="CN86" s="79"/>
      <c r="CO86" s="83"/>
      <c r="CP86" s="83"/>
      <c r="CS86" s="83"/>
      <c r="CT86" s="79"/>
      <c r="CU86" s="83"/>
      <c r="CV86" s="83"/>
      <c r="CY86" s="83"/>
      <c r="CZ86" s="79"/>
      <c r="DA86" s="83"/>
      <c r="DB86" s="83"/>
    </row>
    <row r="87" spans="2:106" x14ac:dyDescent="0.35">
      <c r="B87" s="85"/>
      <c r="S87" s="83"/>
      <c r="T87" s="79"/>
      <c r="U87" s="83"/>
      <c r="V87" s="83"/>
      <c r="Y87" s="83"/>
      <c r="Z87" s="79"/>
      <c r="AA87" s="83"/>
      <c r="AB87" s="83"/>
      <c r="AE87" s="83"/>
      <c r="AF87" s="79"/>
      <c r="AG87" s="83"/>
      <c r="AH87" s="83"/>
      <c r="AK87" s="83"/>
      <c r="AL87" s="79"/>
      <c r="AM87" s="83"/>
      <c r="AN87" s="83"/>
      <c r="AQ87" s="83"/>
      <c r="AR87" s="79"/>
      <c r="AS87" s="83"/>
      <c r="AT87" s="83"/>
      <c r="AW87" s="83"/>
      <c r="AX87" s="79"/>
      <c r="AY87" s="83"/>
      <c r="AZ87" s="83"/>
      <c r="BC87" s="83"/>
      <c r="BD87" s="79"/>
      <c r="BE87" s="83"/>
      <c r="BF87" s="83"/>
      <c r="BI87" s="83"/>
      <c r="BJ87" s="79"/>
      <c r="BK87" s="83"/>
      <c r="BL87" s="83"/>
      <c r="BO87" s="83"/>
      <c r="BP87" s="79"/>
      <c r="BQ87" s="83"/>
      <c r="BR87" s="83"/>
      <c r="BU87" s="83"/>
      <c r="BV87" s="79"/>
      <c r="BW87" s="83"/>
      <c r="BX87" s="83"/>
      <c r="CA87" s="83"/>
      <c r="CB87" s="79"/>
      <c r="CC87" s="83"/>
      <c r="CD87" s="83"/>
      <c r="CG87" s="83"/>
      <c r="CH87" s="79"/>
      <c r="CI87" s="83"/>
      <c r="CJ87" s="83"/>
      <c r="CM87" s="83"/>
      <c r="CN87" s="79"/>
      <c r="CO87" s="83"/>
      <c r="CP87" s="83"/>
      <c r="CS87" s="83"/>
      <c r="CT87" s="79"/>
      <c r="CU87" s="83"/>
      <c r="CV87" s="83"/>
      <c r="CY87" s="83"/>
      <c r="CZ87" s="79"/>
      <c r="DA87" s="83"/>
      <c r="DB87" s="83"/>
    </row>
    <row r="88" spans="2:106" x14ac:dyDescent="0.35">
      <c r="B88" s="85"/>
      <c r="S88" s="83"/>
      <c r="T88" s="79"/>
      <c r="U88" s="83"/>
      <c r="V88" s="83"/>
      <c r="Y88" s="83"/>
      <c r="Z88" s="79"/>
      <c r="AA88" s="83"/>
      <c r="AB88" s="83"/>
      <c r="AE88" s="83"/>
      <c r="AF88" s="79"/>
      <c r="AG88" s="83"/>
      <c r="AH88" s="83"/>
      <c r="AK88" s="83"/>
      <c r="AL88" s="79"/>
      <c r="AM88" s="83"/>
      <c r="AN88" s="83"/>
      <c r="AQ88" s="83"/>
      <c r="AR88" s="79"/>
      <c r="AS88" s="83"/>
      <c r="AT88" s="83"/>
      <c r="AW88" s="83"/>
      <c r="AX88" s="79"/>
      <c r="AY88" s="83"/>
      <c r="AZ88" s="83"/>
      <c r="BC88" s="83"/>
      <c r="BD88" s="79"/>
      <c r="BE88" s="83"/>
      <c r="BF88" s="83"/>
      <c r="BI88" s="83"/>
      <c r="BJ88" s="79"/>
      <c r="BK88" s="83"/>
      <c r="BL88" s="83"/>
      <c r="BO88" s="83"/>
      <c r="BP88" s="79"/>
      <c r="BQ88" s="83"/>
      <c r="BR88" s="83"/>
      <c r="BU88" s="83"/>
      <c r="BV88" s="79"/>
      <c r="BW88" s="83"/>
      <c r="BX88" s="83"/>
      <c r="CA88" s="83"/>
      <c r="CB88" s="79"/>
      <c r="CC88" s="83"/>
      <c r="CD88" s="83"/>
      <c r="CG88" s="83"/>
      <c r="CH88" s="79"/>
      <c r="CI88" s="83"/>
      <c r="CJ88" s="83"/>
      <c r="CM88" s="83"/>
      <c r="CN88" s="79"/>
      <c r="CO88" s="83"/>
      <c r="CP88" s="83"/>
      <c r="CS88" s="83"/>
      <c r="CT88" s="79"/>
      <c r="CU88" s="83"/>
      <c r="CV88" s="83"/>
      <c r="CY88" s="83"/>
      <c r="CZ88" s="79"/>
      <c r="DA88" s="83"/>
      <c r="DB88" s="83"/>
    </row>
    <row r="89" spans="2:106" x14ac:dyDescent="0.35">
      <c r="B89" s="85"/>
      <c r="S89" s="83"/>
      <c r="T89" s="79"/>
      <c r="U89" s="83"/>
      <c r="V89" s="83"/>
      <c r="Y89" s="83"/>
      <c r="Z89" s="79"/>
      <c r="AA89" s="83"/>
      <c r="AB89" s="83"/>
      <c r="AE89" s="83"/>
      <c r="AF89" s="79"/>
      <c r="AG89" s="83"/>
      <c r="AH89" s="83"/>
      <c r="AK89" s="83"/>
      <c r="AL89" s="79"/>
      <c r="AM89" s="83"/>
      <c r="AN89" s="83"/>
      <c r="AQ89" s="83"/>
      <c r="AR89" s="79"/>
      <c r="AS89" s="83"/>
      <c r="AT89" s="83"/>
      <c r="AW89" s="83"/>
      <c r="AX89" s="79"/>
      <c r="AY89" s="83"/>
      <c r="AZ89" s="83"/>
      <c r="BC89" s="83"/>
      <c r="BD89" s="79"/>
      <c r="BE89" s="83"/>
      <c r="BF89" s="83"/>
      <c r="BI89" s="83"/>
      <c r="BJ89" s="79"/>
      <c r="BK89" s="83"/>
      <c r="BL89" s="83"/>
      <c r="BO89" s="83"/>
      <c r="BP89" s="79"/>
      <c r="BQ89" s="83"/>
      <c r="BR89" s="83"/>
      <c r="BU89" s="83"/>
      <c r="BV89" s="79"/>
      <c r="BW89" s="83"/>
      <c r="BX89" s="83"/>
      <c r="CA89" s="83"/>
      <c r="CB89" s="79"/>
      <c r="CC89" s="83"/>
      <c r="CD89" s="83"/>
      <c r="CG89" s="83"/>
      <c r="CH89" s="79"/>
      <c r="CI89" s="83"/>
      <c r="CJ89" s="83"/>
      <c r="CM89" s="83"/>
      <c r="CN89" s="79"/>
      <c r="CO89" s="83"/>
      <c r="CP89" s="83"/>
      <c r="CS89" s="83"/>
      <c r="CT89" s="79"/>
      <c r="CU89" s="83"/>
      <c r="CV89" s="83"/>
      <c r="CY89" s="83"/>
      <c r="CZ89" s="79"/>
      <c r="DA89" s="83"/>
      <c r="DB89" s="83"/>
    </row>
    <row r="90" spans="2:106" x14ac:dyDescent="0.35">
      <c r="B90" s="85"/>
      <c r="S90" s="83"/>
      <c r="T90" s="79"/>
      <c r="U90" s="83"/>
      <c r="V90" s="83"/>
      <c r="Y90" s="83"/>
      <c r="Z90" s="79"/>
      <c r="AA90" s="83"/>
      <c r="AB90" s="83"/>
      <c r="AE90" s="83"/>
      <c r="AF90" s="79"/>
      <c r="AG90" s="83"/>
      <c r="AH90" s="83"/>
      <c r="AK90" s="83"/>
      <c r="AL90" s="79"/>
      <c r="AM90" s="83"/>
      <c r="AN90" s="83"/>
      <c r="AQ90" s="83"/>
      <c r="AR90" s="79"/>
      <c r="AS90" s="83"/>
      <c r="AT90" s="83"/>
      <c r="AW90" s="83"/>
      <c r="AX90" s="79"/>
      <c r="AY90" s="83"/>
      <c r="AZ90" s="83"/>
      <c r="BC90" s="83"/>
      <c r="BD90" s="79"/>
      <c r="BE90" s="83"/>
      <c r="BF90" s="83"/>
      <c r="BI90" s="83"/>
      <c r="BJ90" s="79"/>
      <c r="BK90" s="83"/>
      <c r="BL90" s="83"/>
      <c r="BO90" s="83"/>
      <c r="BP90" s="79"/>
      <c r="BQ90" s="83"/>
      <c r="BR90" s="83"/>
      <c r="BU90" s="83"/>
      <c r="BV90" s="79"/>
      <c r="BW90" s="83"/>
      <c r="BX90" s="83"/>
      <c r="CA90" s="83"/>
      <c r="CB90" s="79"/>
      <c r="CC90" s="83"/>
      <c r="CD90" s="83"/>
      <c r="CG90" s="83"/>
      <c r="CH90" s="79"/>
      <c r="CI90" s="83"/>
      <c r="CJ90" s="83"/>
      <c r="CM90" s="83"/>
      <c r="CN90" s="79"/>
      <c r="CO90" s="83"/>
      <c r="CP90" s="83"/>
      <c r="CS90" s="83"/>
      <c r="CT90" s="79"/>
      <c r="CU90" s="83"/>
      <c r="CV90" s="83"/>
      <c r="CY90" s="83"/>
      <c r="CZ90" s="79"/>
      <c r="DA90" s="83"/>
      <c r="DB90" s="83"/>
    </row>
    <row r="91" spans="2:106" x14ac:dyDescent="0.35">
      <c r="B91" s="85"/>
      <c r="S91" s="83"/>
      <c r="T91" s="79"/>
      <c r="U91" s="83"/>
      <c r="V91" s="83"/>
      <c r="Y91" s="83"/>
      <c r="Z91" s="79"/>
      <c r="AA91" s="83"/>
      <c r="AB91" s="83"/>
      <c r="AE91" s="83"/>
      <c r="AF91" s="79"/>
      <c r="AG91" s="83"/>
      <c r="AH91" s="83"/>
      <c r="AK91" s="83"/>
      <c r="AL91" s="79"/>
      <c r="AM91" s="83"/>
      <c r="AN91" s="83"/>
      <c r="AQ91" s="83"/>
      <c r="AR91" s="79"/>
      <c r="AS91" s="83"/>
      <c r="AT91" s="83"/>
      <c r="AW91" s="83"/>
      <c r="AX91" s="79"/>
      <c r="AY91" s="83"/>
      <c r="AZ91" s="83"/>
      <c r="BC91" s="83"/>
      <c r="BD91" s="79"/>
      <c r="BE91" s="83"/>
      <c r="BF91" s="83"/>
      <c r="BI91" s="83"/>
      <c r="BJ91" s="79"/>
      <c r="BK91" s="83"/>
      <c r="BL91" s="83"/>
      <c r="BO91" s="83"/>
      <c r="BP91" s="79"/>
      <c r="BQ91" s="83"/>
      <c r="BR91" s="83"/>
      <c r="BU91" s="83"/>
      <c r="BV91" s="79"/>
      <c r="BW91" s="83"/>
      <c r="BX91" s="83"/>
      <c r="CA91" s="83"/>
      <c r="CB91" s="79"/>
      <c r="CC91" s="83"/>
      <c r="CD91" s="83"/>
      <c r="CG91" s="83"/>
      <c r="CH91" s="79"/>
      <c r="CI91" s="83"/>
      <c r="CJ91" s="83"/>
      <c r="CM91" s="83"/>
      <c r="CN91" s="79"/>
      <c r="CO91" s="83"/>
      <c r="CP91" s="83"/>
      <c r="CS91" s="83"/>
      <c r="CT91" s="79"/>
      <c r="CU91" s="83"/>
      <c r="CV91" s="83"/>
      <c r="CY91" s="83"/>
      <c r="CZ91" s="79"/>
      <c r="DA91" s="83"/>
      <c r="DB91" s="83"/>
    </row>
    <row r="92" spans="2:106" x14ac:dyDescent="0.35">
      <c r="B92" s="85"/>
      <c r="S92" s="83"/>
      <c r="T92" s="79"/>
      <c r="U92" s="83"/>
      <c r="V92" s="83"/>
      <c r="Y92" s="83"/>
      <c r="Z92" s="79"/>
      <c r="AA92" s="83"/>
      <c r="AB92" s="83"/>
      <c r="AE92" s="83"/>
      <c r="AF92" s="79"/>
      <c r="AG92" s="83"/>
      <c r="AH92" s="83"/>
      <c r="AK92" s="83"/>
      <c r="AL92" s="79"/>
      <c r="AM92" s="83"/>
      <c r="AN92" s="83"/>
      <c r="AQ92" s="83"/>
      <c r="AR92" s="79"/>
      <c r="AS92" s="83"/>
      <c r="AT92" s="83"/>
      <c r="AW92" s="83"/>
      <c r="AX92" s="79"/>
      <c r="AY92" s="83"/>
      <c r="AZ92" s="83"/>
      <c r="BC92" s="83"/>
      <c r="BD92" s="79"/>
      <c r="BE92" s="83"/>
      <c r="BF92" s="83"/>
      <c r="BI92" s="83"/>
      <c r="BJ92" s="79"/>
      <c r="BK92" s="83"/>
      <c r="BL92" s="83"/>
      <c r="BO92" s="83"/>
      <c r="BP92" s="79"/>
      <c r="BQ92" s="83"/>
      <c r="BR92" s="83"/>
      <c r="BU92" s="83"/>
      <c r="BV92" s="79"/>
      <c r="BW92" s="83"/>
      <c r="BX92" s="83"/>
      <c r="CA92" s="83"/>
      <c r="CB92" s="79"/>
      <c r="CC92" s="83"/>
      <c r="CD92" s="83"/>
      <c r="CG92" s="83"/>
      <c r="CH92" s="79"/>
      <c r="CI92" s="83"/>
      <c r="CJ92" s="83"/>
      <c r="CM92" s="83"/>
      <c r="CN92" s="79"/>
      <c r="CO92" s="83"/>
      <c r="CP92" s="83"/>
      <c r="CS92" s="83"/>
      <c r="CT92" s="79"/>
      <c r="CU92" s="83"/>
      <c r="CV92" s="83"/>
      <c r="CY92" s="83"/>
      <c r="CZ92" s="79"/>
      <c r="DA92" s="83"/>
      <c r="DB92" s="83"/>
    </row>
    <row r="93" spans="2:106" x14ac:dyDescent="0.35">
      <c r="B93" s="85"/>
      <c r="S93" s="83"/>
      <c r="T93" s="79"/>
      <c r="U93" s="83"/>
      <c r="V93" s="83"/>
      <c r="Y93" s="83"/>
      <c r="Z93" s="79"/>
      <c r="AA93" s="83"/>
      <c r="AB93" s="83"/>
      <c r="AE93" s="83"/>
      <c r="AF93" s="79"/>
      <c r="AG93" s="83"/>
      <c r="AH93" s="83"/>
      <c r="AK93" s="83"/>
      <c r="AL93" s="79"/>
      <c r="AM93" s="83"/>
      <c r="AN93" s="83"/>
      <c r="AQ93" s="83"/>
      <c r="AR93" s="79"/>
      <c r="AS93" s="83"/>
      <c r="AT93" s="83"/>
      <c r="AW93" s="83"/>
      <c r="AX93" s="79"/>
      <c r="AY93" s="83"/>
      <c r="AZ93" s="83"/>
      <c r="BC93" s="83"/>
      <c r="BD93" s="79"/>
      <c r="BE93" s="83"/>
      <c r="BF93" s="83"/>
      <c r="BI93" s="83"/>
      <c r="BJ93" s="79"/>
      <c r="BK93" s="83"/>
      <c r="BL93" s="83"/>
      <c r="BO93" s="83"/>
      <c r="BP93" s="79"/>
      <c r="BQ93" s="83"/>
      <c r="BR93" s="83"/>
      <c r="BU93" s="83"/>
      <c r="BV93" s="79"/>
      <c r="BW93" s="83"/>
      <c r="BX93" s="83"/>
      <c r="CA93" s="83"/>
      <c r="CB93" s="79"/>
      <c r="CC93" s="83"/>
      <c r="CD93" s="83"/>
      <c r="CG93" s="83"/>
      <c r="CH93" s="79"/>
      <c r="CI93" s="83"/>
      <c r="CJ93" s="83"/>
      <c r="CM93" s="83"/>
      <c r="CN93" s="79"/>
      <c r="CO93" s="83"/>
      <c r="CP93" s="83"/>
      <c r="CS93" s="83"/>
      <c r="CT93" s="79"/>
      <c r="CU93" s="83"/>
      <c r="CV93" s="83"/>
      <c r="CY93" s="83"/>
      <c r="CZ93" s="79"/>
      <c r="DA93" s="83"/>
      <c r="DB93" s="83"/>
    </row>
    <row r="94" spans="2:106" x14ac:dyDescent="0.35">
      <c r="B94" s="85"/>
      <c r="S94" s="83"/>
      <c r="T94" s="79"/>
      <c r="U94" s="83"/>
      <c r="V94" s="83"/>
      <c r="Y94" s="83"/>
      <c r="Z94" s="79"/>
      <c r="AA94" s="83"/>
      <c r="AB94" s="83"/>
      <c r="AE94" s="83"/>
      <c r="AF94" s="79"/>
      <c r="AG94" s="83"/>
      <c r="AH94" s="83"/>
      <c r="AK94" s="83"/>
      <c r="AL94" s="79"/>
      <c r="AM94" s="83"/>
      <c r="AN94" s="83"/>
      <c r="AQ94" s="83"/>
      <c r="AR94" s="79"/>
      <c r="AS94" s="83"/>
      <c r="AT94" s="83"/>
      <c r="AW94" s="83"/>
      <c r="AX94" s="79"/>
      <c r="AY94" s="83"/>
      <c r="AZ94" s="83"/>
      <c r="BC94" s="83"/>
      <c r="BD94" s="79"/>
      <c r="BE94" s="83"/>
      <c r="BF94" s="83"/>
      <c r="BI94" s="83"/>
      <c r="BJ94" s="79"/>
      <c r="BK94" s="83"/>
      <c r="BL94" s="83"/>
      <c r="BO94" s="83"/>
      <c r="BP94" s="79"/>
      <c r="BQ94" s="83"/>
      <c r="BR94" s="83"/>
      <c r="BU94" s="83"/>
      <c r="BV94" s="79"/>
      <c r="BW94" s="83"/>
      <c r="BX94" s="83"/>
      <c r="CA94" s="83"/>
      <c r="CB94" s="79"/>
      <c r="CC94" s="83"/>
      <c r="CD94" s="83"/>
      <c r="CG94" s="83"/>
      <c r="CH94" s="79"/>
      <c r="CI94" s="83"/>
      <c r="CJ94" s="83"/>
      <c r="CM94" s="83"/>
      <c r="CN94" s="79"/>
      <c r="CO94" s="83"/>
      <c r="CP94" s="83"/>
      <c r="CS94" s="83"/>
      <c r="CT94" s="79"/>
      <c r="CU94" s="83"/>
      <c r="CV94" s="83"/>
      <c r="CY94" s="83"/>
      <c r="CZ94" s="79"/>
      <c r="DA94" s="83"/>
      <c r="DB94" s="83"/>
    </row>
    <row r="95" spans="2:106" x14ac:dyDescent="0.35">
      <c r="B95" s="85"/>
      <c r="S95" s="83"/>
      <c r="T95" s="79"/>
      <c r="U95" s="83"/>
      <c r="V95" s="83"/>
      <c r="Y95" s="83"/>
      <c r="Z95" s="79"/>
      <c r="AA95" s="83"/>
      <c r="AB95" s="83"/>
      <c r="AE95" s="83"/>
      <c r="AF95" s="79"/>
      <c r="AG95" s="83"/>
      <c r="AH95" s="83"/>
      <c r="AK95" s="83"/>
      <c r="AL95" s="79"/>
      <c r="AM95" s="83"/>
      <c r="AN95" s="83"/>
      <c r="AQ95" s="83"/>
      <c r="AR95" s="79"/>
      <c r="AS95" s="83"/>
      <c r="AT95" s="83"/>
      <c r="AW95" s="83"/>
      <c r="AX95" s="79"/>
      <c r="AY95" s="83"/>
      <c r="AZ95" s="83"/>
      <c r="BC95" s="83"/>
      <c r="BD95" s="79"/>
      <c r="BE95" s="83"/>
      <c r="BF95" s="83"/>
      <c r="BI95" s="83"/>
      <c r="BJ95" s="79"/>
      <c r="BK95" s="83"/>
      <c r="BL95" s="83"/>
      <c r="BO95" s="83"/>
      <c r="BP95" s="79"/>
      <c r="BQ95" s="83"/>
      <c r="BR95" s="83"/>
      <c r="BU95" s="83"/>
      <c r="BV95" s="79"/>
      <c r="BW95" s="83"/>
      <c r="BX95" s="83"/>
      <c r="CA95" s="83"/>
      <c r="CB95" s="79"/>
      <c r="CC95" s="83"/>
      <c r="CD95" s="83"/>
      <c r="CG95" s="83"/>
      <c r="CH95" s="79"/>
      <c r="CI95" s="83"/>
      <c r="CJ95" s="83"/>
      <c r="CM95" s="83"/>
      <c r="CN95" s="79"/>
      <c r="CO95" s="83"/>
      <c r="CP95" s="83"/>
      <c r="CS95" s="83"/>
      <c r="CT95" s="79"/>
      <c r="CU95" s="83"/>
      <c r="CV95" s="83"/>
      <c r="CY95" s="83"/>
      <c r="CZ95" s="79"/>
      <c r="DA95" s="83"/>
      <c r="DB95" s="83"/>
    </row>
    <row r="96" spans="2:106" x14ac:dyDescent="0.35">
      <c r="B96" s="85"/>
      <c r="S96" s="83"/>
      <c r="T96" s="79"/>
      <c r="U96" s="83"/>
      <c r="V96" s="83"/>
      <c r="Y96" s="83"/>
      <c r="Z96" s="79"/>
      <c r="AA96" s="83"/>
      <c r="AB96" s="83"/>
      <c r="AE96" s="83"/>
      <c r="AF96" s="79"/>
      <c r="AG96" s="83"/>
      <c r="AH96" s="83"/>
      <c r="AK96" s="83"/>
      <c r="AL96" s="79"/>
      <c r="AM96" s="83"/>
      <c r="AN96" s="83"/>
      <c r="AQ96" s="83"/>
      <c r="AR96" s="79"/>
      <c r="AS96" s="83"/>
      <c r="AT96" s="83"/>
      <c r="AW96" s="83"/>
      <c r="AX96" s="79"/>
      <c r="AY96" s="83"/>
      <c r="AZ96" s="83"/>
      <c r="BC96" s="83"/>
      <c r="BD96" s="79"/>
      <c r="BE96" s="83"/>
      <c r="BF96" s="83"/>
      <c r="BI96" s="83"/>
      <c r="BJ96" s="79"/>
      <c r="BK96" s="83"/>
      <c r="BL96" s="83"/>
      <c r="BO96" s="83"/>
      <c r="BP96" s="79"/>
      <c r="BQ96" s="83"/>
      <c r="BR96" s="83"/>
      <c r="BU96" s="83"/>
      <c r="BV96" s="79"/>
      <c r="BW96" s="83"/>
      <c r="BX96" s="83"/>
      <c r="CA96" s="83"/>
      <c r="CB96" s="79"/>
      <c r="CC96" s="83"/>
      <c r="CD96" s="83"/>
      <c r="CG96" s="83"/>
      <c r="CH96" s="79"/>
      <c r="CI96" s="83"/>
      <c r="CJ96" s="83"/>
      <c r="CM96" s="83"/>
      <c r="CN96" s="79"/>
      <c r="CO96" s="83"/>
      <c r="CP96" s="83"/>
      <c r="CS96" s="83"/>
      <c r="CT96" s="79"/>
      <c r="CU96" s="83"/>
      <c r="CV96" s="83"/>
      <c r="CY96" s="83"/>
      <c r="CZ96" s="79"/>
      <c r="DA96" s="83"/>
      <c r="DB96" s="83"/>
    </row>
    <row r="97" spans="2:106" x14ac:dyDescent="0.35">
      <c r="B97" s="85"/>
      <c r="S97" s="83"/>
      <c r="T97" s="79"/>
      <c r="U97" s="83"/>
      <c r="V97" s="83"/>
      <c r="Y97" s="83"/>
      <c r="Z97" s="79"/>
      <c r="AA97" s="83"/>
      <c r="AB97" s="83"/>
      <c r="AE97" s="83"/>
      <c r="AF97" s="79"/>
      <c r="AG97" s="83"/>
      <c r="AH97" s="83"/>
      <c r="AK97" s="83"/>
      <c r="AL97" s="79"/>
      <c r="AM97" s="83"/>
      <c r="AN97" s="83"/>
      <c r="AQ97" s="83"/>
      <c r="AR97" s="79"/>
      <c r="AS97" s="83"/>
      <c r="AT97" s="83"/>
      <c r="AW97" s="83"/>
      <c r="AX97" s="79"/>
      <c r="AY97" s="83"/>
      <c r="AZ97" s="83"/>
      <c r="BC97" s="83"/>
      <c r="BD97" s="79"/>
      <c r="BE97" s="83"/>
      <c r="BF97" s="83"/>
      <c r="BI97" s="83"/>
      <c r="BJ97" s="79"/>
      <c r="BK97" s="83"/>
      <c r="BL97" s="83"/>
      <c r="BO97" s="83"/>
      <c r="BP97" s="79"/>
      <c r="BQ97" s="83"/>
      <c r="BR97" s="83"/>
      <c r="BU97" s="83"/>
      <c r="BV97" s="79"/>
      <c r="BW97" s="83"/>
      <c r="BX97" s="83"/>
      <c r="CA97" s="83"/>
      <c r="CB97" s="79"/>
      <c r="CC97" s="83"/>
      <c r="CD97" s="83"/>
      <c r="CG97" s="83"/>
      <c r="CH97" s="79"/>
      <c r="CI97" s="83"/>
      <c r="CJ97" s="83"/>
      <c r="CM97" s="83"/>
      <c r="CN97" s="79"/>
      <c r="CO97" s="83"/>
      <c r="CP97" s="83"/>
      <c r="CS97" s="83"/>
      <c r="CT97" s="79"/>
      <c r="CU97" s="83"/>
      <c r="CV97" s="83"/>
      <c r="CY97" s="83"/>
      <c r="CZ97" s="79"/>
      <c r="DA97" s="83"/>
      <c r="DB97" s="83"/>
    </row>
    <row r="98" spans="2:106" x14ac:dyDescent="0.35">
      <c r="B98" s="85"/>
      <c r="S98" s="83"/>
      <c r="T98" s="79"/>
      <c r="U98" s="83"/>
      <c r="V98" s="83"/>
      <c r="Y98" s="83"/>
      <c r="Z98" s="79"/>
      <c r="AA98" s="83"/>
      <c r="AB98" s="83"/>
      <c r="AE98" s="83"/>
      <c r="AF98" s="79"/>
      <c r="AG98" s="83"/>
      <c r="AH98" s="83"/>
      <c r="AK98" s="83"/>
      <c r="AL98" s="79"/>
      <c r="AM98" s="83"/>
      <c r="AN98" s="83"/>
      <c r="AQ98" s="83"/>
      <c r="AR98" s="79"/>
      <c r="AS98" s="83"/>
      <c r="AT98" s="83"/>
      <c r="AW98" s="83"/>
      <c r="AX98" s="79"/>
      <c r="AY98" s="83"/>
      <c r="AZ98" s="83"/>
      <c r="BC98" s="83"/>
      <c r="BD98" s="79"/>
      <c r="BE98" s="83"/>
      <c r="BF98" s="83"/>
      <c r="BI98" s="83"/>
      <c r="BJ98" s="79"/>
      <c r="BK98" s="83"/>
      <c r="BL98" s="83"/>
      <c r="BO98" s="83"/>
      <c r="BP98" s="79"/>
      <c r="BQ98" s="83"/>
      <c r="BR98" s="83"/>
      <c r="BU98" s="83"/>
      <c r="BV98" s="79"/>
      <c r="BW98" s="83"/>
      <c r="BX98" s="83"/>
      <c r="CA98" s="83"/>
      <c r="CB98" s="79"/>
      <c r="CC98" s="83"/>
      <c r="CD98" s="83"/>
      <c r="CG98" s="83"/>
      <c r="CH98" s="79"/>
      <c r="CI98" s="83"/>
      <c r="CJ98" s="83"/>
      <c r="CM98" s="83"/>
      <c r="CN98" s="79"/>
      <c r="CO98" s="83"/>
      <c r="CP98" s="83"/>
      <c r="CS98" s="83"/>
      <c r="CT98" s="79"/>
      <c r="CU98" s="83"/>
      <c r="CV98" s="83"/>
      <c r="CY98" s="83"/>
      <c r="CZ98" s="79"/>
      <c r="DA98" s="83"/>
      <c r="DB98" s="83"/>
    </row>
    <row r="99" spans="2:106" x14ac:dyDescent="0.35">
      <c r="B99" s="85"/>
      <c r="S99" s="83"/>
      <c r="T99" s="79"/>
      <c r="U99" s="83"/>
      <c r="V99" s="83"/>
      <c r="Y99" s="83"/>
      <c r="Z99" s="79"/>
      <c r="AA99" s="83"/>
      <c r="AB99" s="83"/>
      <c r="AE99" s="83"/>
      <c r="AF99" s="79"/>
      <c r="AG99" s="83"/>
      <c r="AH99" s="83"/>
      <c r="AK99" s="83"/>
      <c r="AL99" s="79"/>
      <c r="AM99" s="83"/>
      <c r="AN99" s="83"/>
      <c r="AQ99" s="83"/>
      <c r="AR99" s="79"/>
      <c r="AS99" s="83"/>
      <c r="AT99" s="83"/>
      <c r="AW99" s="83"/>
      <c r="AX99" s="79"/>
      <c r="AY99" s="83"/>
      <c r="AZ99" s="83"/>
      <c r="BC99" s="83"/>
      <c r="BD99" s="79"/>
      <c r="BE99" s="83"/>
      <c r="BF99" s="83"/>
      <c r="BI99" s="83"/>
      <c r="BJ99" s="79"/>
      <c r="BK99" s="83"/>
      <c r="BL99" s="83"/>
      <c r="BO99" s="83"/>
      <c r="BP99" s="79"/>
      <c r="BQ99" s="83"/>
      <c r="BR99" s="83"/>
      <c r="BU99" s="83"/>
      <c r="BV99" s="79"/>
      <c r="BW99" s="83"/>
      <c r="BX99" s="83"/>
      <c r="CA99" s="83"/>
      <c r="CB99" s="79"/>
      <c r="CC99" s="83"/>
      <c r="CD99" s="83"/>
      <c r="CG99" s="83"/>
      <c r="CH99" s="79"/>
      <c r="CI99" s="83"/>
      <c r="CJ99" s="83"/>
      <c r="CM99" s="83"/>
      <c r="CN99" s="79"/>
      <c r="CO99" s="83"/>
      <c r="CP99" s="83"/>
      <c r="CS99" s="83"/>
      <c r="CT99" s="79"/>
      <c r="CU99" s="83"/>
      <c r="CV99" s="83"/>
      <c r="CY99" s="83"/>
      <c r="CZ99" s="79"/>
      <c r="DA99" s="83"/>
      <c r="DB99" s="83"/>
    </row>
    <row r="100" spans="2:106" x14ac:dyDescent="0.35">
      <c r="B100" s="85"/>
      <c r="S100" s="83"/>
      <c r="T100" s="79"/>
      <c r="U100" s="83"/>
      <c r="V100" s="83"/>
      <c r="Y100" s="83"/>
      <c r="Z100" s="79"/>
      <c r="AA100" s="83"/>
      <c r="AB100" s="83"/>
      <c r="AE100" s="83"/>
      <c r="AF100" s="79"/>
      <c r="AG100" s="83"/>
      <c r="AH100" s="83"/>
      <c r="AK100" s="83"/>
      <c r="AL100" s="79"/>
      <c r="AM100" s="83"/>
      <c r="AN100" s="83"/>
      <c r="AQ100" s="83"/>
      <c r="AR100" s="79"/>
      <c r="AS100" s="83"/>
      <c r="AT100" s="83"/>
      <c r="AW100" s="83"/>
      <c r="AX100" s="79"/>
      <c r="AY100" s="83"/>
      <c r="AZ100" s="83"/>
      <c r="BC100" s="83"/>
      <c r="BD100" s="79"/>
      <c r="BE100" s="83"/>
      <c r="BF100" s="83"/>
      <c r="BI100" s="83"/>
      <c r="BJ100" s="79"/>
      <c r="BK100" s="83"/>
      <c r="BL100" s="83"/>
      <c r="BO100" s="83"/>
      <c r="BP100" s="79"/>
      <c r="BQ100" s="83"/>
      <c r="BR100" s="83"/>
      <c r="BU100" s="83"/>
      <c r="BV100" s="79"/>
      <c r="BW100" s="83"/>
      <c r="BX100" s="83"/>
      <c r="CA100" s="83"/>
      <c r="CB100" s="79"/>
      <c r="CC100" s="83"/>
      <c r="CD100" s="83"/>
      <c r="CG100" s="83"/>
      <c r="CH100" s="79"/>
      <c r="CI100" s="83"/>
      <c r="CJ100" s="83"/>
      <c r="CM100" s="83"/>
      <c r="CN100" s="79"/>
      <c r="CO100" s="83"/>
      <c r="CP100" s="83"/>
      <c r="CS100" s="83"/>
      <c r="CT100" s="79"/>
      <c r="CU100" s="83"/>
      <c r="CV100" s="83"/>
      <c r="CY100" s="83"/>
      <c r="CZ100" s="79"/>
      <c r="DA100" s="83"/>
      <c r="DB100" s="83"/>
    </row>
    <row r="101" spans="2:106" x14ac:dyDescent="0.35">
      <c r="B101" s="85"/>
      <c r="S101" s="83"/>
      <c r="T101" s="79"/>
      <c r="U101" s="83"/>
      <c r="V101" s="83"/>
      <c r="Y101" s="83"/>
      <c r="Z101" s="79"/>
      <c r="AA101" s="83"/>
      <c r="AB101" s="83"/>
      <c r="AE101" s="83"/>
      <c r="AF101" s="79"/>
      <c r="AG101" s="83"/>
      <c r="AH101" s="83"/>
      <c r="AK101" s="83"/>
      <c r="AL101" s="79"/>
      <c r="AM101" s="83"/>
      <c r="AN101" s="83"/>
      <c r="AQ101" s="83"/>
      <c r="AR101" s="79"/>
      <c r="AS101" s="83"/>
      <c r="AT101" s="83"/>
      <c r="AW101" s="83"/>
      <c r="AX101" s="79"/>
      <c r="AY101" s="83"/>
      <c r="AZ101" s="83"/>
      <c r="BC101" s="83"/>
      <c r="BD101" s="79"/>
      <c r="BE101" s="83"/>
      <c r="BF101" s="83"/>
      <c r="BI101" s="83"/>
      <c r="BJ101" s="79"/>
      <c r="BK101" s="83"/>
      <c r="BL101" s="83"/>
      <c r="BO101" s="83"/>
      <c r="BP101" s="79"/>
      <c r="BQ101" s="83"/>
      <c r="BR101" s="83"/>
      <c r="BU101" s="83"/>
      <c r="BV101" s="79"/>
      <c r="BW101" s="83"/>
      <c r="BX101" s="83"/>
      <c r="CA101" s="83"/>
      <c r="CB101" s="79"/>
      <c r="CC101" s="83"/>
      <c r="CD101" s="83"/>
      <c r="CG101" s="83"/>
      <c r="CH101" s="79"/>
      <c r="CI101" s="83"/>
      <c r="CJ101" s="83"/>
      <c r="CM101" s="83"/>
      <c r="CN101" s="79"/>
      <c r="CO101" s="83"/>
      <c r="CP101" s="83"/>
      <c r="CS101" s="83"/>
      <c r="CT101" s="79"/>
      <c r="CU101" s="83"/>
      <c r="CV101" s="83"/>
      <c r="CY101" s="83"/>
      <c r="CZ101" s="79"/>
      <c r="DA101" s="83"/>
      <c r="DB101" s="83"/>
    </row>
    <row r="102" spans="2:106" x14ac:dyDescent="0.35">
      <c r="B102" s="85"/>
      <c r="S102" s="83"/>
      <c r="T102" s="79"/>
      <c r="U102" s="83"/>
      <c r="V102" s="83"/>
      <c r="Y102" s="83"/>
      <c r="Z102" s="79"/>
      <c r="AA102" s="83"/>
      <c r="AB102" s="83"/>
      <c r="AE102" s="83"/>
      <c r="AF102" s="79"/>
      <c r="AG102" s="83"/>
      <c r="AH102" s="83"/>
      <c r="AK102" s="83"/>
      <c r="AL102" s="79"/>
      <c r="AM102" s="83"/>
      <c r="AN102" s="83"/>
      <c r="AQ102" s="83"/>
      <c r="AR102" s="79"/>
      <c r="AS102" s="83"/>
      <c r="AT102" s="83"/>
      <c r="AW102" s="83"/>
      <c r="AX102" s="79"/>
      <c r="AY102" s="83"/>
      <c r="AZ102" s="83"/>
      <c r="BC102" s="83"/>
      <c r="BD102" s="79"/>
      <c r="BE102" s="83"/>
      <c r="BF102" s="83"/>
      <c r="BI102" s="83"/>
      <c r="BJ102" s="79"/>
      <c r="BK102" s="83"/>
      <c r="BL102" s="83"/>
      <c r="BO102" s="83"/>
      <c r="BP102" s="79"/>
      <c r="BQ102" s="83"/>
      <c r="BR102" s="83"/>
      <c r="BU102" s="83"/>
      <c r="BV102" s="79"/>
      <c r="BW102" s="83"/>
      <c r="BX102" s="83"/>
      <c r="CA102" s="83"/>
      <c r="CB102" s="79"/>
      <c r="CC102" s="83"/>
      <c r="CD102" s="83"/>
      <c r="CG102" s="83"/>
      <c r="CH102" s="79"/>
      <c r="CI102" s="83"/>
      <c r="CJ102" s="83"/>
      <c r="CM102" s="83"/>
      <c r="CN102" s="79"/>
      <c r="CO102" s="83"/>
      <c r="CP102" s="83"/>
      <c r="CS102" s="83"/>
      <c r="CT102" s="79"/>
      <c r="CU102" s="83"/>
      <c r="CV102" s="83"/>
      <c r="CY102" s="83"/>
      <c r="CZ102" s="79"/>
      <c r="DA102" s="83"/>
      <c r="DB102" s="83"/>
    </row>
    <row r="103" spans="2:106" x14ac:dyDescent="0.35">
      <c r="B103" s="85"/>
      <c r="S103" s="83"/>
      <c r="T103" s="79"/>
      <c r="U103" s="83"/>
      <c r="V103" s="83"/>
      <c r="Y103" s="83"/>
      <c r="Z103" s="79"/>
      <c r="AA103" s="83"/>
      <c r="AB103" s="83"/>
      <c r="AE103" s="83"/>
      <c r="AF103" s="79"/>
      <c r="AG103" s="83"/>
      <c r="AH103" s="83"/>
      <c r="AK103" s="83"/>
      <c r="AL103" s="79"/>
      <c r="AM103" s="83"/>
      <c r="AN103" s="83"/>
      <c r="AQ103" s="83"/>
      <c r="AR103" s="79"/>
      <c r="AS103" s="83"/>
      <c r="AT103" s="83"/>
      <c r="AW103" s="83"/>
      <c r="AX103" s="79"/>
      <c r="AY103" s="83"/>
      <c r="AZ103" s="83"/>
      <c r="BC103" s="83"/>
      <c r="BD103" s="79"/>
      <c r="BE103" s="83"/>
      <c r="BF103" s="83"/>
      <c r="BI103" s="83"/>
      <c r="BJ103" s="79"/>
      <c r="BK103" s="83"/>
      <c r="BL103" s="83"/>
      <c r="BO103" s="83"/>
      <c r="BP103" s="79"/>
      <c r="BQ103" s="83"/>
      <c r="BR103" s="83"/>
      <c r="BU103" s="83"/>
      <c r="BV103" s="79"/>
      <c r="BW103" s="83"/>
      <c r="BX103" s="83"/>
      <c r="CA103" s="83"/>
      <c r="CB103" s="79"/>
      <c r="CC103" s="83"/>
      <c r="CD103" s="83"/>
      <c r="CG103" s="83"/>
      <c r="CH103" s="79"/>
      <c r="CI103" s="83"/>
      <c r="CJ103" s="83"/>
      <c r="CM103" s="83"/>
      <c r="CN103" s="79"/>
      <c r="CO103" s="83"/>
      <c r="CP103" s="83"/>
      <c r="CS103" s="83"/>
      <c r="CT103" s="79"/>
      <c r="CU103" s="83"/>
      <c r="CV103" s="83"/>
      <c r="CY103" s="83"/>
      <c r="CZ103" s="79"/>
      <c r="DA103" s="83"/>
      <c r="DB103" s="83"/>
    </row>
    <row r="104" spans="2:106" x14ac:dyDescent="0.35">
      <c r="B104" s="85"/>
      <c r="S104" s="83"/>
      <c r="T104" s="79"/>
      <c r="U104" s="83"/>
      <c r="V104" s="83"/>
      <c r="Y104" s="83"/>
      <c r="Z104" s="79"/>
      <c r="AA104" s="83"/>
      <c r="AB104" s="83"/>
      <c r="AE104" s="83"/>
      <c r="AF104" s="79"/>
      <c r="AG104" s="83"/>
      <c r="AH104" s="83"/>
      <c r="AK104" s="83"/>
      <c r="AL104" s="79"/>
      <c r="AM104" s="83"/>
      <c r="AN104" s="83"/>
      <c r="AQ104" s="83"/>
      <c r="AR104" s="79"/>
      <c r="AS104" s="83"/>
      <c r="AT104" s="83"/>
      <c r="AW104" s="83"/>
      <c r="AX104" s="79"/>
      <c r="AY104" s="83"/>
      <c r="AZ104" s="83"/>
      <c r="BC104" s="83"/>
      <c r="BD104" s="79"/>
      <c r="BE104" s="83"/>
      <c r="BF104" s="83"/>
      <c r="BI104" s="83"/>
      <c r="BJ104" s="79"/>
      <c r="BK104" s="83"/>
      <c r="BL104" s="83"/>
      <c r="BO104" s="83"/>
      <c r="BP104" s="79"/>
      <c r="BQ104" s="83"/>
      <c r="BR104" s="83"/>
      <c r="BU104" s="83"/>
      <c r="BV104" s="79"/>
      <c r="BW104" s="83"/>
      <c r="BX104" s="83"/>
      <c r="CA104" s="83"/>
      <c r="CB104" s="79"/>
      <c r="CC104" s="83"/>
      <c r="CD104" s="83"/>
      <c r="CG104" s="83"/>
      <c r="CH104" s="79"/>
      <c r="CI104" s="83"/>
      <c r="CJ104" s="83"/>
      <c r="CM104" s="83"/>
      <c r="CN104" s="79"/>
      <c r="CO104" s="83"/>
      <c r="CP104" s="83"/>
      <c r="CS104" s="83"/>
      <c r="CT104" s="79"/>
      <c r="CU104" s="83"/>
      <c r="CV104" s="83"/>
      <c r="CY104" s="83"/>
      <c r="CZ104" s="79"/>
      <c r="DA104" s="83"/>
      <c r="DB104" s="83"/>
    </row>
    <row r="105" spans="2:106" x14ac:dyDescent="0.35">
      <c r="B105" s="85"/>
      <c r="S105" s="83"/>
      <c r="T105" s="79"/>
      <c r="U105" s="83"/>
      <c r="V105" s="83"/>
      <c r="Y105" s="83"/>
      <c r="Z105" s="79"/>
      <c r="AA105" s="83"/>
      <c r="AB105" s="83"/>
      <c r="AE105" s="83"/>
      <c r="AF105" s="79"/>
      <c r="AG105" s="83"/>
      <c r="AH105" s="83"/>
      <c r="AK105" s="83"/>
      <c r="AL105" s="79"/>
      <c r="AM105" s="83"/>
      <c r="AN105" s="83"/>
      <c r="AQ105" s="83"/>
      <c r="AR105" s="79"/>
      <c r="AS105" s="83"/>
      <c r="AT105" s="83"/>
      <c r="AW105" s="83"/>
      <c r="AX105" s="79"/>
      <c r="AY105" s="83"/>
      <c r="AZ105" s="83"/>
      <c r="BC105" s="83"/>
      <c r="BD105" s="79"/>
      <c r="BE105" s="83"/>
      <c r="BF105" s="83"/>
      <c r="BI105" s="83"/>
      <c r="BJ105" s="79"/>
      <c r="BK105" s="83"/>
      <c r="BL105" s="83"/>
      <c r="BO105" s="83"/>
      <c r="BP105" s="79"/>
      <c r="BQ105" s="83"/>
      <c r="BR105" s="83"/>
      <c r="BU105" s="83"/>
      <c r="BV105" s="79"/>
      <c r="BW105" s="83"/>
      <c r="BX105" s="83"/>
      <c r="CA105" s="83"/>
      <c r="CB105" s="79"/>
      <c r="CC105" s="83"/>
      <c r="CD105" s="83"/>
      <c r="CG105" s="83"/>
      <c r="CH105" s="79"/>
      <c r="CI105" s="83"/>
      <c r="CJ105" s="83"/>
      <c r="CM105" s="83"/>
      <c r="CN105" s="79"/>
      <c r="CO105" s="83"/>
      <c r="CP105" s="83"/>
      <c r="CS105" s="83"/>
      <c r="CT105" s="79"/>
      <c r="CU105" s="83"/>
      <c r="CV105" s="83"/>
      <c r="CY105" s="83"/>
      <c r="CZ105" s="79"/>
      <c r="DA105" s="83"/>
      <c r="DB105" s="83"/>
    </row>
    <row r="106" spans="2:106" x14ac:dyDescent="0.35">
      <c r="B106" s="85"/>
      <c r="S106" s="83"/>
      <c r="T106" s="79"/>
      <c r="U106" s="83"/>
      <c r="V106" s="83"/>
      <c r="Y106" s="83"/>
      <c r="Z106" s="79"/>
      <c r="AA106" s="83"/>
      <c r="AB106" s="83"/>
      <c r="AE106" s="83"/>
      <c r="AF106" s="79"/>
      <c r="AG106" s="83"/>
      <c r="AH106" s="83"/>
      <c r="AK106" s="83"/>
      <c r="AL106" s="79"/>
      <c r="AM106" s="83"/>
      <c r="AN106" s="83"/>
      <c r="AQ106" s="83"/>
      <c r="AR106" s="79"/>
      <c r="AS106" s="83"/>
      <c r="AT106" s="83"/>
      <c r="AW106" s="83"/>
      <c r="AX106" s="79"/>
      <c r="AY106" s="83"/>
      <c r="AZ106" s="83"/>
      <c r="BC106" s="83"/>
      <c r="BD106" s="79"/>
      <c r="BE106" s="83"/>
      <c r="BF106" s="83"/>
      <c r="BI106" s="83"/>
      <c r="BJ106" s="79"/>
      <c r="BK106" s="83"/>
      <c r="BL106" s="83"/>
      <c r="BO106" s="83"/>
      <c r="BP106" s="79"/>
      <c r="BQ106" s="83"/>
      <c r="BR106" s="83"/>
      <c r="BU106" s="83"/>
      <c r="BV106" s="79"/>
      <c r="BW106" s="83"/>
      <c r="BX106" s="83"/>
      <c r="CA106" s="83"/>
      <c r="CB106" s="79"/>
      <c r="CC106" s="83"/>
      <c r="CD106" s="83"/>
      <c r="CG106" s="83"/>
      <c r="CH106" s="79"/>
      <c r="CI106" s="83"/>
      <c r="CJ106" s="83"/>
      <c r="CM106" s="83"/>
      <c r="CN106" s="79"/>
      <c r="CO106" s="83"/>
      <c r="CP106" s="83"/>
      <c r="CS106" s="83"/>
      <c r="CT106" s="79"/>
      <c r="CU106" s="83"/>
      <c r="CV106" s="83"/>
      <c r="CY106" s="83"/>
      <c r="CZ106" s="79"/>
      <c r="DA106" s="83"/>
      <c r="DB106" s="83"/>
    </row>
    <row r="107" spans="2:106" x14ac:dyDescent="0.35">
      <c r="B107" s="85"/>
      <c r="S107" s="83"/>
      <c r="T107" s="79"/>
      <c r="U107" s="83"/>
      <c r="V107" s="83"/>
      <c r="Y107" s="83"/>
      <c r="Z107" s="79"/>
      <c r="AA107" s="83"/>
      <c r="AB107" s="83"/>
      <c r="AE107" s="83"/>
      <c r="AF107" s="79"/>
      <c r="AG107" s="83"/>
      <c r="AH107" s="83"/>
      <c r="AK107" s="83"/>
      <c r="AL107" s="79"/>
      <c r="AM107" s="83"/>
      <c r="AN107" s="83"/>
      <c r="AQ107" s="83"/>
      <c r="AR107" s="79"/>
      <c r="AS107" s="83"/>
      <c r="AT107" s="83"/>
      <c r="AW107" s="83"/>
      <c r="AX107" s="79"/>
      <c r="AY107" s="83"/>
      <c r="AZ107" s="83"/>
      <c r="BC107" s="83"/>
      <c r="BD107" s="79"/>
      <c r="BE107" s="83"/>
      <c r="BF107" s="83"/>
      <c r="BI107" s="83"/>
      <c r="BJ107" s="79"/>
      <c r="BK107" s="83"/>
      <c r="BL107" s="83"/>
      <c r="BO107" s="83"/>
      <c r="BP107" s="79"/>
      <c r="BQ107" s="83"/>
      <c r="BR107" s="83"/>
      <c r="BU107" s="83"/>
      <c r="BV107" s="79"/>
      <c r="BW107" s="83"/>
      <c r="BX107" s="83"/>
      <c r="CA107" s="83"/>
      <c r="CB107" s="79"/>
      <c r="CC107" s="83"/>
      <c r="CD107" s="83"/>
      <c r="CG107" s="83"/>
      <c r="CH107" s="79"/>
      <c r="CI107" s="83"/>
      <c r="CJ107" s="83"/>
      <c r="CM107" s="83"/>
      <c r="CN107" s="79"/>
      <c r="CO107" s="83"/>
      <c r="CP107" s="83"/>
      <c r="CS107" s="83"/>
      <c r="CT107" s="79"/>
      <c r="CU107" s="83"/>
      <c r="CV107" s="83"/>
      <c r="CY107" s="83"/>
      <c r="CZ107" s="79"/>
      <c r="DA107" s="83"/>
      <c r="DB107" s="83"/>
    </row>
    <row r="108" spans="2:106" x14ac:dyDescent="0.35">
      <c r="B108" s="85"/>
      <c r="S108" s="83"/>
      <c r="T108" s="79"/>
      <c r="U108" s="83"/>
      <c r="V108" s="83"/>
      <c r="Y108" s="83"/>
      <c r="Z108" s="79"/>
      <c r="AA108" s="83"/>
      <c r="AB108" s="83"/>
      <c r="AE108" s="83"/>
      <c r="AF108" s="79"/>
      <c r="AG108" s="83"/>
      <c r="AH108" s="83"/>
      <c r="AK108" s="83"/>
      <c r="AL108" s="79"/>
      <c r="AM108" s="83"/>
      <c r="AN108" s="83"/>
      <c r="AQ108" s="83"/>
      <c r="AR108" s="79"/>
      <c r="AS108" s="83"/>
      <c r="AT108" s="83"/>
      <c r="AW108" s="83"/>
      <c r="AX108" s="79"/>
      <c r="AY108" s="83"/>
      <c r="AZ108" s="83"/>
      <c r="BC108" s="83"/>
      <c r="BD108" s="79"/>
      <c r="BE108" s="83"/>
      <c r="BF108" s="83"/>
      <c r="BI108" s="83"/>
      <c r="BJ108" s="79"/>
      <c r="BK108" s="83"/>
      <c r="BL108" s="83"/>
      <c r="BO108" s="83"/>
      <c r="BP108" s="79"/>
      <c r="BQ108" s="83"/>
      <c r="BR108" s="83"/>
      <c r="BU108" s="83"/>
      <c r="BV108" s="79"/>
      <c r="BW108" s="83"/>
      <c r="BX108" s="83"/>
      <c r="CA108" s="83"/>
      <c r="CB108" s="79"/>
      <c r="CC108" s="83"/>
      <c r="CD108" s="83"/>
      <c r="CG108" s="83"/>
      <c r="CH108" s="79"/>
      <c r="CI108" s="83"/>
      <c r="CJ108" s="83"/>
      <c r="CM108" s="83"/>
      <c r="CN108" s="79"/>
      <c r="CO108" s="83"/>
      <c r="CP108" s="83"/>
      <c r="CS108" s="83"/>
      <c r="CT108" s="79"/>
      <c r="CU108" s="83"/>
      <c r="CV108" s="83"/>
      <c r="CY108" s="83"/>
      <c r="CZ108" s="79"/>
      <c r="DA108" s="83"/>
      <c r="DB108" s="83"/>
    </row>
    <row r="109" spans="2:106" x14ac:dyDescent="0.35">
      <c r="B109" s="85"/>
      <c r="S109" s="83"/>
      <c r="T109" s="79"/>
      <c r="U109" s="83"/>
      <c r="V109" s="83"/>
      <c r="Y109" s="83"/>
      <c r="Z109" s="79"/>
      <c r="AA109" s="83"/>
      <c r="AB109" s="83"/>
      <c r="AE109" s="83"/>
      <c r="AF109" s="79"/>
      <c r="AG109" s="83"/>
      <c r="AH109" s="83"/>
      <c r="AK109" s="83"/>
      <c r="AL109" s="79"/>
      <c r="AM109" s="83"/>
      <c r="AN109" s="83"/>
      <c r="AQ109" s="83"/>
      <c r="AR109" s="79"/>
      <c r="AS109" s="83"/>
      <c r="AT109" s="83"/>
      <c r="AW109" s="83"/>
      <c r="AX109" s="79"/>
      <c r="AY109" s="83"/>
      <c r="AZ109" s="83"/>
      <c r="BC109" s="83"/>
      <c r="BD109" s="79"/>
      <c r="BE109" s="83"/>
      <c r="BF109" s="83"/>
      <c r="BI109" s="83"/>
      <c r="BJ109" s="79"/>
      <c r="BK109" s="83"/>
      <c r="BL109" s="83"/>
      <c r="BO109" s="83"/>
      <c r="BP109" s="79"/>
      <c r="BQ109" s="83"/>
      <c r="BR109" s="83"/>
      <c r="BU109" s="83"/>
      <c r="BV109" s="79"/>
      <c r="BW109" s="83"/>
      <c r="BX109" s="83"/>
      <c r="CA109" s="83"/>
      <c r="CB109" s="79"/>
      <c r="CC109" s="83"/>
      <c r="CD109" s="83"/>
      <c r="CG109" s="83"/>
      <c r="CH109" s="79"/>
      <c r="CI109" s="83"/>
      <c r="CJ109" s="83"/>
      <c r="CM109" s="83"/>
      <c r="CN109" s="79"/>
      <c r="CO109" s="83"/>
      <c r="CP109" s="83"/>
      <c r="CS109" s="83"/>
      <c r="CT109" s="79"/>
      <c r="CU109" s="83"/>
      <c r="CV109" s="83"/>
      <c r="CY109" s="83"/>
      <c r="CZ109" s="79"/>
      <c r="DA109" s="83"/>
      <c r="DB109" s="83"/>
    </row>
    <row r="110" spans="2:106" x14ac:dyDescent="0.35">
      <c r="B110" s="85"/>
      <c r="S110" s="83"/>
      <c r="T110" s="79"/>
      <c r="U110" s="83"/>
      <c r="V110" s="83"/>
      <c r="Y110" s="83"/>
      <c r="Z110" s="79"/>
      <c r="AA110" s="83"/>
      <c r="AB110" s="83"/>
      <c r="AE110" s="83"/>
      <c r="AF110" s="79"/>
      <c r="AG110" s="83"/>
      <c r="AH110" s="83"/>
      <c r="AK110" s="83"/>
      <c r="AL110" s="79"/>
      <c r="AM110" s="83"/>
      <c r="AN110" s="83"/>
      <c r="AQ110" s="83"/>
      <c r="AR110" s="79"/>
      <c r="AS110" s="83"/>
      <c r="AT110" s="83"/>
      <c r="AW110" s="83"/>
      <c r="AX110" s="79"/>
      <c r="AY110" s="83"/>
      <c r="AZ110" s="83"/>
      <c r="BC110" s="83"/>
      <c r="BD110" s="79"/>
      <c r="BE110" s="83"/>
      <c r="BF110" s="83"/>
      <c r="BI110" s="83"/>
      <c r="BJ110" s="79"/>
      <c r="BK110" s="83"/>
      <c r="BL110" s="83"/>
      <c r="BO110" s="83"/>
      <c r="BP110" s="79"/>
      <c r="BQ110" s="83"/>
      <c r="BR110" s="83"/>
      <c r="BU110" s="83"/>
      <c r="BV110" s="79"/>
      <c r="BW110" s="83"/>
      <c r="BX110" s="83"/>
      <c r="CA110" s="83"/>
      <c r="CB110" s="79"/>
      <c r="CC110" s="83"/>
      <c r="CD110" s="83"/>
      <c r="CG110" s="83"/>
      <c r="CH110" s="79"/>
      <c r="CI110" s="83"/>
      <c r="CJ110" s="83"/>
      <c r="CM110" s="83"/>
      <c r="CN110" s="79"/>
      <c r="CO110" s="83"/>
      <c r="CP110" s="83"/>
      <c r="CS110" s="83"/>
      <c r="CT110" s="79"/>
      <c r="CU110" s="83"/>
      <c r="CV110" s="83"/>
      <c r="CY110" s="83"/>
      <c r="CZ110" s="79"/>
      <c r="DA110" s="83"/>
      <c r="DB110" s="83"/>
    </row>
    <row r="111" spans="2:106" x14ac:dyDescent="0.35">
      <c r="B111" s="85"/>
      <c r="S111" s="83"/>
      <c r="T111" s="79"/>
      <c r="U111" s="83"/>
      <c r="V111" s="83"/>
      <c r="Y111" s="83"/>
      <c r="Z111" s="79"/>
      <c r="AA111" s="83"/>
      <c r="AB111" s="83"/>
      <c r="AE111" s="83"/>
      <c r="AF111" s="79"/>
      <c r="AG111" s="83"/>
      <c r="AH111" s="83"/>
      <c r="AK111" s="83"/>
      <c r="AL111" s="79"/>
      <c r="AM111" s="83"/>
      <c r="AN111" s="83"/>
      <c r="AQ111" s="83"/>
      <c r="AR111" s="79"/>
      <c r="AS111" s="83"/>
      <c r="AT111" s="83"/>
      <c r="AW111" s="83"/>
      <c r="AX111" s="79"/>
      <c r="AY111" s="83"/>
      <c r="AZ111" s="83"/>
      <c r="BC111" s="83"/>
      <c r="BD111" s="79"/>
      <c r="BE111" s="83"/>
      <c r="BF111" s="83"/>
      <c r="BI111" s="83"/>
      <c r="BJ111" s="79"/>
      <c r="BK111" s="83"/>
      <c r="BL111" s="83"/>
      <c r="BO111" s="83"/>
      <c r="BP111" s="79"/>
      <c r="BQ111" s="83"/>
      <c r="BR111" s="83"/>
      <c r="BU111" s="83"/>
      <c r="BV111" s="79"/>
      <c r="BW111" s="83"/>
      <c r="BX111" s="83"/>
      <c r="CA111" s="83"/>
      <c r="CB111" s="79"/>
      <c r="CC111" s="83"/>
      <c r="CD111" s="83"/>
      <c r="CG111" s="83"/>
      <c r="CH111" s="79"/>
      <c r="CI111" s="83"/>
      <c r="CJ111" s="83"/>
      <c r="CM111" s="83"/>
      <c r="CN111" s="79"/>
      <c r="CO111" s="83"/>
      <c r="CP111" s="83"/>
      <c r="CS111" s="83"/>
      <c r="CT111" s="79"/>
      <c r="CU111" s="83"/>
      <c r="CV111" s="83"/>
      <c r="CY111" s="83"/>
      <c r="CZ111" s="79"/>
      <c r="DA111" s="83"/>
      <c r="DB111" s="83"/>
    </row>
    <row r="112" spans="2:106" x14ac:dyDescent="0.35">
      <c r="B112" s="85"/>
      <c r="S112" s="83"/>
      <c r="T112" s="79"/>
      <c r="U112" s="83"/>
      <c r="V112" s="83"/>
      <c r="Y112" s="83"/>
      <c r="Z112" s="79"/>
      <c r="AA112" s="83"/>
      <c r="AB112" s="83"/>
      <c r="AE112" s="83"/>
      <c r="AF112" s="79"/>
      <c r="AG112" s="83"/>
      <c r="AH112" s="83"/>
      <c r="AK112" s="83"/>
      <c r="AL112" s="79"/>
      <c r="AM112" s="83"/>
      <c r="AN112" s="83"/>
      <c r="AQ112" s="83"/>
      <c r="AR112" s="79"/>
      <c r="AS112" s="83"/>
      <c r="AT112" s="83"/>
      <c r="AW112" s="83"/>
      <c r="AX112" s="79"/>
      <c r="AY112" s="83"/>
      <c r="AZ112" s="83"/>
      <c r="BC112" s="83"/>
      <c r="BD112" s="79"/>
      <c r="BE112" s="83"/>
      <c r="BF112" s="83"/>
      <c r="BI112" s="83"/>
      <c r="BJ112" s="79"/>
      <c r="BK112" s="83"/>
      <c r="BL112" s="83"/>
      <c r="BO112" s="83"/>
      <c r="BP112" s="79"/>
      <c r="BQ112" s="83"/>
      <c r="BR112" s="83"/>
      <c r="BU112" s="83"/>
      <c r="BV112" s="79"/>
      <c r="BW112" s="83"/>
      <c r="BX112" s="83"/>
      <c r="CA112" s="83"/>
      <c r="CB112" s="79"/>
      <c r="CC112" s="83"/>
      <c r="CD112" s="83"/>
      <c r="CG112" s="83"/>
      <c r="CH112" s="79"/>
      <c r="CI112" s="83"/>
      <c r="CJ112" s="83"/>
      <c r="CM112" s="83"/>
      <c r="CN112" s="79"/>
      <c r="CO112" s="83"/>
      <c r="CP112" s="83"/>
      <c r="CS112" s="83"/>
      <c r="CT112" s="79"/>
      <c r="CU112" s="83"/>
      <c r="CV112" s="83"/>
      <c r="CY112" s="83"/>
      <c r="CZ112" s="79"/>
      <c r="DA112" s="83"/>
      <c r="DB112" s="83"/>
    </row>
    <row r="113" spans="2:106" x14ac:dyDescent="0.35">
      <c r="B113" s="85"/>
      <c r="S113" s="83"/>
      <c r="T113" s="79"/>
      <c r="U113" s="83"/>
      <c r="V113" s="83"/>
      <c r="Y113" s="83"/>
      <c r="Z113" s="79"/>
      <c r="AA113" s="83"/>
      <c r="AB113" s="83"/>
      <c r="AE113" s="83"/>
      <c r="AF113" s="79"/>
      <c r="AG113" s="83"/>
      <c r="AH113" s="83"/>
      <c r="AK113" s="83"/>
      <c r="AL113" s="79"/>
      <c r="AM113" s="83"/>
      <c r="AN113" s="83"/>
      <c r="AQ113" s="83"/>
      <c r="AR113" s="79"/>
      <c r="AS113" s="83"/>
      <c r="AT113" s="83"/>
      <c r="AW113" s="83"/>
      <c r="AX113" s="79"/>
      <c r="AY113" s="83"/>
      <c r="AZ113" s="83"/>
      <c r="BC113" s="83"/>
      <c r="BD113" s="79"/>
      <c r="BE113" s="83"/>
      <c r="BF113" s="83"/>
      <c r="BI113" s="83"/>
      <c r="BJ113" s="79"/>
      <c r="BK113" s="83"/>
      <c r="BL113" s="83"/>
      <c r="BO113" s="83"/>
      <c r="BP113" s="79"/>
      <c r="BQ113" s="83"/>
      <c r="BR113" s="83"/>
      <c r="BU113" s="83"/>
      <c r="BV113" s="79"/>
      <c r="BW113" s="83"/>
      <c r="BX113" s="83"/>
      <c r="CA113" s="83"/>
      <c r="CB113" s="79"/>
      <c r="CC113" s="83"/>
      <c r="CD113" s="83"/>
      <c r="CG113" s="83"/>
      <c r="CH113" s="79"/>
      <c r="CI113" s="83"/>
      <c r="CJ113" s="83"/>
      <c r="CM113" s="83"/>
      <c r="CN113" s="79"/>
      <c r="CO113" s="83"/>
      <c r="CP113" s="83"/>
      <c r="CS113" s="83"/>
      <c r="CT113" s="79"/>
      <c r="CU113" s="83"/>
      <c r="CV113" s="83"/>
      <c r="CY113" s="83"/>
      <c r="CZ113" s="79"/>
      <c r="DA113" s="83"/>
      <c r="DB113" s="83"/>
    </row>
    <row r="114" spans="2:106" x14ac:dyDescent="0.35">
      <c r="B114" s="85"/>
      <c r="S114" s="83"/>
      <c r="T114" s="79"/>
      <c r="U114" s="83"/>
      <c r="V114" s="83"/>
      <c r="Y114" s="83"/>
      <c r="Z114" s="79"/>
      <c r="AA114" s="83"/>
      <c r="AB114" s="83"/>
      <c r="AE114" s="83"/>
      <c r="AF114" s="79"/>
      <c r="AG114" s="83"/>
      <c r="AH114" s="83"/>
      <c r="AK114" s="83"/>
      <c r="AL114" s="79"/>
      <c r="AM114" s="83"/>
      <c r="AN114" s="83"/>
      <c r="AQ114" s="83"/>
      <c r="AR114" s="79"/>
      <c r="AS114" s="83"/>
      <c r="AT114" s="83"/>
      <c r="AW114" s="83"/>
      <c r="AX114" s="79"/>
      <c r="AY114" s="83"/>
      <c r="AZ114" s="83"/>
      <c r="BC114" s="83"/>
      <c r="BD114" s="79"/>
      <c r="BE114" s="83"/>
      <c r="BF114" s="83"/>
      <c r="BI114" s="83"/>
      <c r="BJ114" s="79"/>
      <c r="BK114" s="83"/>
      <c r="BL114" s="83"/>
      <c r="BO114" s="83"/>
      <c r="BP114" s="79"/>
      <c r="BQ114" s="83"/>
      <c r="BR114" s="83"/>
      <c r="BU114" s="83"/>
      <c r="BV114" s="79"/>
      <c r="BW114" s="83"/>
      <c r="BX114" s="83"/>
      <c r="CA114" s="83"/>
      <c r="CB114" s="79"/>
      <c r="CC114" s="83"/>
      <c r="CD114" s="83"/>
      <c r="CG114" s="83"/>
      <c r="CH114" s="79"/>
      <c r="CI114" s="83"/>
      <c r="CJ114" s="83"/>
      <c r="CM114" s="83"/>
      <c r="CN114" s="79"/>
      <c r="CO114" s="83"/>
      <c r="CP114" s="83"/>
      <c r="CS114" s="83"/>
      <c r="CT114" s="79"/>
      <c r="CU114" s="83"/>
      <c r="CV114" s="83"/>
      <c r="CY114" s="83"/>
      <c r="CZ114" s="79"/>
      <c r="DA114" s="83"/>
      <c r="DB114" s="83"/>
    </row>
    <row r="115" spans="2:106" x14ac:dyDescent="0.35">
      <c r="B115" s="85"/>
      <c r="S115" s="83"/>
      <c r="T115" s="79"/>
      <c r="U115" s="83"/>
      <c r="V115" s="83"/>
      <c r="Y115" s="83"/>
      <c r="Z115" s="79"/>
      <c r="AA115" s="83"/>
      <c r="AB115" s="83"/>
      <c r="AE115" s="83"/>
      <c r="AF115" s="79"/>
      <c r="AG115" s="83"/>
      <c r="AH115" s="83"/>
      <c r="AK115" s="83"/>
      <c r="AL115" s="79"/>
      <c r="AM115" s="83"/>
      <c r="AN115" s="83"/>
      <c r="AQ115" s="83"/>
      <c r="AR115" s="79"/>
      <c r="AS115" s="83"/>
      <c r="AT115" s="83"/>
      <c r="AW115" s="83"/>
      <c r="AX115" s="79"/>
      <c r="AY115" s="83"/>
      <c r="AZ115" s="83"/>
      <c r="BC115" s="83"/>
      <c r="BD115" s="79"/>
      <c r="BE115" s="83"/>
      <c r="BF115" s="83"/>
      <c r="BI115" s="83"/>
      <c r="BJ115" s="79"/>
      <c r="BK115" s="83"/>
      <c r="BL115" s="83"/>
      <c r="BO115" s="83"/>
      <c r="BP115" s="79"/>
      <c r="BQ115" s="83"/>
      <c r="BR115" s="83"/>
      <c r="BU115" s="83"/>
      <c r="BV115" s="79"/>
      <c r="BW115" s="83"/>
      <c r="BX115" s="83"/>
      <c r="CA115" s="83"/>
      <c r="CB115" s="79"/>
      <c r="CC115" s="83"/>
      <c r="CD115" s="83"/>
      <c r="CG115" s="83"/>
      <c r="CH115" s="79"/>
      <c r="CI115" s="83"/>
      <c r="CJ115" s="83"/>
      <c r="CM115" s="83"/>
      <c r="CN115" s="79"/>
      <c r="CO115" s="83"/>
      <c r="CP115" s="83"/>
      <c r="CS115" s="83"/>
      <c r="CT115" s="79"/>
      <c r="CU115" s="83"/>
      <c r="CV115" s="83"/>
      <c r="CY115" s="83"/>
      <c r="CZ115" s="79"/>
      <c r="DA115" s="83"/>
      <c r="DB115" s="83"/>
    </row>
    <row r="116" spans="2:106" x14ac:dyDescent="0.35">
      <c r="B116" s="85"/>
      <c r="S116" s="83"/>
      <c r="T116" s="79"/>
      <c r="U116" s="83"/>
      <c r="V116" s="83"/>
      <c r="Y116" s="83"/>
      <c r="Z116" s="79"/>
      <c r="AA116" s="83"/>
      <c r="AB116" s="83"/>
      <c r="AE116" s="83"/>
      <c r="AF116" s="79"/>
      <c r="AG116" s="83"/>
      <c r="AH116" s="83"/>
      <c r="AK116" s="83"/>
      <c r="AL116" s="79"/>
      <c r="AM116" s="83"/>
      <c r="AN116" s="83"/>
      <c r="AQ116" s="83"/>
      <c r="AR116" s="79"/>
      <c r="AS116" s="83"/>
      <c r="AT116" s="83"/>
      <c r="AW116" s="83"/>
      <c r="AX116" s="79"/>
      <c r="AY116" s="83"/>
      <c r="AZ116" s="83"/>
      <c r="BC116" s="83"/>
      <c r="BD116" s="79"/>
      <c r="BE116" s="83"/>
      <c r="BF116" s="83"/>
      <c r="BI116" s="83"/>
      <c r="BJ116" s="79"/>
      <c r="BK116" s="83"/>
      <c r="BL116" s="83"/>
      <c r="BO116" s="83"/>
      <c r="BP116" s="79"/>
      <c r="BQ116" s="83"/>
      <c r="BR116" s="83"/>
      <c r="BU116" s="83"/>
      <c r="BV116" s="79"/>
      <c r="BW116" s="83"/>
      <c r="BX116" s="83"/>
      <c r="CA116" s="83"/>
      <c r="CB116" s="79"/>
      <c r="CC116" s="83"/>
      <c r="CD116" s="83"/>
      <c r="CG116" s="83"/>
      <c r="CH116" s="79"/>
      <c r="CI116" s="83"/>
      <c r="CJ116" s="83"/>
      <c r="CM116" s="83"/>
      <c r="CN116" s="79"/>
      <c r="CO116" s="83"/>
      <c r="CP116" s="83"/>
      <c r="CS116" s="83"/>
      <c r="CT116" s="79"/>
      <c r="CU116" s="83"/>
      <c r="CV116" s="83"/>
      <c r="CY116" s="83"/>
      <c r="CZ116" s="79"/>
      <c r="DA116" s="83"/>
      <c r="DB116" s="83"/>
    </row>
    <row r="117" spans="2:106" x14ac:dyDescent="0.35">
      <c r="B117" s="85"/>
      <c r="S117" s="83"/>
      <c r="T117" s="79"/>
      <c r="U117" s="83"/>
      <c r="V117" s="83"/>
      <c r="Y117" s="83"/>
      <c r="Z117" s="79"/>
      <c r="AA117" s="83"/>
      <c r="AB117" s="83"/>
      <c r="AE117" s="83"/>
      <c r="AF117" s="79"/>
      <c r="AG117" s="83"/>
      <c r="AH117" s="83"/>
      <c r="AK117" s="83"/>
      <c r="AL117" s="79"/>
      <c r="AM117" s="83"/>
      <c r="AN117" s="83"/>
      <c r="AQ117" s="83"/>
      <c r="AR117" s="79"/>
      <c r="AS117" s="83"/>
      <c r="AT117" s="83"/>
      <c r="AW117" s="83"/>
      <c r="AX117" s="79"/>
      <c r="AY117" s="83"/>
      <c r="AZ117" s="83"/>
      <c r="BC117" s="83"/>
      <c r="BD117" s="79"/>
      <c r="BE117" s="83"/>
      <c r="BF117" s="83"/>
      <c r="BI117" s="83"/>
      <c r="BJ117" s="79"/>
      <c r="BK117" s="83"/>
      <c r="BL117" s="83"/>
      <c r="BO117" s="83"/>
      <c r="BP117" s="79"/>
      <c r="BQ117" s="83"/>
      <c r="BR117" s="83"/>
      <c r="BU117" s="83"/>
      <c r="BV117" s="79"/>
      <c r="BW117" s="83"/>
      <c r="BX117" s="83"/>
      <c r="CA117" s="83"/>
      <c r="CB117" s="79"/>
      <c r="CC117" s="83"/>
      <c r="CD117" s="83"/>
      <c r="CG117" s="83"/>
      <c r="CH117" s="79"/>
      <c r="CI117" s="83"/>
      <c r="CJ117" s="83"/>
      <c r="CM117" s="83"/>
      <c r="CN117" s="79"/>
      <c r="CO117" s="83"/>
      <c r="CP117" s="83"/>
      <c r="CS117" s="83"/>
      <c r="CT117" s="79"/>
      <c r="CU117" s="83"/>
      <c r="CV117" s="83"/>
      <c r="CY117" s="83"/>
      <c r="CZ117" s="79"/>
      <c r="DA117" s="83"/>
      <c r="DB117" s="83"/>
    </row>
    <row r="118" spans="2:106" x14ac:dyDescent="0.35">
      <c r="B118" s="85"/>
      <c r="S118" s="83"/>
      <c r="T118" s="79"/>
      <c r="U118" s="83"/>
      <c r="V118" s="83"/>
      <c r="Y118" s="83"/>
      <c r="Z118" s="79"/>
      <c r="AA118" s="83"/>
      <c r="AB118" s="83"/>
      <c r="AE118" s="83"/>
      <c r="AF118" s="79"/>
      <c r="AG118" s="83"/>
      <c r="AH118" s="83"/>
      <c r="AK118" s="83"/>
      <c r="AL118" s="79"/>
      <c r="AM118" s="83"/>
      <c r="AN118" s="83"/>
      <c r="AQ118" s="83"/>
      <c r="AR118" s="79"/>
      <c r="AS118" s="83"/>
      <c r="AT118" s="83"/>
      <c r="AW118" s="83"/>
      <c r="AX118" s="79"/>
      <c r="AY118" s="83"/>
      <c r="AZ118" s="83"/>
      <c r="BC118" s="83"/>
      <c r="BD118" s="79"/>
      <c r="BE118" s="83"/>
      <c r="BF118" s="83"/>
      <c r="BI118" s="83"/>
      <c r="BJ118" s="79"/>
      <c r="BK118" s="83"/>
      <c r="BL118" s="83"/>
      <c r="BO118" s="83"/>
      <c r="BP118" s="79"/>
      <c r="BQ118" s="83"/>
      <c r="BR118" s="83"/>
      <c r="BU118" s="83"/>
      <c r="BV118" s="79"/>
      <c r="BW118" s="83"/>
      <c r="BX118" s="83"/>
      <c r="CA118" s="83"/>
      <c r="CB118" s="79"/>
      <c r="CC118" s="83"/>
      <c r="CD118" s="83"/>
      <c r="CG118" s="83"/>
      <c r="CH118" s="79"/>
      <c r="CI118" s="83"/>
      <c r="CJ118" s="83"/>
      <c r="CM118" s="83"/>
      <c r="CN118" s="79"/>
      <c r="CO118" s="83"/>
      <c r="CP118" s="83"/>
      <c r="CS118" s="83"/>
      <c r="CT118" s="79"/>
      <c r="CU118" s="83"/>
      <c r="CV118" s="83"/>
      <c r="CY118" s="83"/>
      <c r="CZ118" s="79"/>
      <c r="DA118" s="83"/>
      <c r="DB118" s="83"/>
    </row>
    <row r="119" spans="2:106" x14ac:dyDescent="0.35">
      <c r="B119" s="85"/>
      <c r="S119" s="83"/>
      <c r="T119" s="79"/>
      <c r="U119" s="83"/>
      <c r="V119" s="83"/>
      <c r="Y119" s="83"/>
      <c r="Z119" s="79"/>
      <c r="AA119" s="83"/>
      <c r="AB119" s="83"/>
      <c r="AE119" s="83"/>
      <c r="AF119" s="79"/>
      <c r="AG119" s="83"/>
      <c r="AH119" s="83"/>
      <c r="AK119" s="83"/>
      <c r="AL119" s="79"/>
      <c r="AM119" s="83"/>
      <c r="AN119" s="83"/>
      <c r="AQ119" s="83"/>
      <c r="AR119" s="79"/>
      <c r="AS119" s="83"/>
      <c r="AT119" s="83"/>
      <c r="AW119" s="83"/>
      <c r="AX119" s="79"/>
      <c r="AY119" s="83"/>
      <c r="AZ119" s="83"/>
      <c r="BC119" s="83"/>
      <c r="BD119" s="79"/>
      <c r="BE119" s="83"/>
      <c r="BF119" s="83"/>
      <c r="BI119" s="83"/>
      <c r="BJ119" s="79"/>
      <c r="BK119" s="83"/>
      <c r="BL119" s="83"/>
      <c r="BO119" s="83"/>
      <c r="BP119" s="79"/>
      <c r="BQ119" s="83"/>
      <c r="BR119" s="83"/>
      <c r="BU119" s="83"/>
      <c r="BV119" s="79"/>
      <c r="BW119" s="83"/>
      <c r="BX119" s="83"/>
      <c r="CA119" s="83"/>
      <c r="CB119" s="79"/>
      <c r="CC119" s="83"/>
      <c r="CD119" s="83"/>
      <c r="CG119" s="83"/>
      <c r="CH119" s="79"/>
      <c r="CI119" s="83"/>
      <c r="CJ119" s="83"/>
      <c r="CM119" s="83"/>
      <c r="CN119" s="79"/>
      <c r="CO119" s="83"/>
      <c r="CP119" s="83"/>
      <c r="CS119" s="83"/>
      <c r="CT119" s="79"/>
      <c r="CU119" s="83"/>
      <c r="CV119" s="83"/>
      <c r="CY119" s="83"/>
      <c r="CZ119" s="79"/>
      <c r="DA119" s="83"/>
      <c r="DB119" s="83"/>
    </row>
    <row r="120" spans="2:106" x14ac:dyDescent="0.35">
      <c r="B120" s="85"/>
      <c r="S120" s="83"/>
      <c r="T120" s="79"/>
      <c r="U120" s="83"/>
      <c r="V120" s="83"/>
      <c r="Y120" s="83"/>
      <c r="Z120" s="79"/>
      <c r="AA120" s="83"/>
      <c r="AB120" s="83"/>
      <c r="AE120" s="83"/>
      <c r="AF120" s="79"/>
      <c r="AG120" s="83"/>
      <c r="AH120" s="83"/>
      <c r="AK120" s="83"/>
      <c r="AL120" s="79"/>
      <c r="AM120" s="83"/>
      <c r="AN120" s="83"/>
      <c r="AQ120" s="83"/>
      <c r="AR120" s="79"/>
      <c r="AS120" s="83"/>
      <c r="AT120" s="83"/>
      <c r="AW120" s="83"/>
      <c r="AX120" s="79"/>
      <c r="AY120" s="83"/>
      <c r="AZ120" s="83"/>
      <c r="BC120" s="83"/>
      <c r="BD120" s="79"/>
      <c r="BE120" s="83"/>
      <c r="BF120" s="83"/>
      <c r="BI120" s="83"/>
      <c r="BJ120" s="79"/>
      <c r="BK120" s="83"/>
      <c r="BL120" s="83"/>
      <c r="BO120" s="83"/>
      <c r="BP120" s="79"/>
      <c r="BQ120" s="83"/>
      <c r="BR120" s="83"/>
      <c r="BU120" s="83"/>
      <c r="BV120" s="79"/>
      <c r="BW120" s="83"/>
      <c r="BX120" s="83"/>
      <c r="CA120" s="83"/>
      <c r="CB120" s="79"/>
      <c r="CC120" s="83"/>
      <c r="CD120" s="83"/>
      <c r="CG120" s="83"/>
      <c r="CH120" s="79"/>
      <c r="CI120" s="83"/>
      <c r="CJ120" s="83"/>
      <c r="CM120" s="83"/>
      <c r="CN120" s="79"/>
      <c r="CO120" s="83"/>
      <c r="CP120" s="83"/>
      <c r="CS120" s="83"/>
      <c r="CT120" s="79"/>
      <c r="CU120" s="83"/>
      <c r="CV120" s="83"/>
      <c r="CY120" s="83"/>
      <c r="CZ120" s="79"/>
      <c r="DA120" s="83"/>
      <c r="DB120" s="83"/>
    </row>
    <row r="121" spans="2:106" x14ac:dyDescent="0.35">
      <c r="B121" s="85"/>
      <c r="S121" s="83"/>
      <c r="T121" s="79"/>
      <c r="U121" s="83"/>
      <c r="V121" s="83"/>
      <c r="Y121" s="83"/>
      <c r="Z121" s="79"/>
      <c r="AA121" s="83"/>
      <c r="AB121" s="83"/>
      <c r="AE121" s="83"/>
      <c r="AF121" s="79"/>
      <c r="AG121" s="83"/>
      <c r="AH121" s="83"/>
      <c r="AK121" s="83"/>
      <c r="AL121" s="79"/>
      <c r="AM121" s="83"/>
      <c r="AN121" s="83"/>
      <c r="AQ121" s="83"/>
      <c r="AR121" s="79"/>
      <c r="AS121" s="83"/>
      <c r="AT121" s="83"/>
      <c r="AW121" s="83"/>
      <c r="AX121" s="79"/>
      <c r="AY121" s="83"/>
      <c r="AZ121" s="83"/>
      <c r="BC121" s="83"/>
      <c r="BD121" s="79"/>
      <c r="BE121" s="83"/>
      <c r="BF121" s="83"/>
      <c r="BI121" s="83"/>
      <c r="BJ121" s="79"/>
      <c r="BK121" s="83"/>
      <c r="BL121" s="83"/>
      <c r="BO121" s="83"/>
      <c r="BP121" s="79"/>
      <c r="BQ121" s="83"/>
      <c r="BR121" s="83"/>
      <c r="BU121" s="83"/>
      <c r="BV121" s="79"/>
      <c r="BW121" s="83"/>
      <c r="BX121" s="83"/>
      <c r="CA121" s="83"/>
      <c r="CB121" s="79"/>
      <c r="CC121" s="83"/>
      <c r="CD121" s="83"/>
      <c r="CG121" s="83"/>
      <c r="CH121" s="79"/>
      <c r="CI121" s="83"/>
      <c r="CJ121" s="83"/>
      <c r="CM121" s="83"/>
      <c r="CN121" s="79"/>
      <c r="CO121" s="83"/>
      <c r="CP121" s="83"/>
      <c r="CS121" s="83"/>
      <c r="CT121" s="79"/>
      <c r="CU121" s="83"/>
      <c r="CV121" s="83"/>
      <c r="CY121" s="83"/>
      <c r="CZ121" s="79"/>
      <c r="DA121" s="83"/>
      <c r="DB121" s="83"/>
    </row>
    <row r="122" spans="2:106" x14ac:dyDescent="0.35">
      <c r="B122" s="85"/>
      <c r="S122" s="83"/>
      <c r="T122" s="79"/>
      <c r="U122" s="83"/>
      <c r="V122" s="83"/>
      <c r="Y122" s="83"/>
      <c r="Z122" s="79"/>
      <c r="AA122" s="83"/>
      <c r="AB122" s="83"/>
      <c r="AE122" s="83"/>
      <c r="AF122" s="79"/>
      <c r="AG122" s="83"/>
      <c r="AH122" s="83"/>
      <c r="AK122" s="83"/>
      <c r="AL122" s="79"/>
      <c r="AM122" s="83"/>
      <c r="AN122" s="83"/>
      <c r="AQ122" s="83"/>
      <c r="AR122" s="79"/>
      <c r="AS122" s="83"/>
      <c r="AT122" s="83"/>
      <c r="AW122" s="83"/>
      <c r="AX122" s="79"/>
      <c r="AY122" s="83"/>
      <c r="AZ122" s="83"/>
      <c r="BC122" s="83"/>
      <c r="BD122" s="79"/>
      <c r="BE122" s="83"/>
      <c r="BF122" s="83"/>
      <c r="BI122" s="83"/>
      <c r="BJ122" s="79"/>
      <c r="BK122" s="83"/>
      <c r="BL122" s="83"/>
      <c r="BO122" s="83"/>
      <c r="BP122" s="79"/>
      <c r="BQ122" s="83"/>
      <c r="BR122" s="83"/>
      <c r="BU122" s="83"/>
      <c r="BV122" s="79"/>
      <c r="BW122" s="83"/>
      <c r="BX122" s="83"/>
      <c r="CA122" s="83"/>
      <c r="CB122" s="79"/>
      <c r="CC122" s="83"/>
      <c r="CD122" s="83"/>
      <c r="CG122" s="83"/>
      <c r="CH122" s="79"/>
      <c r="CI122" s="83"/>
      <c r="CJ122" s="83"/>
      <c r="CM122" s="83"/>
      <c r="CN122" s="79"/>
      <c r="CO122" s="83"/>
      <c r="CP122" s="83"/>
      <c r="CS122" s="83"/>
      <c r="CT122" s="79"/>
      <c r="CU122" s="83"/>
      <c r="CV122" s="83"/>
      <c r="CY122" s="83"/>
      <c r="CZ122" s="79"/>
      <c r="DA122" s="83"/>
      <c r="DB122" s="83"/>
    </row>
    <row r="123" spans="2:106" x14ac:dyDescent="0.35">
      <c r="B123" s="85"/>
      <c r="S123" s="83"/>
      <c r="T123" s="79"/>
      <c r="U123" s="83"/>
      <c r="V123" s="83"/>
      <c r="Y123" s="83"/>
      <c r="Z123" s="79"/>
      <c r="AA123" s="83"/>
      <c r="AB123" s="83"/>
      <c r="AE123" s="83"/>
      <c r="AF123" s="79"/>
      <c r="AG123" s="83"/>
      <c r="AH123" s="83"/>
      <c r="AK123" s="83"/>
      <c r="AL123" s="79"/>
      <c r="AM123" s="83"/>
      <c r="AN123" s="83"/>
      <c r="AQ123" s="83"/>
      <c r="AR123" s="79"/>
      <c r="AS123" s="83"/>
      <c r="AT123" s="83"/>
      <c r="AW123" s="83"/>
      <c r="AX123" s="79"/>
      <c r="AY123" s="83"/>
      <c r="AZ123" s="83"/>
      <c r="BC123" s="83"/>
      <c r="BD123" s="79"/>
      <c r="BE123" s="83"/>
      <c r="BF123" s="83"/>
      <c r="BI123" s="83"/>
      <c r="BJ123" s="79"/>
      <c r="BK123" s="83"/>
      <c r="BL123" s="83"/>
      <c r="BO123" s="83"/>
      <c r="BP123" s="79"/>
      <c r="BQ123" s="83"/>
      <c r="BR123" s="83"/>
      <c r="BU123" s="83"/>
      <c r="BV123" s="79"/>
      <c r="BW123" s="83"/>
      <c r="BX123" s="83"/>
      <c r="CA123" s="83"/>
      <c r="CB123" s="79"/>
      <c r="CC123" s="83"/>
      <c r="CD123" s="83"/>
      <c r="CG123" s="83"/>
      <c r="CH123" s="79"/>
      <c r="CI123" s="83"/>
      <c r="CJ123" s="83"/>
      <c r="CM123" s="83"/>
      <c r="CN123" s="79"/>
      <c r="CO123" s="83"/>
      <c r="CP123" s="83"/>
      <c r="CS123" s="83"/>
      <c r="CT123" s="79"/>
      <c r="CU123" s="83"/>
      <c r="CV123" s="83"/>
      <c r="CY123" s="83"/>
      <c r="CZ123" s="79"/>
      <c r="DA123" s="83"/>
      <c r="DB123" s="83"/>
    </row>
    <row r="124" spans="2:106" x14ac:dyDescent="0.35">
      <c r="B124" s="85"/>
      <c r="S124" s="83"/>
      <c r="T124" s="79"/>
      <c r="U124" s="83"/>
      <c r="V124" s="83"/>
      <c r="Y124" s="83"/>
      <c r="Z124" s="79"/>
      <c r="AA124" s="83"/>
      <c r="AB124" s="83"/>
      <c r="AE124" s="83"/>
      <c r="AF124" s="79"/>
      <c r="AG124" s="83"/>
      <c r="AH124" s="83"/>
      <c r="AK124" s="83"/>
      <c r="AL124" s="79"/>
      <c r="AM124" s="83"/>
      <c r="AN124" s="83"/>
      <c r="AQ124" s="83"/>
      <c r="AR124" s="79"/>
      <c r="AS124" s="83"/>
      <c r="AT124" s="83"/>
      <c r="AW124" s="83"/>
      <c r="AX124" s="79"/>
      <c r="AY124" s="83"/>
      <c r="AZ124" s="83"/>
      <c r="BC124" s="83"/>
      <c r="BD124" s="79"/>
      <c r="BE124" s="83"/>
      <c r="BF124" s="83"/>
      <c r="BI124" s="83"/>
      <c r="BJ124" s="79"/>
      <c r="BK124" s="83"/>
      <c r="BL124" s="83"/>
      <c r="BO124" s="83"/>
      <c r="BP124" s="79"/>
      <c r="BQ124" s="83"/>
      <c r="BR124" s="83"/>
      <c r="BU124" s="83"/>
      <c r="BV124" s="79"/>
      <c r="BW124" s="83"/>
      <c r="BX124" s="83"/>
      <c r="CA124" s="83"/>
      <c r="CB124" s="79"/>
      <c r="CC124" s="83"/>
      <c r="CD124" s="83"/>
      <c r="CG124" s="83"/>
      <c r="CH124" s="79"/>
      <c r="CI124" s="83"/>
      <c r="CJ124" s="83"/>
      <c r="CM124" s="83"/>
      <c r="CN124" s="79"/>
      <c r="CO124" s="83"/>
      <c r="CP124" s="83"/>
      <c r="CS124" s="83"/>
      <c r="CT124" s="79"/>
      <c r="CU124" s="83"/>
      <c r="CV124" s="83"/>
      <c r="CY124" s="83"/>
      <c r="CZ124" s="79"/>
      <c r="DA124" s="83"/>
      <c r="DB124" s="83"/>
    </row>
    <row r="125" spans="2:106" x14ac:dyDescent="0.35">
      <c r="B125" s="85"/>
    </row>
    <row r="126" spans="2:106" x14ac:dyDescent="0.35">
      <c r="B126" s="85"/>
    </row>
    <row r="127" spans="2:106" x14ac:dyDescent="0.35">
      <c r="B127" s="85"/>
    </row>
    <row r="128" spans="2:106" x14ac:dyDescent="0.35">
      <c r="B128" s="85"/>
    </row>
    <row r="129" spans="2:2" x14ac:dyDescent="0.35">
      <c r="B129" s="85"/>
    </row>
    <row r="130" spans="2:2" x14ac:dyDescent="0.35">
      <c r="B130" s="85"/>
    </row>
    <row r="131" spans="2:2" x14ac:dyDescent="0.35">
      <c r="B131" s="85"/>
    </row>
    <row r="132" spans="2:2" x14ac:dyDescent="0.35">
      <c r="B132" s="85"/>
    </row>
    <row r="133" spans="2:2" x14ac:dyDescent="0.35">
      <c r="B133" s="85"/>
    </row>
    <row r="134" spans="2:2" x14ac:dyDescent="0.35">
      <c r="B134" s="85"/>
    </row>
    <row r="135" spans="2:2" x14ac:dyDescent="0.35">
      <c r="B135" s="85"/>
    </row>
    <row r="136" spans="2:2" x14ac:dyDescent="0.35">
      <c r="B136" s="85"/>
    </row>
    <row r="137" spans="2:2" x14ac:dyDescent="0.35">
      <c r="B137" s="85"/>
    </row>
    <row r="138" spans="2:2" x14ac:dyDescent="0.35">
      <c r="B138" s="85"/>
    </row>
    <row r="139" spans="2:2" x14ac:dyDescent="0.35">
      <c r="B139" s="85"/>
    </row>
    <row r="140" spans="2:2" x14ac:dyDescent="0.35">
      <c r="B140" s="85"/>
    </row>
  </sheetData>
  <mergeCells count="679">
    <mergeCell ref="CW56:DB56"/>
    <mergeCell ref="AI56:AN56"/>
    <mergeCell ref="AO56:AT56"/>
    <mergeCell ref="AU56:AZ56"/>
    <mergeCell ref="BA56:BF56"/>
    <mergeCell ref="BG56:BL56"/>
    <mergeCell ref="BM56:BR56"/>
    <mergeCell ref="CK57:CP57"/>
    <mergeCell ref="CQ57:CV57"/>
    <mergeCell ref="CW57:DB57"/>
    <mergeCell ref="E57:J57"/>
    <mergeCell ref="K57:P57"/>
    <mergeCell ref="Q57:V57"/>
    <mergeCell ref="W57:AB57"/>
    <mergeCell ref="AC57:AH57"/>
    <mergeCell ref="AI57:AN57"/>
    <mergeCell ref="BS56:BX56"/>
    <mergeCell ref="BY56:CD56"/>
    <mergeCell ref="CE56:CJ56"/>
    <mergeCell ref="BY57:CD57"/>
    <mergeCell ref="CE57:CJ57"/>
    <mergeCell ref="AO57:AT57"/>
    <mergeCell ref="AU57:AZ57"/>
    <mergeCell ref="BA57:BF57"/>
    <mergeCell ref="BG57:BL57"/>
    <mergeCell ref="BM57:BR57"/>
    <mergeCell ref="BS57:BX57"/>
    <mergeCell ref="BY55:CD55"/>
    <mergeCell ref="CE55:CJ55"/>
    <mergeCell ref="CK55:CP55"/>
    <mergeCell ref="CQ55:CV55"/>
    <mergeCell ref="CW55:DB55"/>
    <mergeCell ref="E56:J56"/>
    <mergeCell ref="K56:P56"/>
    <mergeCell ref="Q56:V56"/>
    <mergeCell ref="W56:AB56"/>
    <mergeCell ref="AC56:AH56"/>
    <mergeCell ref="AO55:AT55"/>
    <mergeCell ref="AU55:AZ55"/>
    <mergeCell ref="BA55:BF55"/>
    <mergeCell ref="BG55:BL55"/>
    <mergeCell ref="BM55:BR55"/>
    <mergeCell ref="BS55:BX55"/>
    <mergeCell ref="E55:J55"/>
    <mergeCell ref="K55:P55"/>
    <mergeCell ref="Q55:V55"/>
    <mergeCell ref="W55:AB55"/>
    <mergeCell ref="AC55:AH55"/>
    <mergeCell ref="AI55:AN55"/>
    <mergeCell ref="CK56:CP56"/>
    <mergeCell ref="CQ56:CV56"/>
    <mergeCell ref="CE54:CJ54"/>
    <mergeCell ref="CK54:CP54"/>
    <mergeCell ref="CQ54:CV54"/>
    <mergeCell ref="CW54:DB54"/>
    <mergeCell ref="AI54:AN54"/>
    <mergeCell ref="AO54:AT54"/>
    <mergeCell ref="AU54:AZ54"/>
    <mergeCell ref="BA54:BF54"/>
    <mergeCell ref="BG54:BL54"/>
    <mergeCell ref="BM54:BR54"/>
    <mergeCell ref="BY52:CD52"/>
    <mergeCell ref="CE52:CJ52"/>
    <mergeCell ref="CK52:CP52"/>
    <mergeCell ref="CQ52:CV52"/>
    <mergeCell ref="CW52:DB52"/>
    <mergeCell ref="E54:J54"/>
    <mergeCell ref="K54:P54"/>
    <mergeCell ref="Q54:V54"/>
    <mergeCell ref="W54:AB54"/>
    <mergeCell ref="AC54:AH54"/>
    <mergeCell ref="AO52:AT52"/>
    <mergeCell ref="AU52:AZ52"/>
    <mergeCell ref="BA52:BF52"/>
    <mergeCell ref="BG52:BL52"/>
    <mergeCell ref="BM52:BR52"/>
    <mergeCell ref="BS52:BX52"/>
    <mergeCell ref="E52:J52"/>
    <mergeCell ref="K52:P52"/>
    <mergeCell ref="Q52:V52"/>
    <mergeCell ref="W52:AB52"/>
    <mergeCell ref="AC52:AH52"/>
    <mergeCell ref="AI52:AN52"/>
    <mergeCell ref="BS54:BX54"/>
    <mergeCell ref="BY54:CD54"/>
    <mergeCell ref="BS51:BX51"/>
    <mergeCell ref="BY51:CD51"/>
    <mergeCell ref="CE51:CJ51"/>
    <mergeCell ref="CK51:CP51"/>
    <mergeCell ref="CQ51:CV51"/>
    <mergeCell ref="CW51:DB51"/>
    <mergeCell ref="AI51:AN51"/>
    <mergeCell ref="AO51:AT51"/>
    <mergeCell ref="AU51:AZ51"/>
    <mergeCell ref="BA51:BF51"/>
    <mergeCell ref="BG51:BL51"/>
    <mergeCell ref="BM51:BR51"/>
    <mergeCell ref="E51:J51"/>
    <mergeCell ref="K51:P51"/>
    <mergeCell ref="Q51:V51"/>
    <mergeCell ref="W51:AB51"/>
    <mergeCell ref="AC51:AH51"/>
    <mergeCell ref="AO49:AT49"/>
    <mergeCell ref="AU49:AZ49"/>
    <mergeCell ref="BA49:BF49"/>
    <mergeCell ref="BG49:BL49"/>
    <mergeCell ref="E49:J49"/>
    <mergeCell ref="K49:P49"/>
    <mergeCell ref="Q49:V49"/>
    <mergeCell ref="W49:AB49"/>
    <mergeCell ref="AC49:AH49"/>
    <mergeCell ref="AI49:AN49"/>
    <mergeCell ref="AU48:AZ48"/>
    <mergeCell ref="BA48:BF48"/>
    <mergeCell ref="BG48:BL48"/>
    <mergeCell ref="BM48:BR48"/>
    <mergeCell ref="BY49:CD49"/>
    <mergeCell ref="CE49:CJ49"/>
    <mergeCell ref="CK49:CP49"/>
    <mergeCell ref="CQ49:CV49"/>
    <mergeCell ref="CW49:DB49"/>
    <mergeCell ref="BM49:BR49"/>
    <mergeCell ref="BS49:BX49"/>
    <mergeCell ref="BY46:CD46"/>
    <mergeCell ref="CE46:CJ46"/>
    <mergeCell ref="CK46:CP46"/>
    <mergeCell ref="CQ46:CV46"/>
    <mergeCell ref="CW46:DB46"/>
    <mergeCell ref="E48:J48"/>
    <mergeCell ref="K48:P48"/>
    <mergeCell ref="Q48:V48"/>
    <mergeCell ref="W48:AB48"/>
    <mergeCell ref="AC48:AH48"/>
    <mergeCell ref="AO46:AT46"/>
    <mergeCell ref="AU46:AZ46"/>
    <mergeCell ref="BA46:BF46"/>
    <mergeCell ref="BG46:BL46"/>
    <mergeCell ref="BM46:BR46"/>
    <mergeCell ref="BS46:BX46"/>
    <mergeCell ref="BS48:BX48"/>
    <mergeCell ref="BY48:CD48"/>
    <mergeCell ref="CE48:CJ48"/>
    <mergeCell ref="CK48:CP48"/>
    <mergeCell ref="CQ48:CV48"/>
    <mergeCell ref="CW48:DB48"/>
    <mergeCell ref="AI48:AN48"/>
    <mergeCell ref="AO48:AT48"/>
    <mergeCell ref="C46:D46"/>
    <mergeCell ref="E46:J46"/>
    <mergeCell ref="K46:P46"/>
    <mergeCell ref="Q46:V46"/>
    <mergeCell ref="W46:AB46"/>
    <mergeCell ref="AC46:AH46"/>
    <mergeCell ref="AI46:AN46"/>
    <mergeCell ref="BA45:BF45"/>
    <mergeCell ref="BG45:BL45"/>
    <mergeCell ref="CW44:DB44"/>
    <mergeCell ref="E45:J45"/>
    <mergeCell ref="K45:P45"/>
    <mergeCell ref="Q45:V45"/>
    <mergeCell ref="W45:AB45"/>
    <mergeCell ref="AC45:AH45"/>
    <mergeCell ref="AI45:AN45"/>
    <mergeCell ref="AO45:AT45"/>
    <mergeCell ref="AU45:AZ45"/>
    <mergeCell ref="BG44:BL44"/>
    <mergeCell ref="BM44:BR44"/>
    <mergeCell ref="BS44:BX44"/>
    <mergeCell ref="BY44:CD44"/>
    <mergeCell ref="CE44:CJ44"/>
    <mergeCell ref="CK44:CP44"/>
    <mergeCell ref="CK45:CP45"/>
    <mergeCell ref="CQ45:CV45"/>
    <mergeCell ref="CW45:DB45"/>
    <mergeCell ref="BM45:BR45"/>
    <mergeCell ref="BS45:BX45"/>
    <mergeCell ref="BY45:CD45"/>
    <mergeCell ref="CE45:CJ45"/>
    <mergeCell ref="E44:J44"/>
    <mergeCell ref="K44:P44"/>
    <mergeCell ref="CK43:CP43"/>
    <mergeCell ref="CQ43:CV43"/>
    <mergeCell ref="AC43:AH43"/>
    <mergeCell ref="AI43:AN43"/>
    <mergeCell ref="AO43:AT43"/>
    <mergeCell ref="AU43:AZ43"/>
    <mergeCell ref="BA43:BF43"/>
    <mergeCell ref="BG43:BL43"/>
    <mergeCell ref="CQ44:CV44"/>
    <mergeCell ref="Q44:V44"/>
    <mergeCell ref="W44:AB44"/>
    <mergeCell ref="AC44:AH44"/>
    <mergeCell ref="AI44:AN44"/>
    <mergeCell ref="AO44:AT44"/>
    <mergeCell ref="AU44:AZ44"/>
    <mergeCell ref="BA44:BF44"/>
    <mergeCell ref="BY42:CD42"/>
    <mergeCell ref="BS43:BX43"/>
    <mergeCell ref="BY43:CD43"/>
    <mergeCell ref="CE42:CJ42"/>
    <mergeCell ref="CK42:CP42"/>
    <mergeCell ref="CQ42:CV42"/>
    <mergeCell ref="CW42:DB42"/>
    <mergeCell ref="C43:D43"/>
    <mergeCell ref="E43:J43"/>
    <mergeCell ref="K43:P43"/>
    <mergeCell ref="Q43:V43"/>
    <mergeCell ref="W43:AB43"/>
    <mergeCell ref="AO42:AT42"/>
    <mergeCell ref="AU42:AZ42"/>
    <mergeCell ref="BA42:BF42"/>
    <mergeCell ref="BG42:BL42"/>
    <mergeCell ref="BM42:BR42"/>
    <mergeCell ref="BS42:BX42"/>
    <mergeCell ref="E42:J42"/>
    <mergeCell ref="K42:P42"/>
    <mergeCell ref="Q42:V42"/>
    <mergeCell ref="W42:AB42"/>
    <mergeCell ref="AC42:AH42"/>
    <mergeCell ref="AI42:AN42"/>
    <mergeCell ref="CW43:DB43"/>
    <mergeCell ref="BM43:BR43"/>
    <mergeCell ref="CE43:CJ43"/>
    <mergeCell ref="CE40:CJ40"/>
    <mergeCell ref="CK40:CP40"/>
    <mergeCell ref="CQ40:CV40"/>
    <mergeCell ref="CW40:DB40"/>
    <mergeCell ref="AI40:AN40"/>
    <mergeCell ref="AO40:AT40"/>
    <mergeCell ref="AU40:AZ40"/>
    <mergeCell ref="BA40:BF40"/>
    <mergeCell ref="BG40:BL40"/>
    <mergeCell ref="BM40:BR40"/>
    <mergeCell ref="BY39:CD39"/>
    <mergeCell ref="CE39:CJ39"/>
    <mergeCell ref="CK39:CP39"/>
    <mergeCell ref="CQ39:CV39"/>
    <mergeCell ref="CW39:DB39"/>
    <mergeCell ref="E40:J40"/>
    <mergeCell ref="K40:P40"/>
    <mergeCell ref="Q40:V40"/>
    <mergeCell ref="W40:AB40"/>
    <mergeCell ref="AC40:AH40"/>
    <mergeCell ref="AO39:AT39"/>
    <mergeCell ref="AU39:AZ39"/>
    <mergeCell ref="BA39:BF39"/>
    <mergeCell ref="BG39:BL39"/>
    <mergeCell ref="BM39:BR39"/>
    <mergeCell ref="BS39:BX39"/>
    <mergeCell ref="E39:J39"/>
    <mergeCell ref="K39:P39"/>
    <mergeCell ref="Q39:V39"/>
    <mergeCell ref="W39:AB39"/>
    <mergeCell ref="AC39:AH39"/>
    <mergeCell ref="AI39:AN39"/>
    <mergeCell ref="BS40:BX40"/>
    <mergeCell ref="BY40:CD40"/>
    <mergeCell ref="CE38:CJ38"/>
    <mergeCell ref="CK38:CP38"/>
    <mergeCell ref="CQ38:CV38"/>
    <mergeCell ref="CW38:DB38"/>
    <mergeCell ref="AI38:AN38"/>
    <mergeCell ref="AO38:AT38"/>
    <mergeCell ref="AU38:AZ38"/>
    <mergeCell ref="BA38:BF38"/>
    <mergeCell ref="BG38:BL38"/>
    <mergeCell ref="BM38:BR38"/>
    <mergeCell ref="BY37:CD37"/>
    <mergeCell ref="CE37:CJ37"/>
    <mergeCell ref="CK37:CP37"/>
    <mergeCell ref="CQ37:CV37"/>
    <mergeCell ref="CW37:DB37"/>
    <mergeCell ref="E38:J38"/>
    <mergeCell ref="K38:P38"/>
    <mergeCell ref="Q38:V38"/>
    <mergeCell ref="W38:AB38"/>
    <mergeCell ref="AC38:AH38"/>
    <mergeCell ref="AO37:AT37"/>
    <mergeCell ref="AU37:AZ37"/>
    <mergeCell ref="BA37:BF37"/>
    <mergeCell ref="BG37:BL37"/>
    <mergeCell ref="BM37:BR37"/>
    <mergeCell ref="BS37:BX37"/>
    <mergeCell ref="E37:J37"/>
    <mergeCell ref="K37:P37"/>
    <mergeCell ref="Q37:V37"/>
    <mergeCell ref="W37:AB37"/>
    <mergeCell ref="AC37:AH37"/>
    <mergeCell ref="AI37:AN37"/>
    <mergeCell ref="BS38:BX38"/>
    <mergeCell ref="BY38:CD38"/>
    <mergeCell ref="CE35:CJ35"/>
    <mergeCell ref="CK35:CP35"/>
    <mergeCell ref="CQ35:CV35"/>
    <mergeCell ref="CW35:DB35"/>
    <mergeCell ref="AI35:AN35"/>
    <mergeCell ref="AO35:AT35"/>
    <mergeCell ref="AU35:AZ35"/>
    <mergeCell ref="BA35:BF35"/>
    <mergeCell ref="BG35:BL35"/>
    <mergeCell ref="BM35:BR35"/>
    <mergeCell ref="BY34:CD34"/>
    <mergeCell ref="CE34:CJ34"/>
    <mergeCell ref="CK34:CP34"/>
    <mergeCell ref="CQ34:CV34"/>
    <mergeCell ref="CW34:DB34"/>
    <mergeCell ref="E35:J35"/>
    <mergeCell ref="K35:P35"/>
    <mergeCell ref="Q35:V35"/>
    <mergeCell ref="W35:AB35"/>
    <mergeCell ref="AC35:AH35"/>
    <mergeCell ref="AO34:AT34"/>
    <mergeCell ref="AU34:AZ34"/>
    <mergeCell ref="BA34:BF34"/>
    <mergeCell ref="BG34:BL34"/>
    <mergeCell ref="BM34:BR34"/>
    <mergeCell ref="BS34:BX34"/>
    <mergeCell ref="E34:J34"/>
    <mergeCell ref="K34:P34"/>
    <mergeCell ref="Q34:V34"/>
    <mergeCell ref="W34:AB34"/>
    <mergeCell ref="AC34:AH34"/>
    <mergeCell ref="AI34:AN34"/>
    <mergeCell ref="BS35:BX35"/>
    <mergeCell ref="BY35:CD35"/>
    <mergeCell ref="BS33:BX33"/>
    <mergeCell ref="BY33:CD33"/>
    <mergeCell ref="CE33:CJ33"/>
    <mergeCell ref="CK33:CP33"/>
    <mergeCell ref="CQ33:CV33"/>
    <mergeCell ref="CW33:DB33"/>
    <mergeCell ref="AI33:AN33"/>
    <mergeCell ref="AO33:AT33"/>
    <mergeCell ref="AU33:AZ33"/>
    <mergeCell ref="BA33:BF33"/>
    <mergeCell ref="BG33:BL33"/>
    <mergeCell ref="BM33:BR33"/>
    <mergeCell ref="E33:J33"/>
    <mergeCell ref="K33:P33"/>
    <mergeCell ref="Q33:V33"/>
    <mergeCell ref="W33:AB33"/>
    <mergeCell ref="AC33:AH33"/>
    <mergeCell ref="AO31:AT31"/>
    <mergeCell ref="AU31:AZ31"/>
    <mergeCell ref="BA31:BF31"/>
    <mergeCell ref="BG31:BL31"/>
    <mergeCell ref="E31:J31"/>
    <mergeCell ref="K31:P31"/>
    <mergeCell ref="Q31:V31"/>
    <mergeCell ref="W31:AB31"/>
    <mergeCell ref="AC31:AH31"/>
    <mergeCell ref="AI31:AN31"/>
    <mergeCell ref="AU30:AZ30"/>
    <mergeCell ref="BA30:BF30"/>
    <mergeCell ref="BG30:BL30"/>
    <mergeCell ref="BM30:BR30"/>
    <mergeCell ref="BY31:CD31"/>
    <mergeCell ref="CE31:CJ31"/>
    <mergeCell ref="CK31:CP31"/>
    <mergeCell ref="CQ31:CV31"/>
    <mergeCell ref="CW31:DB31"/>
    <mergeCell ref="BM31:BR31"/>
    <mergeCell ref="BS31:BX31"/>
    <mergeCell ref="BY29:CD29"/>
    <mergeCell ref="CE29:CJ29"/>
    <mergeCell ref="CK29:CP29"/>
    <mergeCell ref="CQ29:CV29"/>
    <mergeCell ref="CW29:DB29"/>
    <mergeCell ref="E30:J30"/>
    <mergeCell ref="K30:P30"/>
    <mergeCell ref="Q30:V30"/>
    <mergeCell ref="W30:AB30"/>
    <mergeCell ref="AC30:AH30"/>
    <mergeCell ref="AO29:AT29"/>
    <mergeCell ref="AU29:AZ29"/>
    <mergeCell ref="BA29:BF29"/>
    <mergeCell ref="BG29:BL29"/>
    <mergeCell ref="BM29:BR29"/>
    <mergeCell ref="BS29:BX29"/>
    <mergeCell ref="BS30:BX30"/>
    <mergeCell ref="BY30:CD30"/>
    <mergeCell ref="CE30:CJ30"/>
    <mergeCell ref="CK30:CP30"/>
    <mergeCell ref="CQ30:CV30"/>
    <mergeCell ref="CW30:DB30"/>
    <mergeCell ref="AI30:AN30"/>
    <mergeCell ref="AO30:AT30"/>
    <mergeCell ref="E29:J29"/>
    <mergeCell ref="K29:P29"/>
    <mergeCell ref="Q29:V29"/>
    <mergeCell ref="W29:AB29"/>
    <mergeCell ref="AC29:AH29"/>
    <mergeCell ref="AI29:AN29"/>
    <mergeCell ref="AU28:AZ28"/>
    <mergeCell ref="BA28:BF28"/>
    <mergeCell ref="BG28:BL28"/>
    <mergeCell ref="CW27:DB27"/>
    <mergeCell ref="E28:J28"/>
    <mergeCell ref="K28:P28"/>
    <mergeCell ref="Q28:V28"/>
    <mergeCell ref="W28:AB28"/>
    <mergeCell ref="AC28:AH28"/>
    <mergeCell ref="AI28:AN28"/>
    <mergeCell ref="AO28:AT28"/>
    <mergeCell ref="BA27:BF27"/>
    <mergeCell ref="BG27:BL27"/>
    <mergeCell ref="BM27:BR27"/>
    <mergeCell ref="BS27:BX27"/>
    <mergeCell ref="BY27:CD27"/>
    <mergeCell ref="CE27:CJ27"/>
    <mergeCell ref="CE28:CJ28"/>
    <mergeCell ref="CK28:CP28"/>
    <mergeCell ref="CQ28:CV28"/>
    <mergeCell ref="CW28:DB28"/>
    <mergeCell ref="BM28:BR28"/>
    <mergeCell ref="BS28:BX28"/>
    <mergeCell ref="BY28:CD28"/>
    <mergeCell ref="CQ16:CR16"/>
    <mergeCell ref="CW16:CX16"/>
    <mergeCell ref="E27:J27"/>
    <mergeCell ref="K27:P27"/>
    <mergeCell ref="Q27:V27"/>
    <mergeCell ref="W27:AB27"/>
    <mergeCell ref="AC27:AH27"/>
    <mergeCell ref="AI27:AN27"/>
    <mergeCell ref="AO27:AT27"/>
    <mergeCell ref="AU27:AZ27"/>
    <mergeCell ref="BG16:BH16"/>
    <mergeCell ref="BM16:BN16"/>
    <mergeCell ref="BS16:BT16"/>
    <mergeCell ref="BY16:BZ16"/>
    <mergeCell ref="CE16:CF16"/>
    <mergeCell ref="CK16:CL16"/>
    <mergeCell ref="W16:Y16"/>
    <mergeCell ref="AC16:AE16"/>
    <mergeCell ref="AI16:AK16"/>
    <mergeCell ref="AO16:AQ16"/>
    <mergeCell ref="AU16:AV16"/>
    <mergeCell ref="BA16:BB16"/>
    <mergeCell ref="CK27:CP27"/>
    <mergeCell ref="CQ27:CV27"/>
    <mergeCell ref="CE15:CJ15"/>
    <mergeCell ref="CK15:CP15"/>
    <mergeCell ref="CQ15:CV15"/>
    <mergeCell ref="CW15:DB15"/>
    <mergeCell ref="AI15:AN15"/>
    <mergeCell ref="AO15:AT15"/>
    <mergeCell ref="AU15:AZ15"/>
    <mergeCell ref="BA15:BF15"/>
    <mergeCell ref="BG15:BL15"/>
    <mergeCell ref="BM15:BR15"/>
    <mergeCell ref="BY14:CD14"/>
    <mergeCell ref="CE14:CJ14"/>
    <mergeCell ref="CK14:CP14"/>
    <mergeCell ref="CQ14:CV14"/>
    <mergeCell ref="CW14:DB14"/>
    <mergeCell ref="E15:J15"/>
    <mergeCell ref="K15:P15"/>
    <mergeCell ref="Q15:V15"/>
    <mergeCell ref="W15:AB15"/>
    <mergeCell ref="AC15:AH15"/>
    <mergeCell ref="AO14:AT14"/>
    <mergeCell ref="AU14:AZ14"/>
    <mergeCell ref="BA14:BF14"/>
    <mergeCell ref="BG14:BL14"/>
    <mergeCell ref="BM14:BR14"/>
    <mergeCell ref="BS14:BX14"/>
    <mergeCell ref="E14:J14"/>
    <mergeCell ref="K14:P14"/>
    <mergeCell ref="Q14:V14"/>
    <mergeCell ref="W14:AB14"/>
    <mergeCell ref="AC14:AH14"/>
    <mergeCell ref="AI14:AN14"/>
    <mergeCell ref="BS15:BX15"/>
    <mergeCell ref="BY15:CD15"/>
    <mergeCell ref="CE13:CJ13"/>
    <mergeCell ref="CK13:CP13"/>
    <mergeCell ref="CQ13:CV13"/>
    <mergeCell ref="CW13:DB13"/>
    <mergeCell ref="AI13:AN13"/>
    <mergeCell ref="AO13:AT13"/>
    <mergeCell ref="AU13:AZ13"/>
    <mergeCell ref="BA13:BF13"/>
    <mergeCell ref="BG13:BL13"/>
    <mergeCell ref="BM13:BR13"/>
    <mergeCell ref="BY12:CD12"/>
    <mergeCell ref="CE12:CJ12"/>
    <mergeCell ref="CK12:CP12"/>
    <mergeCell ref="CQ12:CV12"/>
    <mergeCell ref="CW12:DB12"/>
    <mergeCell ref="E13:J13"/>
    <mergeCell ref="K13:P13"/>
    <mergeCell ref="Q13:V13"/>
    <mergeCell ref="W13:AB13"/>
    <mergeCell ref="AC13:AH13"/>
    <mergeCell ref="AO12:AT12"/>
    <mergeCell ref="AU12:AZ12"/>
    <mergeCell ref="BA12:BF12"/>
    <mergeCell ref="BG12:BL12"/>
    <mergeCell ref="BM12:BR12"/>
    <mergeCell ref="BS12:BX12"/>
    <mergeCell ref="E12:J12"/>
    <mergeCell ref="K12:P12"/>
    <mergeCell ref="Q12:V12"/>
    <mergeCell ref="W12:AB12"/>
    <mergeCell ref="AC12:AH12"/>
    <mergeCell ref="AI12:AN12"/>
    <mergeCell ref="BS13:BX13"/>
    <mergeCell ref="BY13:CD13"/>
    <mergeCell ref="CE11:CJ11"/>
    <mergeCell ref="CK11:CP11"/>
    <mergeCell ref="CQ11:CV11"/>
    <mergeCell ref="CW11:DB11"/>
    <mergeCell ref="AI11:AN11"/>
    <mergeCell ref="AO11:AT11"/>
    <mergeCell ref="AU11:AZ11"/>
    <mergeCell ref="BA11:BF11"/>
    <mergeCell ref="BG11:BL11"/>
    <mergeCell ref="BM11:BR11"/>
    <mergeCell ref="BY10:CD10"/>
    <mergeCell ref="CE10:CJ10"/>
    <mergeCell ref="CK10:CP10"/>
    <mergeCell ref="CQ10:CV10"/>
    <mergeCell ref="CW10:DB10"/>
    <mergeCell ref="E11:J11"/>
    <mergeCell ref="K11:P11"/>
    <mergeCell ref="Q11:V11"/>
    <mergeCell ref="W11:AB11"/>
    <mergeCell ref="AC11:AH11"/>
    <mergeCell ref="AO10:AT10"/>
    <mergeCell ref="AU10:AZ10"/>
    <mergeCell ref="BA10:BF10"/>
    <mergeCell ref="BG10:BL10"/>
    <mergeCell ref="BM10:BR10"/>
    <mergeCell ref="BS10:BX10"/>
    <mergeCell ref="E10:J10"/>
    <mergeCell ref="K10:P10"/>
    <mergeCell ref="Q10:V10"/>
    <mergeCell ref="W10:AB10"/>
    <mergeCell ref="AC10:AH10"/>
    <mergeCell ref="AI10:AN10"/>
    <mergeCell ref="BS11:BX11"/>
    <mergeCell ref="BY11:CD11"/>
    <mergeCell ref="CE9:CJ9"/>
    <mergeCell ref="CK9:CP9"/>
    <mergeCell ref="CQ9:CV9"/>
    <mergeCell ref="CW9:DB9"/>
    <mergeCell ref="AI9:AN9"/>
    <mergeCell ref="AO9:AT9"/>
    <mergeCell ref="AU9:AZ9"/>
    <mergeCell ref="BA9:BF9"/>
    <mergeCell ref="BG9:BL9"/>
    <mergeCell ref="BM9:BR9"/>
    <mergeCell ref="BY8:CD8"/>
    <mergeCell ref="CE8:CJ8"/>
    <mergeCell ref="CK8:CP8"/>
    <mergeCell ref="CQ8:CV8"/>
    <mergeCell ref="CW8:DB8"/>
    <mergeCell ref="E9:J9"/>
    <mergeCell ref="K9:P9"/>
    <mergeCell ref="Q9:V9"/>
    <mergeCell ref="W9:AB9"/>
    <mergeCell ref="AC9:AH9"/>
    <mergeCell ref="AO8:AT8"/>
    <mergeCell ref="AU8:AZ8"/>
    <mergeCell ref="BA8:BF8"/>
    <mergeCell ref="BG8:BL8"/>
    <mergeCell ref="BM8:BR8"/>
    <mergeCell ref="BS8:BX8"/>
    <mergeCell ref="E8:J8"/>
    <mergeCell ref="K8:P8"/>
    <mergeCell ref="Q8:V8"/>
    <mergeCell ref="W8:AB8"/>
    <mergeCell ref="AC8:AH8"/>
    <mergeCell ref="AI8:AN8"/>
    <mergeCell ref="BS9:BX9"/>
    <mergeCell ref="BY9:CD9"/>
    <mergeCell ref="CE7:CJ7"/>
    <mergeCell ref="CK7:CP7"/>
    <mergeCell ref="CQ7:CV7"/>
    <mergeCell ref="CW7:DB7"/>
    <mergeCell ref="AI7:AN7"/>
    <mergeCell ref="AO7:AT7"/>
    <mergeCell ref="AU7:AZ7"/>
    <mergeCell ref="BA7:BF7"/>
    <mergeCell ref="BG7:BL7"/>
    <mergeCell ref="BM7:BR7"/>
    <mergeCell ref="BY6:CD6"/>
    <mergeCell ref="CE6:CJ6"/>
    <mergeCell ref="CK6:CP6"/>
    <mergeCell ref="CQ6:CV6"/>
    <mergeCell ref="CW6:DB6"/>
    <mergeCell ref="E7:J7"/>
    <mergeCell ref="K7:P7"/>
    <mergeCell ref="Q7:V7"/>
    <mergeCell ref="W7:AB7"/>
    <mergeCell ref="AC7:AH7"/>
    <mergeCell ref="AO6:AT6"/>
    <mergeCell ref="AU6:AZ6"/>
    <mergeCell ref="BA6:BF6"/>
    <mergeCell ref="BG6:BL6"/>
    <mergeCell ref="BM6:BR6"/>
    <mergeCell ref="BS6:BX6"/>
    <mergeCell ref="E6:J6"/>
    <mergeCell ref="K6:P6"/>
    <mergeCell ref="Q6:V6"/>
    <mergeCell ref="W6:AB6"/>
    <mergeCell ref="AC6:AH6"/>
    <mergeCell ref="AI6:AN6"/>
    <mergeCell ref="BS7:BX7"/>
    <mergeCell ref="BY7:CD7"/>
    <mergeCell ref="CE5:CJ5"/>
    <mergeCell ref="CK5:CP5"/>
    <mergeCell ref="CQ5:CV5"/>
    <mergeCell ref="CW5:DB5"/>
    <mergeCell ref="AI5:AN5"/>
    <mergeCell ref="AO5:AT5"/>
    <mergeCell ref="AU5:AZ5"/>
    <mergeCell ref="BA5:BF5"/>
    <mergeCell ref="BG5:BL5"/>
    <mergeCell ref="BM5:BR5"/>
    <mergeCell ref="BY4:CD4"/>
    <mergeCell ref="CE4:CJ4"/>
    <mergeCell ref="CK4:CP4"/>
    <mergeCell ref="CQ4:CV4"/>
    <mergeCell ref="CW4:DB4"/>
    <mergeCell ref="E5:J5"/>
    <mergeCell ref="K5:P5"/>
    <mergeCell ref="Q5:V5"/>
    <mergeCell ref="W5:AB5"/>
    <mergeCell ref="AC5:AH5"/>
    <mergeCell ref="AO4:AT4"/>
    <mergeCell ref="AU4:AZ4"/>
    <mergeCell ref="BA4:BF4"/>
    <mergeCell ref="BG4:BL4"/>
    <mergeCell ref="BM4:BR4"/>
    <mergeCell ref="BS4:BX4"/>
    <mergeCell ref="E4:J4"/>
    <mergeCell ref="K4:P4"/>
    <mergeCell ref="Q4:V4"/>
    <mergeCell ref="W4:AB4"/>
    <mergeCell ref="AC4:AH4"/>
    <mergeCell ref="AI4:AN4"/>
    <mergeCell ref="BS5:BX5"/>
    <mergeCell ref="BY5:CD5"/>
    <mergeCell ref="CE3:CJ3"/>
    <mergeCell ref="CK3:CP3"/>
    <mergeCell ref="CQ3:CV3"/>
    <mergeCell ref="CW3:DB3"/>
    <mergeCell ref="AI3:AN3"/>
    <mergeCell ref="AO3:AT3"/>
    <mergeCell ref="AU3:AZ3"/>
    <mergeCell ref="BA3:BF3"/>
    <mergeCell ref="BG3:BL3"/>
    <mergeCell ref="BM3:BR3"/>
    <mergeCell ref="BY2:CD2"/>
    <mergeCell ref="CE2:CJ2"/>
    <mergeCell ref="CK2:CP2"/>
    <mergeCell ref="CQ2:CV2"/>
    <mergeCell ref="CW2:DB2"/>
    <mergeCell ref="E3:J3"/>
    <mergeCell ref="K3:P3"/>
    <mergeCell ref="Q3:V3"/>
    <mergeCell ref="W3:AB3"/>
    <mergeCell ref="AC3:AH3"/>
    <mergeCell ref="AO2:AT2"/>
    <mergeCell ref="AU2:AZ2"/>
    <mergeCell ref="BA2:BF2"/>
    <mergeCell ref="BG2:BL2"/>
    <mergeCell ref="BM2:BR2"/>
    <mergeCell ref="BS2:BX2"/>
    <mergeCell ref="E2:J2"/>
    <mergeCell ref="K2:P2"/>
    <mergeCell ref="Q2:V2"/>
    <mergeCell ref="W2:AB2"/>
    <mergeCell ref="AC2:AH2"/>
    <mergeCell ref="AI2:AN2"/>
    <mergeCell ref="BS3:BX3"/>
    <mergeCell ref="BY3:CD3"/>
  </mergeCells>
  <dataValidations count="2">
    <dataValidation type="list" allowBlank="1" showInputMessage="1" showErrorMessage="1" sqref="E55:DB55" xr:uid="{05EB6758-87EB-487F-B922-3D52572D8CB5}">
      <formula1>INDIRECT(E54)</formula1>
    </dataValidation>
    <dataValidation type="list" allowBlank="1" showInputMessage="1" showErrorMessage="1" sqref="E54:DB54" xr:uid="{68E595CA-AE8E-43CF-859B-133E96877369}">
      <formula1>Fluid</formula1>
    </dataValidation>
  </dataValidations>
  <pageMargins left="0.7" right="0.7" top="0.75" bottom="0.75" header="0.3" footer="0.3"/>
  <pageSetup orientation="portrait" horizontalDpi="4294967293" verticalDpi="1200"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6931851D-DCC1-4C95-B80A-346D82DE6B21}">
          <x14:formula1>
            <xm:f>'Calculation Basis'!$X$4:$X$9</xm:f>
          </x14:formula1>
          <xm:sqref>E30:DB30</xm:sqref>
        </x14:dataValidation>
        <x14:dataValidation type="list" allowBlank="1" showInputMessage="1" showErrorMessage="1" xr:uid="{389EE909-9C1C-4BF9-B49B-281E897B798D}">
          <x14:formula1>
            <xm:f>'Calculation Basis'!$G$3:$T$3</xm:f>
          </x14:formula1>
          <xm:sqref>E28:DB28</xm:sqref>
        </x14:dataValidation>
        <x14:dataValidation type="list" allowBlank="1" showInputMessage="1" showErrorMessage="1" xr:uid="{116B3EDF-5C93-4FDF-80F0-C23ED419623A}">
          <x14:formula1>
            <xm:f>'Calculation Basis'!$F$4:$F$47</xm:f>
          </x14:formula1>
          <xm:sqref>E27:DB27</xm:sqref>
        </x14:dataValidation>
        <x14:dataValidation type="list" allowBlank="1" showInputMessage="1" showErrorMessage="1" xr:uid="{1C4AAC18-78B7-43D8-B4DC-FFD3766E5A89}">
          <x14:formula1>
            <xm:f>Sheet1!$C$2:$C$6</xm:f>
          </x14:formula1>
          <xm:sqref>R17 X17 AJ17 AP17 AV17 BB17 BH17 BN17 BT17 BZ17 CF17 CL17 CR17 CX17 AD17 F17 L17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2:W114"/>
  <sheetViews>
    <sheetView zoomScale="55" zoomScaleNormal="55" zoomScaleSheetLayoutView="40" workbookViewId="0">
      <selection activeCell="K17" sqref="K17"/>
    </sheetView>
  </sheetViews>
  <sheetFormatPr defaultColWidth="8.81640625" defaultRowHeight="14.5" x14ac:dyDescent="0.35"/>
  <cols>
    <col min="1" max="1" width="4.1796875" style="2" customWidth="1"/>
    <col min="2" max="2" width="28.81640625" customWidth="1"/>
    <col min="3" max="3" width="14.453125" bestFit="1" customWidth="1"/>
    <col min="4" max="4" width="12.81640625" style="2" customWidth="1"/>
    <col min="5" max="22" width="12.81640625" customWidth="1"/>
    <col min="23" max="23" width="12.81640625" hidden="1" customWidth="1"/>
  </cols>
  <sheetData>
    <row r="2" spans="1:23" ht="24" customHeight="1" x14ac:dyDescent="0.35">
      <c r="B2" s="594"/>
      <c r="C2" s="595"/>
      <c r="D2" s="596"/>
      <c r="E2" s="274" t="s">
        <v>219</v>
      </c>
      <c r="F2" s="602" t="s">
        <v>524</v>
      </c>
      <c r="G2" s="602"/>
      <c r="H2" s="602"/>
      <c r="I2" s="602"/>
      <c r="J2" s="603" t="s">
        <v>970</v>
      </c>
      <c r="K2" s="604"/>
      <c r="L2" s="604"/>
      <c r="M2" s="604"/>
      <c r="N2" s="604"/>
      <c r="O2" s="604"/>
      <c r="P2" s="604"/>
      <c r="Q2" s="604"/>
      <c r="R2" s="605"/>
      <c r="S2" s="593" t="s">
        <v>966</v>
      </c>
      <c r="T2" s="593"/>
      <c r="U2" s="593"/>
      <c r="V2" s="593"/>
    </row>
    <row r="3" spans="1:23" ht="24" customHeight="1" x14ac:dyDescent="0.35">
      <c r="B3" s="597"/>
      <c r="C3" s="433"/>
      <c r="D3" s="598"/>
      <c r="E3" s="274" t="s">
        <v>210</v>
      </c>
      <c r="F3" s="602" t="s">
        <v>332</v>
      </c>
      <c r="G3" s="602"/>
      <c r="H3" s="602"/>
      <c r="I3" s="602"/>
      <c r="J3" s="606"/>
      <c r="K3" s="607"/>
      <c r="L3" s="607"/>
      <c r="M3" s="607"/>
      <c r="N3" s="607"/>
      <c r="O3" s="607"/>
      <c r="P3" s="607"/>
      <c r="Q3" s="607"/>
      <c r="R3" s="608"/>
      <c r="S3" s="593" t="s">
        <v>967</v>
      </c>
      <c r="T3" s="593"/>
      <c r="U3" s="593"/>
      <c r="V3" s="593"/>
    </row>
    <row r="4" spans="1:23" ht="24" customHeight="1" x14ac:dyDescent="0.35">
      <c r="A4" s="68"/>
      <c r="B4" s="597"/>
      <c r="C4" s="433"/>
      <c r="D4" s="598"/>
      <c r="E4" s="274" t="s">
        <v>212</v>
      </c>
      <c r="F4" s="602" t="s">
        <v>525</v>
      </c>
      <c r="G4" s="602"/>
      <c r="H4" s="602"/>
      <c r="I4" s="602"/>
      <c r="J4" s="606"/>
      <c r="K4" s="607"/>
      <c r="L4" s="607"/>
      <c r="M4" s="607"/>
      <c r="N4" s="607"/>
      <c r="O4" s="607"/>
      <c r="P4" s="607"/>
      <c r="Q4" s="607"/>
      <c r="R4" s="608"/>
      <c r="S4" s="105" t="s">
        <v>231</v>
      </c>
      <c r="T4" s="105" t="s">
        <v>229</v>
      </c>
      <c r="U4" s="105" t="s">
        <v>230</v>
      </c>
      <c r="V4" s="105" t="s">
        <v>235</v>
      </c>
    </row>
    <row r="5" spans="1:23" ht="24" customHeight="1" x14ac:dyDescent="0.35">
      <c r="B5" s="599"/>
      <c r="C5" s="600"/>
      <c r="D5" s="601"/>
      <c r="E5" s="274" t="s">
        <v>526</v>
      </c>
      <c r="F5" s="602" t="s">
        <v>228</v>
      </c>
      <c r="G5" s="602"/>
      <c r="H5" s="602"/>
      <c r="I5" s="602"/>
      <c r="J5" s="609"/>
      <c r="K5" s="610"/>
      <c r="L5" s="610"/>
      <c r="M5" s="610"/>
      <c r="N5" s="610"/>
      <c r="O5" s="610"/>
      <c r="P5" s="610"/>
      <c r="Q5" s="610"/>
      <c r="R5" s="611"/>
      <c r="S5" s="105" t="s">
        <v>232</v>
      </c>
      <c r="T5" s="105" t="s">
        <v>234</v>
      </c>
      <c r="U5" s="105" t="s">
        <v>233</v>
      </c>
      <c r="V5" s="105" t="s">
        <v>968</v>
      </c>
    </row>
    <row r="6" spans="1:23" ht="23.5" customHeight="1" x14ac:dyDescent="0.35">
      <c r="B6" s="317" t="s">
        <v>6</v>
      </c>
      <c r="C6" s="318"/>
      <c r="D6" s="319">
        <v>1</v>
      </c>
      <c r="E6" s="319">
        <v>2</v>
      </c>
      <c r="F6" s="319">
        <v>3</v>
      </c>
      <c r="G6" s="319">
        <v>4</v>
      </c>
      <c r="H6" s="319">
        <v>5</v>
      </c>
      <c r="I6" s="319">
        <v>6</v>
      </c>
      <c r="J6" s="319">
        <v>7</v>
      </c>
      <c r="K6" s="319">
        <v>8</v>
      </c>
      <c r="L6" s="319">
        <v>9</v>
      </c>
      <c r="M6" s="319">
        <v>10</v>
      </c>
      <c r="N6" s="319">
        <v>11</v>
      </c>
      <c r="O6" s="319">
        <v>12</v>
      </c>
      <c r="P6" s="319">
        <v>13</v>
      </c>
      <c r="Q6" s="319">
        <v>14</v>
      </c>
      <c r="R6" s="319">
        <v>15</v>
      </c>
      <c r="S6" s="319">
        <v>16</v>
      </c>
      <c r="T6" s="319">
        <v>17</v>
      </c>
      <c r="U6" s="319">
        <v>18</v>
      </c>
      <c r="V6" s="319">
        <v>19</v>
      </c>
      <c r="W6" s="15">
        <v>20</v>
      </c>
    </row>
    <row r="7" spans="1:23" s="5" customFormat="1" ht="123" customHeight="1" x14ac:dyDescent="0.35">
      <c r="A7" s="2"/>
      <c r="B7" s="16" t="s">
        <v>14</v>
      </c>
      <c r="C7" s="17"/>
      <c r="D7" s="18" t="str">
        <f>HLOOKUP(D6,'Property Calc_Design Flow'!$E$2:$ED$3,2,FALSE)</f>
        <v>RAW GAS TO H2S GUARD BEDS</v>
      </c>
      <c r="E7" s="18" t="str">
        <f>HLOOKUP(E6,'Property Calc_Design Flow'!$E$2:$ED$3,2,FALSE)</f>
        <v xml:space="preserve">RAW FEED TO LOW PRESSURE SEPARATOR </v>
      </c>
      <c r="F7" s="18" t="str">
        <f>HLOOKUP(F6,'Property Calc_Design Flow'!$E$2:$ED$3,2,FALSE)</f>
        <v>SEPERATOR TO FEED GAS COMPRESSOR</v>
      </c>
      <c r="G7" s="18" t="str">
        <f>HLOOKUP(G6,'Property Calc_Design Flow'!$E$2:$ED$3,2,FALSE)</f>
        <v>FEED+RECYCLE TO COMPRESSOR</v>
      </c>
      <c r="H7" s="18" t="str">
        <f>HLOOKUP(H6,'Property Calc_Design Flow'!$E$2:$ED$3,2,FALSE)</f>
        <v>COMPRESSOR DISCHARGE TO AFTERCOOLER</v>
      </c>
      <c r="I7" s="18" t="str">
        <f>HLOOKUP(I6,'Property Calc_Design Flow'!$E$2:$ED$3,2,FALSE)</f>
        <v>COMPRESSED GAS FROM AIR COOLER TO RE-HEATER</v>
      </c>
      <c r="J7" s="18" t="str">
        <f>HLOOKUP(J6,'Property Calc_Design Flow'!$E$2:$ED$3,2,FALSE)</f>
        <v>COMPRESSED GAS TO CHILLER</v>
      </c>
      <c r="K7" s="18" t="str">
        <f>HLOOKUP(K6,'Property Calc_Design Flow'!$E$2:$ED$3,2,FALSE)</f>
        <v>COOLED COMPRESSED GAS TO RE-HEATER</v>
      </c>
      <c r="L7" s="18" t="str">
        <f>HLOOKUP(L6,'Property Calc_Design Flow'!$E$2:$ED$3,2,FALSE)</f>
        <v>RE-HEATED COMPRESSED GAS TO ACTIVATED CARBON FILTER</v>
      </c>
      <c r="M7" s="18" t="str">
        <f>HLOOKUP(M6,'Property Calc_Design Flow'!$E$2:$ED$3,2,FALSE)</f>
        <v>TO AL SKID</v>
      </c>
      <c r="N7" s="18" t="str">
        <f>HLOOKUP(N6,'Property Calc_Design Flow'!$E$2:$ED$3,2,FALSE)</f>
        <v>WASTE GAS TO ATMOSPHERE</v>
      </c>
      <c r="O7" s="18" t="str">
        <f>HLOOKUP(O6,'Property Calc_Design Flow'!$E$2:$ED$3,2,FALSE)</f>
        <v>RECYCLE GAS TO RECYCLE GAS COMPRESSOR</v>
      </c>
      <c r="P7" s="18" t="str">
        <f>HLOOKUP(P6,'Property Calc_Design Flow'!$E$2:$ED$3,2,FALSE)</f>
        <v>COMPRESSED RECYCLE GAS TO RECYCLE GAS AIR COOLED  AFTER COOLER</v>
      </c>
      <c r="Q7" s="18" t="str">
        <f>HLOOKUP(Q6,'Property Calc_Design Flow'!$E$2:$ED$3,2,FALSE)</f>
        <v>COMPRESSED COOLED RECYCLE GAS TO FEED COMPRESSOR</v>
      </c>
      <c r="R7" s="18" t="str">
        <f>HLOOKUP(R6,'Property Calc_Design Flow'!$E$2:$ED$3,2,FALSE)</f>
        <v>PRODUCT GAS TO PRODUCT GAS COMPRESSOR AND BOILERS</v>
      </c>
      <c r="S7" s="18" t="str">
        <f>HLOOKUP(S6,'Property Calc_Design Flow'!$E$2:$ED$3,2,FALSE)</f>
        <v>COMPRESSED PRODUCT GAS TO AIR COOLED AFTERCOOLER</v>
      </c>
      <c r="T7" s="18" t="str">
        <f>HLOOKUP(T6,'Property Calc_Design Flow'!$E$2:$ED$3,2,FALSE)</f>
        <v>PRODUCT GAS TO CHILLED WATER COOLER</v>
      </c>
      <c r="U7" s="18" t="str">
        <f>HLOOKUP(U6,'Property Calc_Design Flow'!$E$2:$ED$3,2,FALSE)</f>
        <v>PRODUCT GAS TO POLISHING VESSELS</v>
      </c>
      <c r="V7" s="18" t="str">
        <f>HLOOKUP(V6,'Property Calc_Design Flow'!$E$2:$ED$3,2,FALSE)</f>
        <v>COMPRESSED PRODUCT GAS TO B/L (PG&amp;E SKID)</v>
      </c>
      <c r="W7" s="18" t="str">
        <f>HLOOKUP(W6,'Property Calc_Design Flow'!$E$2:$ED$3,2,FALSE)</f>
        <v>Condensnate Line Hydraulics</v>
      </c>
    </row>
    <row r="8" spans="1:23" x14ac:dyDescent="0.35">
      <c r="B8" s="19" t="s">
        <v>1</v>
      </c>
      <c r="C8" s="27" t="s">
        <v>5</v>
      </c>
      <c r="D8" s="73">
        <f>HLOOKUP(D$7,'Property Calc_Design Flow'!$E$3:$EJ$25,MATCH('HMB_Design Case'!$B8,'Property Calc_Design Flow'!$C$3:$C$24,0),FALSE)</f>
        <v>65</v>
      </c>
      <c r="E8" s="73">
        <f>HLOOKUP(E$7,'Property Calc_Design Flow'!$E$3:$EJ$25,MATCH('HMB_Design Case'!$B8,'Property Calc_Design Flow'!$C$3:$C$24,0),FALSE)</f>
        <v>63</v>
      </c>
      <c r="F8" s="73">
        <f>HLOOKUP(F$7,'Property Calc_Design Flow'!$E$3:$EJ$25,MATCH('HMB_Design Case'!$B8,'Property Calc_Design Flow'!$C$3:$C$24,0),FALSE)</f>
        <v>62.5</v>
      </c>
      <c r="G8" s="73">
        <f>HLOOKUP(G$7,'Property Calc_Design Flow'!$E$3:$EJ$25,MATCH('HMB_Design Case'!$B8,'Property Calc_Design Flow'!$C$3:$C$24,0),FALSE)</f>
        <v>62.5</v>
      </c>
      <c r="H8" s="73">
        <f>HLOOKUP(H$7,'Property Calc_Design Flow'!$E$3:$EJ$25,MATCH('HMB_Design Case'!$B8,'Property Calc_Design Flow'!$C$3:$C$24,0),FALSE)</f>
        <v>200</v>
      </c>
      <c r="I8" s="73">
        <f>HLOOKUP(I$7,'Property Calc_Design Flow'!$E$3:$EJ$25,MATCH('HMB_Design Case'!$B8,'Property Calc_Design Flow'!$C$3:$C$24,0),FALSE)</f>
        <v>199</v>
      </c>
      <c r="J8" s="73">
        <f>HLOOKUP(J$7,'Property Calc_Design Flow'!$E$3:$EJ$25,MATCH('HMB_Design Case'!$B8,'Property Calc_Design Flow'!$C$3:$C$24,0),FALSE)</f>
        <v>198</v>
      </c>
      <c r="K8" s="73">
        <f>HLOOKUP(K$7,'Property Calc_Design Flow'!$E$3:$EJ$25,MATCH('HMB_Design Case'!$B8,'Property Calc_Design Flow'!$C$3:$C$24,0),FALSE)</f>
        <v>197</v>
      </c>
      <c r="L8" s="73">
        <f>HLOOKUP(L$7,'Property Calc_Design Flow'!$E$3:$EJ$25,MATCH('HMB_Design Case'!$B8,'Property Calc_Design Flow'!$C$3:$C$24,0),FALSE)</f>
        <v>196</v>
      </c>
      <c r="M8" s="73">
        <f>HLOOKUP(M$7,'Property Calc_Design Flow'!$E$3:$EJ$25,MATCH('HMB_Design Case'!$B8,'Property Calc_Design Flow'!$C$3:$C$24,0),FALSE)</f>
        <v>195</v>
      </c>
      <c r="N8" s="73">
        <f>HLOOKUP(N$7,'Property Calc_Design Flow'!$E$3:$EJ$25,MATCH('HMB_Design Case'!$B8,'Property Calc_Design Flow'!$C$3:$C$24,0),FALSE)</f>
        <v>1</v>
      </c>
      <c r="O8" s="73">
        <f>HLOOKUP(O$7,'Property Calc_Design Flow'!$E$3:$EJ$25,MATCH('HMB_Design Case'!$B8,'Property Calc_Design Flow'!$C$3:$C$24,0),FALSE)</f>
        <v>2</v>
      </c>
      <c r="P8" s="73">
        <f>HLOOKUP(P$7,'Property Calc_Design Flow'!$E$3:$EJ$25,MATCH('HMB_Design Case'!$B8,'Property Calc_Design Flow'!$C$3:$C$24,0),FALSE)</f>
        <v>65</v>
      </c>
      <c r="Q8" s="73">
        <f>HLOOKUP(Q$7,'Property Calc_Design Flow'!$E$3:$EJ$25,MATCH('HMB_Design Case'!$B8,'Property Calc_Design Flow'!$C$3:$C$24,0),FALSE)</f>
        <v>63</v>
      </c>
      <c r="R8" s="73">
        <f>HLOOKUP(R$7,'Property Calc_Design Flow'!$E$3:$EJ$25,MATCH('HMB_Design Case'!$B8,'Property Calc_Design Flow'!$C$3:$C$24,0),FALSE)</f>
        <v>150</v>
      </c>
      <c r="S8" s="73">
        <f>HLOOKUP(S$7,'Property Calc_Design Flow'!$E$3:$EJ$25,MATCH('HMB_Design Case'!$B8,'Property Calc_Design Flow'!$C$3:$C$24,0),FALSE)</f>
        <v>270</v>
      </c>
      <c r="T8" s="73">
        <f>HLOOKUP(T$7,'Property Calc_Design Flow'!$E$3:$EJ$25,MATCH('HMB_Design Case'!$B8,'Property Calc_Design Flow'!$C$3:$C$24,0),FALSE)</f>
        <v>268</v>
      </c>
      <c r="U8" s="73">
        <f>HLOOKUP(U$7,'Property Calc_Design Flow'!$E$3:$EJ$25,MATCH('HMB_Design Case'!$B8,'Property Calc_Design Flow'!$C$3:$C$24,0),FALSE)</f>
        <v>266</v>
      </c>
      <c r="V8" s="73">
        <f>HLOOKUP(V$7,'Property Calc_Design Flow'!$E$3:$EJ$25,MATCH('HMB_Design Case'!$B8,'Property Calc_Design Flow'!$C$3:$C$24,0),FALSE)</f>
        <v>265</v>
      </c>
      <c r="W8" s="73">
        <f>HLOOKUP(W$7,'Property Calc_Design Flow'!$E$3:$EJ$25,MATCH('HMB_Design Case'!$B8,'Property Calc_Design Flow'!$C$3:$C$24,0),FALSE)</f>
        <v>120</v>
      </c>
    </row>
    <row r="9" spans="1:23" x14ac:dyDescent="0.35">
      <c r="B9" s="19" t="s">
        <v>0</v>
      </c>
      <c r="C9" s="27" t="s">
        <v>4</v>
      </c>
      <c r="D9" s="73">
        <f>HLOOKUP(D$7,'Property Calc_Design Flow'!$E$3:$EJ$25,MATCH('HMB_Design Case'!$B9,'Property Calc_Design Flow'!$C$3:$C$24,0),FALSE)</f>
        <v>70</v>
      </c>
      <c r="E9" s="73">
        <f>HLOOKUP(E$7,'Property Calc_Design Flow'!$E$3:$EJ$25,MATCH('HMB_Design Case'!$B9,'Property Calc_Design Flow'!$C$3:$C$24,0),FALSE)</f>
        <v>70</v>
      </c>
      <c r="F9" s="73">
        <f>HLOOKUP(F$7,'Property Calc_Design Flow'!$E$3:$EJ$25,MATCH('HMB_Design Case'!$B9,'Property Calc_Design Flow'!$C$3:$C$24,0),FALSE)</f>
        <v>70</v>
      </c>
      <c r="G9" s="73">
        <f>HLOOKUP(G$7,'Property Calc_Design Flow'!$E$3:$EJ$25,MATCH('HMB_Design Case'!$B9,'Property Calc_Design Flow'!$C$3:$C$24,0),FALSE)</f>
        <v>92.740094703881937</v>
      </c>
      <c r="H9" s="73">
        <f>HLOOKUP(H$7,'Property Calc_Design Flow'!$E$3:$EJ$25,MATCH('HMB_Design Case'!$B9,'Property Calc_Design Flow'!$C$3:$C$24,0),FALSE)</f>
        <v>245</v>
      </c>
      <c r="I9" s="73">
        <f>HLOOKUP(I$7,'Property Calc_Design Flow'!$E$3:$EJ$25,MATCH('HMB_Design Case'!$B9,'Property Calc_Design Flow'!$C$3:$C$24,0),FALSE)</f>
        <v>111</v>
      </c>
      <c r="J9" s="73">
        <f>HLOOKUP(J$7,'Property Calc_Design Flow'!$E$3:$EJ$25,MATCH('HMB_Design Case'!$B9,'Property Calc_Design Flow'!$C$3:$C$24,0),FALSE)</f>
        <v>102</v>
      </c>
      <c r="K9" s="73">
        <f>HLOOKUP(K$7,'Property Calc_Design Flow'!$E$3:$EJ$25,MATCH('HMB_Design Case'!$B9,'Property Calc_Design Flow'!$C$3:$C$24,0),FALSE)</f>
        <v>40</v>
      </c>
      <c r="L9" s="73">
        <f>HLOOKUP(L$7,'Property Calc_Design Flow'!$E$3:$EJ$25,MATCH('HMB_Design Case'!$B9,'Property Calc_Design Flow'!$C$3:$C$24,0),FALSE)</f>
        <v>50</v>
      </c>
      <c r="M9" s="73">
        <f>HLOOKUP(M$7,'Property Calc_Design Flow'!$E$3:$EJ$25,MATCH('HMB_Design Case'!$B9,'Property Calc_Design Flow'!$C$3:$C$24,0),FALSE)</f>
        <v>50</v>
      </c>
      <c r="N9" s="73">
        <f>HLOOKUP(N$7,'Property Calc_Design Flow'!$E$3:$EJ$25,MATCH('HMB_Design Case'!$B9,'Property Calc_Design Flow'!$C$3:$C$24,0),FALSE)</f>
        <v>50</v>
      </c>
      <c r="O9" s="73">
        <f>HLOOKUP(O$7,'Property Calc_Design Flow'!$E$3:$EJ$25,MATCH('HMB_Design Case'!$B9,'Property Calc_Design Flow'!$C$3:$C$24,0),FALSE)</f>
        <v>62.4</v>
      </c>
      <c r="P9" s="73">
        <f>HLOOKUP(P$7,'Property Calc_Design Flow'!$E$3:$EJ$25,MATCH('HMB_Design Case'!$B9,'Property Calc_Design Flow'!$C$3:$C$24,0),FALSE)</f>
        <v>250</v>
      </c>
      <c r="Q9" s="73">
        <f>HLOOKUP(Q$7,'Property Calc_Design Flow'!$E$3:$EJ$25,MATCH('HMB_Design Case'!$B9,'Property Calc_Design Flow'!$C$3:$C$24,0),FALSE)</f>
        <v>120</v>
      </c>
      <c r="R9" s="73">
        <f>HLOOKUP(R$7,'Property Calc_Design Flow'!$E$3:$EJ$25,MATCH('HMB_Design Case'!$B9,'Property Calc_Design Flow'!$C$3:$C$24,0),FALSE)</f>
        <v>51.7</v>
      </c>
      <c r="S9" s="73">
        <f>HLOOKUP(S$7,'Property Calc_Design Flow'!$E$3:$EJ$25,MATCH('HMB_Design Case'!$B9,'Property Calc_Design Flow'!$C$3:$C$24,0),FALSE)</f>
        <v>208</v>
      </c>
      <c r="T9" s="73">
        <f>HLOOKUP(T$7,'Property Calc_Design Flow'!$E$3:$EJ$25,MATCH('HMB_Design Case'!$B9,'Property Calc_Design Flow'!$C$3:$C$24,0),FALSE)</f>
        <v>111</v>
      </c>
      <c r="U9" s="73">
        <f>HLOOKUP(U$7,'Property Calc_Design Flow'!$E$3:$EJ$25,MATCH('HMB_Design Case'!$B9,'Property Calc_Design Flow'!$C$3:$C$24,0),FALSE)</f>
        <v>95</v>
      </c>
      <c r="V9" s="73">
        <f>HLOOKUP(V$7,'Property Calc_Design Flow'!$E$3:$EJ$25,MATCH('HMB_Design Case'!$B9,'Property Calc_Design Flow'!$C$3:$C$24,0),FALSE)</f>
        <v>95</v>
      </c>
      <c r="W9" s="73">
        <f>HLOOKUP(W$7,'Property Calc_Design Flow'!$E$3:$EJ$25,MATCH('HMB_Design Case'!$B9,'Property Calc_Design Flow'!$C$3:$C$24,0),FALSE)</f>
        <v>40</v>
      </c>
    </row>
    <row r="10" spans="1:23" x14ac:dyDescent="0.35">
      <c r="B10" s="19" t="s">
        <v>26</v>
      </c>
      <c r="C10" s="27" t="s">
        <v>27</v>
      </c>
      <c r="D10" s="73">
        <f>HLOOKUP(D$7,'Property Calc_Design Flow'!$E$3:$EJ$25,MATCH('HMB_Design Case'!$B10,'Property Calc_Design Flow'!$C$3:$C$24,0),FALSE)</f>
        <v>2300.2759999999994</v>
      </c>
      <c r="E10" s="73">
        <f>HLOOKUP(E$7,'Property Calc_Design Flow'!$E$3:$EJ$25,MATCH('HMB_Design Case'!$B10,'Property Calc_Design Flow'!$C$3:$C$24,0),FALSE)</f>
        <v>2300.1702011039997</v>
      </c>
      <c r="F10" s="73">
        <f>HLOOKUP(F$7,'Property Calc_Design Flow'!$E$3:$EJ$25,MATCH('HMB_Design Case'!$B10,'Property Calc_Design Flow'!$C$3:$C$24,0),FALSE)</f>
        <v>2300.1702011039997</v>
      </c>
      <c r="G10" s="73">
        <f>HLOOKUP(G$7,'Property Calc_Design Flow'!$E$3:$EJ$25,MATCH('HMB_Design Case'!$B10,'Property Calc_Design Flow'!$C$3:$C$24,0),FALSE)</f>
        <v>4075.5358663686952</v>
      </c>
      <c r="H10" s="73">
        <f>HLOOKUP(H$7,'Property Calc_Design Flow'!$E$3:$EJ$25,MATCH('HMB_Design Case'!$B10,'Property Calc_Design Flow'!$C$3:$C$24,0),FALSE)</f>
        <v>4075.5358663686952</v>
      </c>
      <c r="I10" s="73">
        <f>HLOOKUP(I$7,'Property Calc_Design Flow'!$E$3:$EJ$25,MATCH('HMB_Design Case'!$B10,'Property Calc_Design Flow'!$C$3:$C$24,0),FALSE)</f>
        <v>4075.5358663686952</v>
      </c>
      <c r="J10" s="73">
        <f>HLOOKUP(J$7,'Property Calc_Design Flow'!$E$3:$EJ$25,MATCH('HMB_Design Case'!$B10,'Property Calc_Design Flow'!$C$3:$C$24,0),FALSE)</f>
        <v>4075.5358663686952</v>
      </c>
      <c r="K10" s="73">
        <f>HLOOKUP(K$7,'Property Calc_Design Flow'!$E$3:$EJ$25,MATCH('HMB_Design Case'!$B10,'Property Calc_Design Flow'!$C$3:$C$24,0),FALSE)</f>
        <v>4073.7142284566703</v>
      </c>
      <c r="L10" s="73">
        <f>HLOOKUP(L$7,'Property Calc_Design Flow'!$E$3:$EJ$25,MATCH('HMB_Design Case'!$B10,'Property Calc_Design Flow'!$C$3:$C$24,0),FALSE)</f>
        <v>4073.7142284566703</v>
      </c>
      <c r="M10" s="73">
        <f>HLOOKUP(M$7,'Property Calc_Design Flow'!$E$3:$EJ$25,MATCH('HMB_Design Case'!$B10,'Property Calc_Design Flow'!$C$3:$C$24,0),FALSE)</f>
        <v>4073.7142284566703</v>
      </c>
      <c r="N10" s="73">
        <f>HLOOKUP(N$7,'Property Calc_Design Flow'!$E$3:$EJ$25,MATCH('HMB_Design Case'!$B10,'Property Calc_Design Flow'!$C$3:$C$24,0),FALSE)</f>
        <v>904.4835065349763</v>
      </c>
      <c r="O10" s="73">
        <f>HLOOKUP(O$7,'Property Calc_Design Flow'!$E$3:$EJ$25,MATCH('HMB_Design Case'!$B10,'Property Calc_Design Flow'!$C$3:$C$24,0),FALSE)</f>
        <v>1775.3656652646953</v>
      </c>
      <c r="P10" s="73">
        <f>HLOOKUP(P$7,'Property Calc_Design Flow'!$E$3:$EJ$25,MATCH('HMB_Design Case'!$B10,'Property Calc_Design Flow'!$C$3:$C$24,0),FALSE)</f>
        <v>1775.3656652646953</v>
      </c>
      <c r="Q10" s="73">
        <f>HLOOKUP(Q$7,'Property Calc_Design Flow'!$E$3:$EJ$25,MATCH('HMB_Design Case'!$B10,'Property Calc_Design Flow'!$C$3:$C$24,0),FALSE)</f>
        <v>1775.3656652646953</v>
      </c>
      <c r="R10" s="73">
        <f>HLOOKUP(R$7,'Property Calc_Design Flow'!$E$3:$EJ$25,MATCH('HMB_Design Case'!$B10,'Property Calc_Design Flow'!$C$3:$C$24,0),FALSE)</f>
        <v>1393.8650566569991</v>
      </c>
      <c r="S10" s="73">
        <f>HLOOKUP(S$7,'Property Calc_Design Flow'!$E$3:$EJ$25,MATCH('HMB_Design Case'!$B10,'Property Calc_Design Flow'!$C$3:$C$24,0),FALSE)</f>
        <v>1393.8650566569991</v>
      </c>
      <c r="T10" s="73">
        <f>HLOOKUP(T$7,'Property Calc_Design Flow'!$E$3:$EJ$25,MATCH('HMB_Design Case'!$B10,'Property Calc_Design Flow'!$C$3:$C$24,0),FALSE)</f>
        <v>1393.8650566569991</v>
      </c>
      <c r="U10" s="73">
        <f>HLOOKUP(U$7,'Property Calc_Design Flow'!$E$3:$EJ$25,MATCH('HMB_Design Case'!$B10,'Property Calc_Design Flow'!$C$3:$C$24,0),FALSE)</f>
        <v>1393.8650566569991</v>
      </c>
      <c r="V10" s="73">
        <f>HLOOKUP(V$7,'Property Calc_Design Flow'!$E$3:$EJ$25,MATCH('HMB_Design Case'!$B10,'Property Calc_Design Flow'!$C$3:$C$24,0),FALSE)</f>
        <v>1393.8650566569991</v>
      </c>
      <c r="W10" s="73">
        <f>HLOOKUP(W$7,'Property Calc_Design Flow'!$E$3:$EJ$25,MATCH('HMB_Design Case'!$B10,'Property Calc_Design Flow'!$C$3:$C$24,0),FALSE)</f>
        <v>1.8216379120248329</v>
      </c>
    </row>
    <row r="11" spans="1:23" x14ac:dyDescent="0.35">
      <c r="B11" s="19" t="s">
        <v>28</v>
      </c>
      <c r="C11" s="27" t="s">
        <v>29</v>
      </c>
      <c r="D11" s="73">
        <f>HLOOKUP(D$7,'Property Calc_Design Flow'!$E$3:$EJ$25,MATCH('HMB_Design Case'!$B11,'Property Calc_Design Flow'!$C$3:$C$24,0),FALSE)</f>
        <v>432.42569047389247</v>
      </c>
      <c r="E11" s="73">
        <f>HLOOKUP(E$7,'Property Calc_Design Flow'!$E$3:$EJ$25,MATCH('HMB_Design Case'!$B11,'Property Calc_Design Flow'!$C$3:$C$24,0),FALSE)</f>
        <v>443.5359379467692</v>
      </c>
      <c r="F11" s="73">
        <f>HLOOKUP(F$7,'Property Calc_Design Flow'!$E$3:$EJ$25,MATCH('HMB_Design Case'!$B11,'Property Calc_Design Flow'!$C$3:$C$24,0),FALSE)</f>
        <v>446.40858003191664</v>
      </c>
      <c r="G11" s="73">
        <f>HLOOKUP(G$7,'Property Calc_Design Flow'!$E$3:$EJ$25,MATCH('HMB_Design Case'!$B11,'Property Calc_Design Flow'!$C$3:$C$24,0),FALSE)</f>
        <v>824.90204232168674</v>
      </c>
      <c r="H11" s="73">
        <f>HLOOKUP(H$7,'Property Calc_Design Flow'!$E$3:$EJ$25,MATCH('HMB_Design Case'!$B11,'Property Calc_Design Flow'!$C$3:$C$24,0),FALSE)</f>
        <v>378.3169355371715</v>
      </c>
      <c r="I11" s="73">
        <f>HLOOKUP(I$7,'Property Calc_Design Flow'!$E$3:$EJ$25,MATCH('HMB_Design Case'!$B11,'Property Calc_Design Flow'!$C$3:$C$24,0),FALSE)</f>
        <v>307.84371874247614</v>
      </c>
      <c r="J11" s="73">
        <f>HLOOKUP(J$7,'Property Calc_Design Flow'!$E$3:$EJ$25,MATCH('HMB_Design Case'!$B11,'Property Calc_Design Flow'!$C$3:$C$24,0),FALSE)</f>
        <v>304.41604287745776</v>
      </c>
      <c r="K11" s="73">
        <f>HLOOKUP(K$7,'Property Calc_Design Flow'!$E$3:$EJ$25,MATCH('HMB_Design Case'!$B11,'Property Calc_Design Flow'!$C$3:$C$24,0),FALSE)</f>
        <v>271.99047617416272</v>
      </c>
      <c r="L11" s="73">
        <f>HLOOKUP(L$7,'Property Calc_Design Flow'!$E$3:$EJ$25,MATCH('HMB_Design Case'!$B11,'Property Calc_Design Flow'!$C$3:$C$24,0),FALSE)</f>
        <v>278.74699327096181</v>
      </c>
      <c r="M11" s="73">
        <f>HLOOKUP(M$7,'Property Calc_Design Flow'!$E$3:$EJ$25,MATCH('HMB_Design Case'!$B11,'Property Calc_Design Flow'!$C$3:$C$24,0),FALSE)</f>
        <v>280.07625885642176</v>
      </c>
      <c r="N11" s="73">
        <f>HLOOKUP(N$7,'Property Calc_Design Flow'!$E$3:$EJ$25,MATCH('HMB_Design Case'!$B11,'Property Calc_Design Flow'!$C$3:$C$24,0),FALSE)</f>
        <v>830.58707110395835</v>
      </c>
      <c r="O11" s="73">
        <f>HLOOKUP(O$7,'Property Calc_Design Flow'!$E$3:$EJ$25,MATCH('HMB_Design Case'!$B11,'Property Calc_Design Flow'!$C$3:$C$24,0),FALSE)</f>
        <v>1569.959701284416</v>
      </c>
      <c r="P11" s="73">
        <f>HLOOKUP(P$7,'Property Calc_Design Flow'!$E$3:$EJ$25,MATCH('HMB_Design Case'!$B11,'Property Calc_Design Flow'!$C$3:$C$24,0),FALSE)</f>
        <v>447.09708156470475</v>
      </c>
      <c r="Q11" s="73">
        <f>HLOOKUP(Q$7,'Property Calc_Design Flow'!$E$3:$EJ$25,MATCH('HMB_Design Case'!$B11,'Property Calc_Design Flow'!$C$3:$C$24,0),FALSE)</f>
        <v>374.63537427103233</v>
      </c>
      <c r="R11" s="73">
        <f>HLOOKUP(R$7,'Property Calc_Design Flow'!$E$3:$EJ$25,MATCH('HMB_Design Case'!$B11,'Property Calc_Design Flow'!$C$3:$C$24,0),FALSE)</f>
        <v>122.42117390037104</v>
      </c>
      <c r="S11" s="73">
        <f>HLOOKUP(S$7,'Property Calc_Design Flow'!$E$3:$EJ$25,MATCH('HMB_Design Case'!$B11,'Property Calc_Design Flow'!$C$3:$C$24,0),FALSE)</f>
        <v>92.453576709282814</v>
      </c>
      <c r="T11" s="73">
        <f>HLOOKUP(T$7,'Property Calc_Design Flow'!$E$3:$EJ$25,MATCH('HMB_Design Case'!$B11,'Property Calc_Design Flow'!$C$3:$C$24,0),FALSE)</f>
        <v>79.587529088064628</v>
      </c>
      <c r="U11" s="73">
        <f>HLOOKUP(U$7,'Property Calc_Design Flow'!$E$3:$EJ$25,MATCH('HMB_Design Case'!$B11,'Property Calc_Design Flow'!$C$3:$C$24,0),FALSE)</f>
        <v>77.908580641364495</v>
      </c>
      <c r="V11" s="73">
        <f>HLOOKUP(V$7,'Property Calc_Design Flow'!$E$3:$EJ$25,MATCH('HMB_Design Case'!$B11,'Property Calc_Design Flow'!$C$3:$C$24,0),FALSE)</f>
        <v>78.187124011551688</v>
      </c>
      <c r="W11" s="73">
        <f>HLOOKUP(W$7,'Property Calc_Design Flow'!$E$3:$EJ$25,MATCH('HMB_Design Case'!$B11,'Property Calc_Design Flow'!$C$3:$C$24,0),FALSE)</f>
        <v>0.19115182818489121</v>
      </c>
    </row>
    <row r="12" spans="1:23" x14ac:dyDescent="0.35">
      <c r="B12" s="19" t="s">
        <v>2</v>
      </c>
      <c r="C12" s="27" t="s">
        <v>3</v>
      </c>
      <c r="D12" s="73">
        <f>HLOOKUP(D$7,'Property Calc_Design Flow'!$E$3:$EJ$25,MATCH('HMB_Design Case'!$B12,'Property Calc_Design Flow'!$C$3:$C$24,0),FALSE)</f>
        <v>9802.0804711586607</v>
      </c>
      <c r="E12" s="73">
        <f>HLOOKUP(E$7,'Property Calc_Design Flow'!$E$3:$EJ$25,MATCH('HMB_Design Case'!$B12,'Property Calc_Design Flow'!$C$3:$C$24,0),FALSE)</f>
        <v>9801.510396630898</v>
      </c>
      <c r="F12" s="73">
        <f>HLOOKUP(F$7,'Property Calc_Design Flow'!$E$3:$EJ$25,MATCH('HMB_Design Case'!$B12,'Property Calc_Design Flow'!$C$3:$C$24,0),FALSE)</f>
        <v>9801.510396630898</v>
      </c>
      <c r="G12" s="73">
        <f>HLOOKUP(G$7,'Property Calc_Design Flow'!$E$3:$EJ$25,MATCH('HMB_Design Case'!$B12,'Property Calc_Design Flow'!$C$3:$C$24,0),FALSE)</f>
        <v>17977.887835924874</v>
      </c>
      <c r="H12" s="73">
        <f>HLOOKUP(H$7,'Property Calc_Design Flow'!$E$3:$EJ$25,MATCH('HMB_Design Case'!$B12,'Property Calc_Design Flow'!$C$3:$C$24,0),FALSE)</f>
        <v>17977.887835924874</v>
      </c>
      <c r="I12" s="73">
        <f>HLOOKUP(I$7,'Property Calc_Design Flow'!$E$3:$EJ$25,MATCH('HMB_Design Case'!$B12,'Property Calc_Design Flow'!$C$3:$C$24,0),FALSE)</f>
        <v>17977.887835924874</v>
      </c>
      <c r="J12" s="73">
        <f>HLOOKUP(J$7,'Property Calc_Design Flow'!$E$3:$EJ$25,MATCH('HMB_Design Case'!$B12,'Property Calc_Design Flow'!$C$3:$C$24,0),FALSE)</f>
        <v>17977.887835924874</v>
      </c>
      <c r="K12" s="73">
        <f>HLOOKUP(K$7,'Property Calc_Design Flow'!$E$3:$EJ$25,MATCH('HMB_Design Case'!$B12,'Property Calc_Design Flow'!$C$3:$C$24,0),FALSE)</f>
        <v>17972.697831154044</v>
      </c>
      <c r="L12" s="73">
        <f>HLOOKUP(L$7,'Property Calc_Design Flow'!$E$3:$EJ$25,MATCH('HMB_Design Case'!$B12,'Property Calc_Design Flow'!$C$3:$C$24,0),FALSE)</f>
        <v>17972.697831154044</v>
      </c>
      <c r="M12" s="73">
        <f>HLOOKUP(M$7,'Property Calc_Design Flow'!$E$3:$EJ$25,MATCH('HMB_Design Case'!$B12,'Property Calc_Design Flow'!$C$3:$C$24,0),FALSE)</f>
        <v>17972.697831154044</v>
      </c>
      <c r="N12" s="73">
        <f>HLOOKUP(N$7,'Property Calc_Design Flow'!$E$3:$EJ$25,MATCH('HMB_Design Case'!$B12,'Property Calc_Design Flow'!$C$3:$C$24,0),FALSE)</f>
        <v>6209.2439006526001</v>
      </c>
      <c r="O12" s="73">
        <f>HLOOKUP(O$7,'Property Calc_Design Flow'!$E$3:$EJ$25,MATCH('HMB_Design Case'!$B12,'Property Calc_Design Flow'!$C$3:$C$24,0),FALSE)</f>
        <v>8176.3774392939749</v>
      </c>
      <c r="P12" s="73">
        <f>HLOOKUP(P$7,'Property Calc_Design Flow'!$E$3:$EJ$25,MATCH('HMB_Design Case'!$B12,'Property Calc_Design Flow'!$C$3:$C$24,0),FALSE)</f>
        <v>8176.3774392939749</v>
      </c>
      <c r="Q12" s="73">
        <f>HLOOKUP(Q$7,'Property Calc_Design Flow'!$E$3:$EJ$25,MATCH('HMB_Design Case'!$B12,'Property Calc_Design Flow'!$C$3:$C$24,0),FALSE)</f>
        <v>8176.3774392939749</v>
      </c>
      <c r="R12" s="73">
        <f>HLOOKUP(R$7,'Property Calc_Design Flow'!$E$3:$EJ$25,MATCH('HMB_Design Case'!$B12,'Property Calc_Design Flow'!$C$3:$C$24,0),FALSE)</f>
        <v>3587.0764912074692</v>
      </c>
      <c r="S12" s="73">
        <f>HLOOKUP(S$7,'Property Calc_Design Flow'!$E$3:$EJ$25,MATCH('HMB_Design Case'!$B12,'Property Calc_Design Flow'!$C$3:$C$24,0),FALSE)</f>
        <v>3587.0764912074692</v>
      </c>
      <c r="T12" s="73">
        <f>HLOOKUP(T$7,'Property Calc_Design Flow'!$E$3:$EJ$25,MATCH('HMB_Design Case'!$B12,'Property Calc_Design Flow'!$C$3:$C$24,0),FALSE)</f>
        <v>3587.0764912074692</v>
      </c>
      <c r="U12" s="73">
        <f>HLOOKUP(U$7,'Property Calc_Design Flow'!$E$3:$EJ$25,MATCH('HMB_Design Case'!$B12,'Property Calc_Design Flow'!$C$3:$C$24,0),FALSE)</f>
        <v>3587.0764912074692</v>
      </c>
      <c r="V12" s="73">
        <f>HLOOKUP(V$7,'Property Calc_Design Flow'!$E$3:$EJ$25,MATCH('HMB_Design Case'!$B12,'Property Calc_Design Flow'!$C$3:$C$24,0),FALSE)</f>
        <v>3587.0764912074692</v>
      </c>
      <c r="W12" s="73">
        <f>HLOOKUP(W$7,'Property Calc_Design Flow'!$E$3:$EJ$25,MATCH('HMB_Design Case'!$B12,'Property Calc_Design Flow'!$C$3:$C$24,0),FALSE)</f>
        <v>5.1900047708272927</v>
      </c>
    </row>
    <row r="13" spans="1:23" hidden="1" x14ac:dyDescent="0.35">
      <c r="B13" s="19" t="s">
        <v>30</v>
      </c>
      <c r="C13" s="27" t="s">
        <v>31</v>
      </c>
      <c r="D13" s="73">
        <f>HLOOKUP(D$7,'Property Calc_Design Flow'!$E$3:$EJ$25,MATCH('HMB_Design Case'!$B13,'Property Calc_Design Flow'!$C$3:$C$24,0),FALSE)</f>
        <v>363.6895833882316</v>
      </c>
      <c r="E13" s="73">
        <f>HLOOKUP(E$7,'Property Calc_Design Flow'!$E$3:$EJ$25,MATCH('HMB_Design Case'!$B13,'Property Calc_Design Flow'!$C$3:$C$24,0),FALSE)</f>
        <v>363.67285584927146</v>
      </c>
      <c r="F13" s="73">
        <f>HLOOKUP(F$7,'Property Calc_Design Flow'!$E$3:$EJ$25,MATCH('HMB_Design Case'!$B13,'Property Calc_Design Flow'!$C$3:$C$24,0),FALSE)</f>
        <v>363.67285584927146</v>
      </c>
      <c r="G13" s="73">
        <f>HLOOKUP(G$7,'Property Calc_Design Flow'!$E$3:$EJ$25,MATCH('HMB_Design Case'!$B13,'Property Calc_Design Flow'!$C$3:$C$24,0),FALSE)</f>
        <v>644.37047611826847</v>
      </c>
      <c r="H13" s="73">
        <f>HLOOKUP(H$7,'Property Calc_Design Flow'!$E$3:$EJ$25,MATCH('HMB_Design Case'!$B13,'Property Calc_Design Flow'!$C$3:$C$24,0),FALSE)</f>
        <v>644.37047611826847</v>
      </c>
      <c r="I13" s="73">
        <f>HLOOKUP(I$7,'Property Calc_Design Flow'!$E$3:$EJ$25,MATCH('HMB_Design Case'!$B13,'Property Calc_Design Flow'!$C$3:$C$24,0),FALSE)</f>
        <v>644.37047611826847</v>
      </c>
      <c r="J13" s="73">
        <f>HLOOKUP(J$7,'Property Calc_Design Flow'!$E$3:$EJ$25,MATCH('HMB_Design Case'!$B13,'Property Calc_Design Flow'!$C$3:$C$24,0),FALSE)</f>
        <v>644.37047611826847</v>
      </c>
      <c r="K13" s="73">
        <f>HLOOKUP(K$7,'Property Calc_Design Flow'!$E$3:$EJ$25,MATCH('HMB_Design Case'!$B13,'Property Calc_Design Flow'!$C$3:$C$24,0),FALSE)</f>
        <v>644.08246253498169</v>
      </c>
      <c r="L13" s="73">
        <f>HLOOKUP(L$7,'Property Calc_Design Flow'!$E$3:$EJ$25,MATCH('HMB_Design Case'!$B13,'Property Calc_Design Flow'!$C$3:$C$24,0),FALSE)</f>
        <v>644.08246253498169</v>
      </c>
      <c r="M13" s="73">
        <f>HLOOKUP(M$7,'Property Calc_Design Flow'!$E$3:$EJ$25,MATCH('HMB_Design Case'!$B13,'Property Calc_Design Flow'!$C$3:$C$24,0),FALSE)</f>
        <v>644.08246253498169</v>
      </c>
      <c r="N13" s="73">
        <f>HLOOKUP(N$7,'Property Calc_Design Flow'!$E$3:$EJ$25,MATCH('HMB_Design Case'!$B13,'Property Calc_Design Flow'!$C$3:$C$24,0),FALSE)</f>
        <v>143.00511315739169</v>
      </c>
      <c r="O13" s="73">
        <f>HLOOKUP(O$7,'Property Calc_Design Flow'!$E$3:$EJ$25,MATCH('HMB_Design Case'!$B13,'Property Calc_Design Flow'!$C$3:$C$24,0),FALSE)</f>
        <v>280.69762026899713</v>
      </c>
      <c r="P13" s="73">
        <f>HLOOKUP(P$7,'Property Calc_Design Flow'!$E$3:$EJ$25,MATCH('HMB_Design Case'!$B13,'Property Calc_Design Flow'!$C$3:$C$24,0),FALSE)</f>
        <v>280.69762026899713</v>
      </c>
      <c r="Q13" s="73">
        <f>HLOOKUP(Q$7,'Property Calc_Design Flow'!$E$3:$EJ$25,MATCH('HMB_Design Case'!$B13,'Property Calc_Design Flow'!$C$3:$C$24,0),FALSE)</f>
        <v>280.69762026899713</v>
      </c>
      <c r="R13" s="73">
        <f>HLOOKUP(R$7,'Property Calc_Design Flow'!$E$3:$EJ$25,MATCH('HMB_Design Case'!$B13,'Property Calc_Design Flow'!$C$3:$C$24,0),FALSE)</f>
        <v>220.37972910859295</v>
      </c>
      <c r="S13" s="73">
        <f>HLOOKUP(S$7,'Property Calc_Design Flow'!$E$3:$EJ$25,MATCH('HMB_Design Case'!$B13,'Property Calc_Design Flow'!$C$3:$C$24,0),FALSE)</f>
        <v>220.37972910859295</v>
      </c>
      <c r="T13" s="73">
        <f>HLOOKUP(T$7,'Property Calc_Design Flow'!$E$3:$EJ$25,MATCH('HMB_Design Case'!$B13,'Property Calc_Design Flow'!$C$3:$C$24,0),FALSE)</f>
        <v>220.37972910859295</v>
      </c>
      <c r="U13" s="73">
        <f>HLOOKUP(U$7,'Property Calc_Design Flow'!$E$3:$EJ$25,MATCH('HMB_Design Case'!$B13,'Property Calc_Design Flow'!$C$3:$C$24,0),FALSE)</f>
        <v>220.37972910859295</v>
      </c>
      <c r="V13" s="73">
        <f>HLOOKUP(V$7,'Property Calc_Design Flow'!$E$3:$EJ$25,MATCH('HMB_Design Case'!$B13,'Property Calc_Design Flow'!$C$3:$C$24,0),FALSE)</f>
        <v>220.37972910859295</v>
      </c>
      <c r="W13" s="73">
        <f>HLOOKUP(W$7,'Property Calc_Design Flow'!$E$3:$EJ$25,MATCH('HMB_Design Case'!$B13,'Property Calc_Design Flow'!$C$3:$C$24,0),FALSE)</f>
        <v>0.28801358328675319</v>
      </c>
    </row>
    <row r="14" spans="1:23" x14ac:dyDescent="0.35">
      <c r="B14" s="19" t="s">
        <v>18</v>
      </c>
      <c r="C14" s="27"/>
      <c r="D14" s="73">
        <f>HLOOKUP(D$7,'Property Calc_Design Flow'!$E$3:$EJ$25,MATCH('HMB_Design Case'!$B14,'Property Calc_Design Flow'!$C$3:$C$24,0),FALSE)</f>
        <v>26.951776786785587</v>
      </c>
      <c r="E14" s="73">
        <f>HLOOKUP(E$7,'Property Calc_Design Flow'!$E$3:$EJ$25,MATCH('HMB_Design Case'!$B14,'Property Calc_Design Flow'!$C$3:$C$24,0),FALSE)</f>
        <v>26.951448916201901</v>
      </c>
      <c r="F14" s="73">
        <f>HLOOKUP(F$7,'Property Calc_Design Flow'!$E$3:$EJ$25,MATCH('HMB_Design Case'!$B14,'Property Calc_Design Flow'!$C$3:$C$24,0),FALSE)</f>
        <v>26.951448916201901</v>
      </c>
      <c r="G14" s="73">
        <f>HLOOKUP(G$7,'Property Calc_Design Flow'!$E$3:$EJ$25,MATCH('HMB_Design Case'!$B14,'Property Calc_Design Flow'!$C$3:$C$24,0),FALSE)</f>
        <v>27.899924813788633</v>
      </c>
      <c r="H14" s="73">
        <f>HLOOKUP(H$7,'Property Calc_Design Flow'!$E$3:$EJ$25,MATCH('HMB_Design Case'!$B14,'Property Calc_Design Flow'!$C$3:$C$24,0),FALSE)</f>
        <v>27.899924813788633</v>
      </c>
      <c r="I14" s="73">
        <f>HLOOKUP(I$7,'Property Calc_Design Flow'!$E$3:$EJ$25,MATCH('HMB_Design Case'!$B14,'Property Calc_Design Flow'!$C$3:$C$24,0),FALSE)</f>
        <v>27.899924813788633</v>
      </c>
      <c r="J14" s="73">
        <f>HLOOKUP(J$7,'Property Calc_Design Flow'!$E$3:$EJ$25,MATCH('HMB_Design Case'!$B14,'Property Calc_Design Flow'!$C$3:$C$24,0),FALSE)</f>
        <v>27.899924813788633</v>
      </c>
      <c r="K14" s="73">
        <f>HLOOKUP(K$7,'Property Calc_Design Flow'!$E$3:$EJ$25,MATCH('HMB_Design Case'!$B14,'Property Calc_Design Flow'!$C$3:$C$24,0),FALSE)</f>
        <v>27.904342807933393</v>
      </c>
      <c r="L14" s="73">
        <f>HLOOKUP(L$7,'Property Calc_Design Flow'!$E$3:$EJ$25,MATCH('HMB_Design Case'!$B14,'Property Calc_Design Flow'!$C$3:$C$24,0),FALSE)</f>
        <v>27.904342807933393</v>
      </c>
      <c r="M14" s="73">
        <f>HLOOKUP(M$7,'Property Calc_Design Flow'!$E$3:$EJ$25,MATCH('HMB_Design Case'!$B14,'Property Calc_Design Flow'!$C$3:$C$24,0),FALSE)</f>
        <v>27.904342807933393</v>
      </c>
      <c r="N14" s="73">
        <f>HLOOKUP(N$7,'Property Calc_Design Flow'!$E$3:$EJ$25,MATCH('HMB_Design Case'!$B14,'Property Calc_Design Flow'!$C$3:$C$24,0),FALSE)</f>
        <v>43.419733487562048</v>
      </c>
      <c r="O14" s="73">
        <f>HLOOKUP(O$7,'Property Calc_Design Flow'!$E$3:$EJ$25,MATCH('HMB_Design Case'!$B14,'Property Calc_Design Flow'!$C$3:$C$24,0),FALSE)</f>
        <v>29.128773629995219</v>
      </c>
      <c r="P14" s="73">
        <f>HLOOKUP(P$7,'Property Calc_Design Flow'!$E$3:$EJ$25,MATCH('HMB_Design Case'!$B14,'Property Calc_Design Flow'!$C$3:$C$24,0),FALSE)</f>
        <v>29.128773629995219</v>
      </c>
      <c r="Q14" s="73">
        <f>HLOOKUP(Q$7,'Property Calc_Design Flow'!$E$3:$EJ$25,MATCH('HMB_Design Case'!$B14,'Property Calc_Design Flow'!$C$3:$C$24,0),FALSE)</f>
        <v>29.128773629995219</v>
      </c>
      <c r="R14" s="73">
        <f>HLOOKUP(R$7,'Property Calc_Design Flow'!$E$3:$EJ$25,MATCH('HMB_Design Case'!$B14,'Property Calc_Design Flow'!$C$3:$C$24,0),FALSE)</f>
        <v>16.276798713369519</v>
      </c>
      <c r="S14" s="73">
        <f>HLOOKUP(S$7,'Property Calc_Design Flow'!$E$3:$EJ$25,MATCH('HMB_Design Case'!$B14,'Property Calc_Design Flow'!$C$3:$C$24,0),FALSE)</f>
        <v>16.276798713369519</v>
      </c>
      <c r="T14" s="73">
        <f>HLOOKUP(T$7,'Property Calc_Design Flow'!$E$3:$EJ$25,MATCH('HMB_Design Case'!$B14,'Property Calc_Design Flow'!$C$3:$C$24,0),FALSE)</f>
        <v>16.276798713369519</v>
      </c>
      <c r="U14" s="73">
        <f>HLOOKUP(U$7,'Property Calc_Design Flow'!$E$3:$EJ$25,MATCH('HMB_Design Case'!$B14,'Property Calc_Design Flow'!$C$3:$C$24,0),FALSE)</f>
        <v>16.276798713369519</v>
      </c>
      <c r="V14" s="73">
        <f>HLOOKUP(V$7,'Property Calc_Design Flow'!$E$3:$EJ$25,MATCH('HMB_Design Case'!$B14,'Property Calc_Design Flow'!$C$3:$C$24,0),FALSE)</f>
        <v>16.276798713369519</v>
      </c>
      <c r="W14" s="73">
        <f>HLOOKUP(W$7,'Property Calc_Design Flow'!$E$3:$EJ$25,MATCH('HMB_Design Case'!$B14,'Property Calc_Design Flow'!$C$3:$C$24,0),FALSE)</f>
        <v>18.02</v>
      </c>
    </row>
    <row r="15" spans="1:23" x14ac:dyDescent="0.35">
      <c r="B15" s="19" t="s">
        <v>22</v>
      </c>
      <c r="C15" s="27" t="s">
        <v>23</v>
      </c>
      <c r="D15" s="73">
        <f>HLOOKUP(D$7,'Property Calc_Design Flow'!$E$3:$EJ$25,MATCH('HMB_Design Case'!$B15,'Property Calc_Design Flow'!$C$3:$C$24,0),FALSE)</f>
        <v>0.99980339092408055</v>
      </c>
      <c r="E15" s="73">
        <f>HLOOKUP(E$7,'Property Calc_Design Flow'!$E$3:$EJ$25,MATCH('HMB_Design Case'!$B15,'Property Calc_Design Flow'!$C$3:$C$24,0),FALSE)</f>
        <v>0.99980339092408033</v>
      </c>
      <c r="F15" s="73">
        <f>HLOOKUP(F$7,'Property Calc_Design Flow'!$E$3:$EJ$25,MATCH('HMB_Design Case'!$B15,'Property Calc_Design Flow'!$C$3:$C$24,0),FALSE)</f>
        <v>0.99980339092408033</v>
      </c>
      <c r="G15" s="73">
        <f>HLOOKUP(G$7,'Property Calc_Design Flow'!$E$3:$EJ$25,MATCH('HMB_Design Case'!$B15,'Property Calc_Design Flow'!$C$3:$C$24,0),FALSE)</f>
        <v>0.99980339092408066</v>
      </c>
      <c r="H15" s="73">
        <f>HLOOKUP(H$7,'Property Calc_Design Flow'!$E$3:$EJ$25,MATCH('HMB_Design Case'!$B15,'Property Calc_Design Flow'!$C$3:$C$24,0),FALSE)</f>
        <v>0.99980339092408033</v>
      </c>
      <c r="I15" s="73">
        <f>HLOOKUP(I$7,'Property Calc_Design Flow'!$E$3:$EJ$25,MATCH('HMB_Design Case'!$B15,'Property Calc_Design Flow'!$C$3:$C$24,0),FALSE)</f>
        <v>0.99980339092408055</v>
      </c>
      <c r="J15" s="73">
        <f>HLOOKUP(J$7,'Property Calc_Design Flow'!$E$3:$EJ$25,MATCH('HMB_Design Case'!$B15,'Property Calc_Design Flow'!$C$3:$C$24,0),FALSE)</f>
        <v>0.99980339092408055</v>
      </c>
      <c r="K15" s="73">
        <f>HLOOKUP(K$7,'Property Calc_Design Flow'!$E$3:$EJ$25,MATCH('HMB_Design Case'!$B15,'Property Calc_Design Flow'!$C$3:$C$24,0),FALSE)</f>
        <v>0.99980339092408055</v>
      </c>
      <c r="L15" s="73">
        <f>HLOOKUP(L$7,'Property Calc_Design Flow'!$E$3:$EJ$25,MATCH('HMB_Design Case'!$B15,'Property Calc_Design Flow'!$C$3:$C$24,0),FALSE)</f>
        <v>0.99980339092408066</v>
      </c>
      <c r="M15" s="73">
        <f>HLOOKUP(M$7,'Property Calc_Design Flow'!$E$3:$EJ$25,MATCH('HMB_Design Case'!$B15,'Property Calc_Design Flow'!$C$3:$C$24,0),FALSE)</f>
        <v>0.99980339092408033</v>
      </c>
      <c r="N15" s="73">
        <f>HLOOKUP(N$7,'Property Calc_Design Flow'!$E$3:$EJ$25,MATCH('HMB_Design Case'!$B15,'Property Calc_Design Flow'!$C$3:$C$24,0),FALSE)</f>
        <v>0.99980339092408044</v>
      </c>
      <c r="O15" s="73">
        <f>HLOOKUP(O$7,'Property Calc_Design Flow'!$E$3:$EJ$25,MATCH('HMB_Design Case'!$B15,'Property Calc_Design Flow'!$C$3:$C$24,0),FALSE)</f>
        <v>0.99980339092408044</v>
      </c>
      <c r="P15" s="73">
        <f>HLOOKUP(P$7,'Property Calc_Design Flow'!$E$3:$EJ$25,MATCH('HMB_Design Case'!$B15,'Property Calc_Design Flow'!$C$3:$C$24,0),FALSE)</f>
        <v>0.99980339092408044</v>
      </c>
      <c r="Q15" s="73">
        <f>HLOOKUP(Q$7,'Property Calc_Design Flow'!$E$3:$EJ$25,MATCH('HMB_Design Case'!$B15,'Property Calc_Design Flow'!$C$3:$C$24,0),FALSE)</f>
        <v>0.99980339092408044</v>
      </c>
      <c r="R15" s="73">
        <f>HLOOKUP(R$7,'Property Calc_Design Flow'!$E$3:$EJ$25,MATCH('HMB_Design Case'!$B15,'Property Calc_Design Flow'!$C$3:$C$24,0),FALSE)</f>
        <v>0.99980339092408033</v>
      </c>
      <c r="S15" s="73">
        <f>HLOOKUP(S$7,'Property Calc_Design Flow'!$E$3:$EJ$25,MATCH('HMB_Design Case'!$B15,'Property Calc_Design Flow'!$C$3:$C$24,0),FALSE)</f>
        <v>0.99980339092408044</v>
      </c>
      <c r="T15" s="73">
        <f>HLOOKUP(T$7,'Property Calc_Design Flow'!$E$3:$EJ$25,MATCH('HMB_Design Case'!$B15,'Property Calc_Design Flow'!$C$3:$C$24,0),FALSE)</f>
        <v>0.99980339092408044</v>
      </c>
      <c r="U15" s="73">
        <f>HLOOKUP(U$7,'Property Calc_Design Flow'!$E$3:$EJ$25,MATCH('HMB_Design Case'!$B15,'Property Calc_Design Flow'!$C$3:$C$24,0),FALSE)</f>
        <v>0.99980339092408055</v>
      </c>
      <c r="V15" s="73">
        <f>HLOOKUP(V$7,'Property Calc_Design Flow'!$E$3:$EJ$25,MATCH('HMB_Design Case'!$B15,'Property Calc_Design Flow'!$C$3:$C$24,0),FALSE)</f>
        <v>0.99980339092408022</v>
      </c>
      <c r="W15" s="73">
        <f>HLOOKUP(W$7,'Property Calc_Design Flow'!$E$3:$EJ$25,MATCH('HMB_Design Case'!$B15,'Property Calc_Design Flow'!$C$3:$C$24,0),FALSE)</f>
        <v>0.99980339092408044</v>
      </c>
    </row>
    <row r="16" spans="1:23" x14ac:dyDescent="0.35">
      <c r="B16" s="19" t="s">
        <v>20</v>
      </c>
      <c r="C16" s="27" t="s">
        <v>21</v>
      </c>
      <c r="D16" s="76">
        <f>HLOOKUP(D$7,'Property Calc_Design Flow'!$E$3:$EJ$25,MATCH('HMB_Design Case'!$B16,'Property Calc_Design Flow'!$C$3:$C$24,0),FALSE)</f>
        <v>0.37782375152342468</v>
      </c>
      <c r="E16" s="76">
        <f>HLOOKUP(E$7,'Property Calc_Design Flow'!$E$3:$EJ$25,MATCH('HMB_Design Case'!$B16,'Property Calc_Design Flow'!$C$3:$C$24,0),FALSE)</f>
        <v>0.36833812251189052</v>
      </c>
      <c r="F16" s="76">
        <f>HLOOKUP(F$7,'Property Calc_Design Flow'!$E$3:$EJ$25,MATCH('HMB_Design Case'!$B16,'Property Calc_Design Flow'!$C$3:$C$24,0),FALSE)</f>
        <v>0.36596786432326833</v>
      </c>
      <c r="G16" s="76">
        <f>HLOOKUP(G$7,'Property Calc_Design Flow'!$E$3:$EJ$25,MATCH('HMB_Design Case'!$B16,'Property Calc_Design Flow'!$C$3:$C$24,0),FALSE)</f>
        <v>0.36326099452416943</v>
      </c>
      <c r="H16" s="76">
        <f>HLOOKUP(H$7,'Property Calc_Design Flow'!$E$3:$EJ$25,MATCH('HMB_Design Case'!$B16,'Property Calc_Design Flow'!$C$3:$C$24,0),FALSE)</f>
        <v>0.79207328070924266</v>
      </c>
      <c r="I16" s="76">
        <f>HLOOKUP(I$7,'Property Calc_Design Flow'!$E$3:$EJ$25,MATCH('HMB_Design Case'!$B16,'Property Calc_Design Flow'!$C$3:$C$24,0),FALSE)</f>
        <v>0.97339889702108207</v>
      </c>
      <c r="J16" s="76">
        <f>HLOOKUP(J$7,'Property Calc_Design Flow'!$E$3:$EJ$25,MATCH('HMB_Design Case'!$B16,'Property Calc_Design Flow'!$C$3:$C$24,0),FALSE)</f>
        <v>0.98435921262999937</v>
      </c>
      <c r="K16" s="76">
        <f>HLOOKUP(K$7,'Property Calc_Design Flow'!$E$3:$EJ$25,MATCH('HMB_Design Case'!$B16,'Property Calc_Design Flow'!$C$3:$C$24,0),FALSE)</f>
        <v>1.1013923490799229</v>
      </c>
      <c r="L16" s="76">
        <f>HLOOKUP(L$7,'Property Calc_Design Flow'!$E$3:$EJ$25,MATCH('HMB_Design Case'!$B16,'Property Calc_Design Flow'!$C$3:$C$24,0),FALSE)</f>
        <v>1.0746958234976414</v>
      </c>
      <c r="M16" s="76">
        <f>HLOOKUP(M$7,'Property Calc_Design Flow'!$E$3:$EJ$25,MATCH('HMB_Design Case'!$B16,'Property Calc_Design Flow'!$C$3:$C$24,0),FALSE)</f>
        <v>1.0695952263286923</v>
      </c>
      <c r="N16" s="76">
        <f>HLOOKUP(N$7,'Property Calc_Design Flow'!$E$3:$EJ$25,MATCH('HMB_Design Case'!$B16,'Property Calc_Design Flow'!$C$3:$C$24,0),FALSE)</f>
        <v>0.1246051615790662</v>
      </c>
      <c r="O16" s="76">
        <f>HLOOKUP(O$7,'Property Calc_Design Flow'!$E$3:$EJ$25,MATCH('HMB_Design Case'!$B16,'Property Calc_Design Flow'!$C$3:$C$24,0),FALSE)</f>
        <v>8.6807031745741448E-2</v>
      </c>
      <c r="P16" s="76">
        <f>HLOOKUP(P$7,'Property Calc_Design Flow'!$E$3:$EJ$25,MATCH('HMB_Design Case'!$B16,'Property Calc_Design Flow'!$C$3:$C$24,0),FALSE)</f>
        <v>0.30481867864576484</v>
      </c>
      <c r="Q16" s="76">
        <f>HLOOKUP(Q$7,'Property Calc_Design Flow'!$E$3:$EJ$25,MATCH('HMB_Design Case'!$B16,'Property Calc_Design Flow'!$C$3:$C$24,0),FALSE)</f>
        <v>0.36377649039179055</v>
      </c>
      <c r="R16" s="76">
        <f>HLOOKUP(R$7,'Property Calc_Design Flow'!$E$3:$EJ$25,MATCH('HMB_Design Case'!$B16,'Property Calc_Design Flow'!$C$3:$C$24,0),FALSE)</f>
        <v>0.4883897919502263</v>
      </c>
      <c r="S16" s="76">
        <f>HLOOKUP(S$7,'Property Calc_Design Flow'!$E$3:$EJ$25,MATCH('HMB_Design Case'!$B16,'Property Calc_Design Flow'!$C$3:$C$24,0),FALSE)</f>
        <v>0.64669484707454838</v>
      </c>
      <c r="T16" s="76">
        <f>HLOOKUP(T$7,'Property Calc_Design Flow'!$E$3:$EJ$25,MATCH('HMB_Design Case'!$B16,'Property Calc_Design Flow'!$C$3:$C$24,0),FALSE)</f>
        <v>0.75123894831999516</v>
      </c>
      <c r="U16" s="76">
        <f>HLOOKUP(U$7,'Property Calc_Design Flow'!$E$3:$EJ$25,MATCH('HMB_Design Case'!$B16,'Property Calc_Design Flow'!$C$3:$C$24,0),FALSE)</f>
        <v>0.7674283263705155</v>
      </c>
      <c r="V16" s="76">
        <f>HLOOKUP(V$7,'Property Calc_Design Flow'!$E$3:$EJ$25,MATCH('HMB_Design Case'!$B16,'Property Calc_Design Flow'!$C$3:$C$24,0),FALSE)</f>
        <v>0.76469434587044249</v>
      </c>
      <c r="W16" s="76">
        <f>HLOOKUP(W$7,'Property Calc_Design Flow'!$E$3:$EJ$25,MATCH('HMB_Design Case'!$B16,'Property Calc_Design Flow'!$C$3:$C$24,0),FALSE)</f>
        <v>0.45255543087399852</v>
      </c>
    </row>
    <row r="17" spans="1:23" x14ac:dyDescent="0.35">
      <c r="A17" s="69"/>
      <c r="B17" s="98" t="s">
        <v>159</v>
      </c>
      <c r="C17" s="69" t="s">
        <v>3</v>
      </c>
      <c r="D17" s="73">
        <f>HLOOKUP(D$7,'Property Calc_Design Flow'!$E$3:$EJ$25,MATCH('HMB_Design Case'!$B17,'Property Calc_Design Flow'!$C$3:$C$24,0),FALSE)</f>
        <v>0</v>
      </c>
      <c r="E17" s="73" t="str">
        <f>HLOOKUP(E$7,'Property Calc_Design Flow'!$E$3:$EJ$25,MATCH('HMB_Design Case'!$B17,'Property Calc_Design Flow'!$C$3:$C$24,0),FALSE)</f>
        <v/>
      </c>
      <c r="F17" s="73" t="str">
        <f>HLOOKUP(F$7,'Property Calc_Design Flow'!$E$3:$EJ$25,MATCH('HMB_Design Case'!$B17,'Property Calc_Design Flow'!$C$3:$C$24,0),FALSE)</f>
        <v/>
      </c>
      <c r="G17" s="73" t="str">
        <f>HLOOKUP(G$7,'Property Calc_Design Flow'!$E$3:$EJ$25,MATCH('HMB_Design Case'!$B17,'Property Calc_Design Flow'!$C$3:$C$24,0),FALSE)</f>
        <v/>
      </c>
      <c r="H17" s="73" t="str">
        <f>HLOOKUP(H$7,'Property Calc_Design Flow'!$E$3:$EJ$25,MATCH('HMB_Design Case'!$B17,'Property Calc_Design Flow'!$C$3:$C$24,0),FALSE)</f>
        <v/>
      </c>
      <c r="I17" s="73" t="str">
        <f>HLOOKUP(I$7,'Property Calc_Design Flow'!$E$3:$EJ$25,MATCH('HMB_Design Case'!$B17,'Property Calc_Design Flow'!$C$3:$C$24,0),FALSE)</f>
        <v/>
      </c>
      <c r="J17" s="73" t="str">
        <f>HLOOKUP(J$7,'Property Calc_Design Flow'!$E$3:$EJ$25,MATCH('HMB_Design Case'!$B17,'Property Calc_Design Flow'!$C$3:$C$24,0),FALSE)</f>
        <v/>
      </c>
      <c r="K17" s="73">
        <f>HLOOKUP(K$7,'Property Calc_Design Flow'!$E$3:$EJ$25,MATCH('HMB_Design Case'!$B17,'Property Calc_Design Flow'!$C$3:$C$24,0),FALSE)</f>
        <v>5.1900047708272927</v>
      </c>
      <c r="L17" s="73" t="str">
        <f>HLOOKUP(L$7,'Property Calc_Design Flow'!$E$3:$EJ$25,MATCH('HMB_Design Case'!$B17,'Property Calc_Design Flow'!$C$3:$C$24,0),FALSE)</f>
        <v/>
      </c>
      <c r="M17" s="73" t="str">
        <f>HLOOKUP(M$7,'Property Calc_Design Flow'!$E$3:$EJ$25,MATCH('HMB_Design Case'!$B17,'Property Calc_Design Flow'!$C$3:$C$24,0),FALSE)</f>
        <v/>
      </c>
      <c r="N17" s="73" t="str">
        <f>HLOOKUP(N$7,'Property Calc_Design Flow'!$E$3:$EJ$25,MATCH('HMB_Design Case'!$B17,'Property Calc_Design Flow'!$C$3:$C$24,0),FALSE)</f>
        <v/>
      </c>
      <c r="O17" s="73" t="str">
        <f>HLOOKUP(O$7,'Property Calc_Design Flow'!$E$3:$EJ$25,MATCH('HMB_Design Case'!$B17,'Property Calc_Design Flow'!$C$3:$C$24,0),FALSE)</f>
        <v/>
      </c>
      <c r="P17" s="73" t="str">
        <f>HLOOKUP(P$7,'Property Calc_Design Flow'!$E$3:$EJ$25,MATCH('HMB_Design Case'!$B17,'Property Calc_Design Flow'!$C$3:$C$24,0),FALSE)</f>
        <v/>
      </c>
      <c r="Q17" s="73" t="str">
        <f>HLOOKUP(Q$7,'Property Calc_Design Flow'!$E$3:$EJ$25,MATCH('HMB_Design Case'!$B17,'Property Calc_Design Flow'!$C$3:$C$24,0),FALSE)</f>
        <v/>
      </c>
      <c r="R17" s="73" t="str">
        <f>HLOOKUP(R$7,'Property Calc_Design Flow'!$E$3:$EJ$25,MATCH('HMB_Design Case'!$B17,'Property Calc_Design Flow'!$C$3:$C$24,0),FALSE)</f>
        <v/>
      </c>
      <c r="S17" s="73" t="str">
        <f>HLOOKUP(S$7,'Property Calc_Design Flow'!$E$3:$EJ$25,MATCH('HMB_Design Case'!$B17,'Property Calc_Design Flow'!$C$3:$C$24,0),FALSE)</f>
        <v/>
      </c>
      <c r="T17" s="73">
        <f>HLOOKUP(T$7,'Property Calc_Design Flow'!$E$3:$EJ$25,MATCH('HMB_Design Case'!$B17,'Property Calc_Design Flow'!$C$3:$C$24,0),FALSE)</f>
        <v>4.5980297819073259</v>
      </c>
      <c r="U17" s="73" t="str">
        <f>HLOOKUP(U$7,'Property Calc_Design Flow'!$E$3:$EJ$25,MATCH('HMB_Design Case'!$B17,'Property Calc_Design Flow'!$C$3:$C$24,0),FALSE)</f>
        <v/>
      </c>
      <c r="V17" s="73" t="str">
        <f>HLOOKUP(V$7,'Property Calc_Design Flow'!$E$3:$EJ$25,MATCH('HMB_Design Case'!$B17,'Property Calc_Design Flow'!$C$3:$C$24,0),FALSE)</f>
        <v/>
      </c>
      <c r="W17" s="73">
        <f>HLOOKUP(W$7,'Property Calc_Design Flow'!$E$3:$EJ$25,MATCH('HMB_Design Case'!$B17,'Property Calc_Design Flow'!$C$3:$C$24,0),FALSE)</f>
        <v>5.1900047708272927</v>
      </c>
    </row>
    <row r="18" spans="1:23" x14ac:dyDescent="0.35">
      <c r="B18" s="74" t="s">
        <v>169</v>
      </c>
      <c r="C18" s="534"/>
      <c r="D18" s="535"/>
      <c r="E18" s="535"/>
      <c r="F18" s="535"/>
      <c r="G18" s="535"/>
      <c r="H18" s="535"/>
      <c r="I18" s="535"/>
      <c r="J18" s="535"/>
      <c r="K18" s="535"/>
      <c r="L18" s="535"/>
      <c r="M18" s="535"/>
      <c r="N18" s="535"/>
      <c r="O18" s="535"/>
      <c r="P18" s="535"/>
      <c r="Q18" s="535"/>
      <c r="R18" s="535"/>
      <c r="S18" s="535"/>
      <c r="T18" s="535"/>
      <c r="U18" s="535"/>
      <c r="V18" s="536"/>
    </row>
    <row r="19" spans="1:23" x14ac:dyDescent="0.35">
      <c r="A19" s="77">
        <v>1</v>
      </c>
      <c r="B19" s="19" t="str">
        <f>VLOOKUP($A19,'Property Calc_Design Flow'!$B$18:$D$134,2,FALSE)</f>
        <v>Methane (CH4)</v>
      </c>
      <c r="C19" s="27" t="s">
        <v>122</v>
      </c>
      <c r="D19" s="76">
        <f>HLOOKUP(D$7,'Property Calc_Design Flow'!$E$3:$EJ$25,MATCH('HMB_Design Case'!$B19,'Property Calc_Design Flow'!$C$3:$C$24,0),FALSE)</f>
        <v>60.132784065912091</v>
      </c>
      <c r="E19" s="76">
        <f>HLOOKUP(E$7,'Property Calc_Design Flow'!$E$3:$EJ$25,MATCH('HMB_Design Case'!$B19,'Property Calc_Design Flow'!$C$3:$C$24,0),FALSE)</f>
        <v>60.13554994043934</v>
      </c>
      <c r="F19" s="76">
        <f>HLOOKUP(F$7,'Property Calc_Design Flow'!$E$3:$EJ$25,MATCH('HMB_Design Case'!$B19,'Property Calc_Design Flow'!$C$3:$C$24,0),FALSE)</f>
        <v>60.13554994043934</v>
      </c>
      <c r="G19" s="76">
        <f>HLOOKUP(G$7,'Property Calc_Design Flow'!$E$3:$EJ$25,MATCH('HMB_Design Case'!$B19,'Property Calc_Design Flow'!$C$3:$C$24,0),FALSE)</f>
        <v>56.51077684448169</v>
      </c>
      <c r="H19" s="76">
        <f>HLOOKUP(H$7,'Property Calc_Design Flow'!$E$3:$EJ$25,MATCH('HMB_Design Case'!$B19,'Property Calc_Design Flow'!$C$3:$C$24,0),FALSE)</f>
        <v>56.51077684448169</v>
      </c>
      <c r="I19" s="76">
        <f>HLOOKUP(I$7,'Property Calc_Design Flow'!$E$3:$EJ$25,MATCH('HMB_Design Case'!$B19,'Property Calc_Design Flow'!$C$3:$C$24,0),FALSE)</f>
        <v>56.51077684448169</v>
      </c>
      <c r="J19" s="76">
        <f>HLOOKUP(J$7,'Property Calc_Design Flow'!$E$3:$EJ$25,MATCH('HMB_Design Case'!$B19,'Property Calc_Design Flow'!$C$3:$C$24,0),FALSE)</f>
        <v>56.51077684448169</v>
      </c>
      <c r="K19" s="76">
        <f>HLOOKUP(K$7,'Property Calc_Design Flow'!$E$3:$EJ$25,MATCH('HMB_Design Case'!$B19,'Property Calc_Design Flow'!$C$3:$C$24,0),FALSE)</f>
        <v>56.536046700874365</v>
      </c>
      <c r="L19" s="76">
        <f>HLOOKUP(L$7,'Property Calc_Design Flow'!$E$3:$EJ$25,MATCH('HMB_Design Case'!$B19,'Property Calc_Design Flow'!$C$3:$C$24,0),FALSE)</f>
        <v>56.536046700874365</v>
      </c>
      <c r="M19" s="76">
        <f>HLOOKUP(M$7,'Property Calc_Design Flow'!$E$3:$EJ$25,MATCH('HMB_Design Case'!$B19,'Property Calc_Design Flow'!$C$3:$C$24,0),FALSE)</f>
        <v>56.536046700874365</v>
      </c>
      <c r="N19" s="76">
        <f>HLOOKUP(N$7,'Property Calc_Design Flow'!$E$3:$EJ$25,MATCH('HMB_Design Case'!$B19,'Property Calc_Design Flow'!$C$3:$C$24,0),FALSE)</f>
        <v>1.5292926736707932</v>
      </c>
      <c r="O19" s="76">
        <f>HLOOKUP(O$7,'Property Calc_Design Flow'!$E$3:$EJ$25,MATCH('HMB_Design Case'!$B19,'Property Calc_Design Flow'!$C$3:$C$24,0),FALSE)</f>
        <v>51.814507662187808</v>
      </c>
      <c r="P19" s="76">
        <f>HLOOKUP(P$7,'Property Calc_Design Flow'!$E$3:$EJ$25,MATCH('HMB_Design Case'!$B19,'Property Calc_Design Flow'!$C$3:$C$24,0),FALSE)</f>
        <v>51.814507662187808</v>
      </c>
      <c r="Q19" s="76">
        <f>HLOOKUP(Q$7,'Property Calc_Design Flow'!$E$3:$EJ$25,MATCH('HMB_Design Case'!$B19,'Property Calc_Design Flow'!$C$3:$C$24,0),FALSE)</f>
        <v>51.814507662187808</v>
      </c>
      <c r="R19" s="76">
        <f>HLOOKUP(R$7,'Property Calc_Design Flow'!$E$3:$EJ$25,MATCH('HMB_Design Case'!$B19,'Property Calc_Design Flow'!$C$3:$C$24,0),FALSE)</f>
        <v>98.243929242641002</v>
      </c>
      <c r="S19" s="76">
        <f>HLOOKUP(S$7,'Property Calc_Design Flow'!$E$3:$EJ$25,MATCH('HMB_Design Case'!$B19,'Property Calc_Design Flow'!$C$3:$C$24,0),FALSE)</f>
        <v>98.243929242641002</v>
      </c>
      <c r="T19" s="76">
        <f>HLOOKUP(T$7,'Property Calc_Design Flow'!$E$3:$EJ$25,MATCH('HMB_Design Case'!$B19,'Property Calc_Design Flow'!$C$3:$C$24,0),FALSE)</f>
        <v>98.243929242641002</v>
      </c>
      <c r="U19" s="76">
        <f>HLOOKUP(U$7,'Property Calc_Design Flow'!$E$3:$EJ$25,MATCH('HMB_Design Case'!$B19,'Property Calc_Design Flow'!$C$3:$C$24,0),FALSE)</f>
        <v>98.243929242641002</v>
      </c>
      <c r="V19" s="76">
        <f>HLOOKUP(V$7,'Property Calc_Design Flow'!$E$3:$EJ$25,MATCH('HMB_Design Case'!$B19,'Property Calc_Design Flow'!$C$3:$C$24,0),FALSE)</f>
        <v>98.243929242641002</v>
      </c>
      <c r="W19" s="76">
        <f>HLOOKUP(W$7,'Property Calc_Design Flow'!$E$3:$EJ$25,MATCH('HMB_Design Case'!$B19,'Property Calc_Design Flow'!$C$3:$C$24,0),FALSE)</f>
        <v>0</v>
      </c>
    </row>
    <row r="20" spans="1:23" x14ac:dyDescent="0.35">
      <c r="A20" s="77">
        <v>2</v>
      </c>
      <c r="B20" s="19" t="str">
        <f>VLOOKUP($A20,'Property Calc_Design Flow'!$B$18:$D$134,2,FALSE)</f>
        <v>Carbon Dioxide (CO2)</v>
      </c>
      <c r="C20" s="73" t="s">
        <v>122</v>
      </c>
      <c r="D20" s="76">
        <f>HLOOKUP(D$7,'Property Calc_Design Flow'!$E$3:$EJ$25,MATCH('HMB_Design Case'!$B20,'Property Calc_Design Flow'!$C$3:$C$24,0),FALSE)</f>
        <v>38.335399752029765</v>
      </c>
      <c r="E20" s="76">
        <f>HLOOKUP(E$7,'Property Calc_Design Flow'!$E$3:$EJ$25,MATCH('HMB_Design Case'!$B20,'Property Calc_Design Flow'!$C$3:$C$24,0),FALSE)</f>
        <v>38.337163031533834</v>
      </c>
      <c r="F20" s="76">
        <f>HLOOKUP(F$7,'Property Calc_Design Flow'!$E$3:$EJ$25,MATCH('HMB_Design Case'!$B20,'Property Calc_Design Flow'!$C$3:$C$24,0),FALSE)</f>
        <v>38.337163031533834</v>
      </c>
      <c r="G20" s="76">
        <f>HLOOKUP(G$7,'Property Calc_Design Flow'!$E$3:$EJ$25,MATCH('HMB_Design Case'!$B20,'Property Calc_Design Flow'!$C$3:$C$24,0),FALSE)</f>
        <v>41.429169310472346</v>
      </c>
      <c r="H20" s="76">
        <f>HLOOKUP(H$7,'Property Calc_Design Flow'!$E$3:$EJ$25,MATCH('HMB_Design Case'!$B20,'Property Calc_Design Flow'!$C$3:$C$24,0),FALSE)</f>
        <v>41.429169310472346</v>
      </c>
      <c r="I20" s="76">
        <f>HLOOKUP(I$7,'Property Calc_Design Flow'!$E$3:$EJ$25,MATCH('HMB_Design Case'!$B20,'Property Calc_Design Flow'!$C$3:$C$24,0),FALSE)</f>
        <v>41.429169310472346</v>
      </c>
      <c r="J20" s="76">
        <f>HLOOKUP(J$7,'Property Calc_Design Flow'!$E$3:$EJ$25,MATCH('HMB_Design Case'!$B20,'Property Calc_Design Flow'!$C$3:$C$24,0),FALSE)</f>
        <v>41.429169310472346</v>
      </c>
      <c r="K20" s="76">
        <f>HLOOKUP(K$7,'Property Calc_Design Flow'!$E$3:$EJ$25,MATCH('HMB_Design Case'!$B20,'Property Calc_Design Flow'!$C$3:$C$24,0),FALSE)</f>
        <v>41.447695142488854</v>
      </c>
      <c r="L20" s="76">
        <f>HLOOKUP(L$7,'Property Calc_Design Flow'!$E$3:$EJ$25,MATCH('HMB_Design Case'!$B20,'Property Calc_Design Flow'!$C$3:$C$24,0),FALSE)</f>
        <v>41.447695142488854</v>
      </c>
      <c r="M20" s="76">
        <f>HLOOKUP(M$7,'Property Calc_Design Flow'!$E$3:$EJ$25,MATCH('HMB_Design Case'!$B20,'Property Calc_Design Flow'!$C$3:$C$24,0),FALSE)</f>
        <v>41.447695142488854</v>
      </c>
      <c r="N20" s="76">
        <f>HLOOKUP(N$7,'Property Calc_Design Flow'!$E$3:$EJ$25,MATCH('HMB_Design Case'!$B20,'Property Calc_Design Flow'!$C$3:$C$24,0),FALSE)</f>
        <v>97.263054326979784</v>
      </c>
      <c r="O20" s="76">
        <f>HLOOKUP(O$7,'Property Calc_Design Flow'!$E$3:$EJ$25,MATCH('HMB_Design Case'!$B20,'Property Calc_Design Flow'!$C$3:$C$24,0),FALSE)</f>
        <v>45.435183870509718</v>
      </c>
      <c r="P20" s="76">
        <f>HLOOKUP(P$7,'Property Calc_Design Flow'!$E$3:$EJ$25,MATCH('HMB_Design Case'!$B20,'Property Calc_Design Flow'!$C$3:$C$24,0),FALSE)</f>
        <v>45.435183870509718</v>
      </c>
      <c r="Q20" s="76">
        <f>HLOOKUP(Q$7,'Property Calc_Design Flow'!$E$3:$EJ$25,MATCH('HMB_Design Case'!$B20,'Property Calc_Design Flow'!$C$3:$C$24,0),FALSE)</f>
        <v>45.435183870509718</v>
      </c>
      <c r="R20" s="76">
        <f>HLOOKUP(R$7,'Property Calc_Design Flow'!$E$3:$EJ$25,MATCH('HMB_Design Case'!$B20,'Property Calc_Design Flow'!$C$3:$C$24,0),FALSE)</f>
        <v>0.15006586543830169</v>
      </c>
      <c r="S20" s="76">
        <f>HLOOKUP(S$7,'Property Calc_Design Flow'!$E$3:$EJ$25,MATCH('HMB_Design Case'!$B20,'Property Calc_Design Flow'!$C$3:$C$24,0),FALSE)</f>
        <v>0.15006586543830169</v>
      </c>
      <c r="T20" s="76">
        <f>HLOOKUP(T$7,'Property Calc_Design Flow'!$E$3:$EJ$25,MATCH('HMB_Design Case'!$B20,'Property Calc_Design Flow'!$C$3:$C$24,0),FALSE)</f>
        <v>0.15006586543830169</v>
      </c>
      <c r="U20" s="76">
        <f>HLOOKUP(U$7,'Property Calc_Design Flow'!$E$3:$EJ$25,MATCH('HMB_Design Case'!$B20,'Property Calc_Design Flow'!$C$3:$C$24,0),FALSE)</f>
        <v>0.15006586543830169</v>
      </c>
      <c r="V20" s="76">
        <f>HLOOKUP(V$7,'Property Calc_Design Flow'!$E$3:$EJ$25,MATCH('HMB_Design Case'!$B20,'Property Calc_Design Flow'!$C$3:$C$24,0),FALSE)</f>
        <v>0.15006586543830169</v>
      </c>
      <c r="W20" s="76">
        <f>HLOOKUP(W$7,'Property Calc_Design Flow'!$E$3:$EJ$25,MATCH('HMB_Design Case'!$B20,'Property Calc_Design Flow'!$C$3:$C$24,0),FALSE)</f>
        <v>0</v>
      </c>
    </row>
    <row r="21" spans="1:23" x14ac:dyDescent="0.35">
      <c r="A21" s="77">
        <v>3</v>
      </c>
      <c r="B21" s="19" t="str">
        <f>VLOOKUP($A21,'Property Calc_Design Flow'!$B$18:$D$134,2,FALSE)</f>
        <v>Nitrogen (N2)</v>
      </c>
      <c r="C21" s="73" t="s">
        <v>122</v>
      </c>
      <c r="D21" s="76">
        <f>HLOOKUP(D$7,'Property Calc_Design Flow'!$E$3:$EJ$25,MATCH('HMB_Design Case'!$B21,'Property Calc_Design Flow'!$C$3:$C$24,0),FALSE)</f>
        <v>0.93988721353437588</v>
      </c>
      <c r="E21" s="76">
        <f>HLOOKUP(E$7,'Property Calc_Design Flow'!$E$3:$EJ$25,MATCH('HMB_Design Case'!$B21,'Property Calc_Design Flow'!$C$3:$C$24,0),FALSE)</f>
        <v>0.93993044469592579</v>
      </c>
      <c r="F21" s="76">
        <f>HLOOKUP(F$7,'Property Calc_Design Flow'!$E$3:$EJ$25,MATCH('HMB_Design Case'!$B21,'Property Calc_Design Flow'!$C$3:$C$24,0),FALSE)</f>
        <v>0.93993044469592579</v>
      </c>
      <c r="G21" s="76">
        <f>HLOOKUP(G$7,'Property Calc_Design Flow'!$E$3:$EJ$25,MATCH('HMB_Design Case'!$B21,'Property Calc_Design Flow'!$C$3:$C$24,0),FALSE)</f>
        <v>1.0618766924323708</v>
      </c>
      <c r="H21" s="76">
        <f>HLOOKUP(H$7,'Property Calc_Design Flow'!$E$3:$EJ$25,MATCH('HMB_Design Case'!$B21,'Property Calc_Design Flow'!$C$3:$C$24,0),FALSE)</f>
        <v>1.0618766924323708</v>
      </c>
      <c r="I21" s="76">
        <f>HLOOKUP(I$7,'Property Calc_Design Flow'!$E$3:$EJ$25,MATCH('HMB_Design Case'!$B21,'Property Calc_Design Flow'!$C$3:$C$24,0),FALSE)</f>
        <v>1.0618766924323708</v>
      </c>
      <c r="J21" s="76">
        <f>HLOOKUP(J$7,'Property Calc_Design Flow'!$E$3:$EJ$25,MATCH('HMB_Design Case'!$B21,'Property Calc_Design Flow'!$C$3:$C$24,0),FALSE)</f>
        <v>1.0618766924323708</v>
      </c>
      <c r="K21" s="76">
        <f>HLOOKUP(K$7,'Property Calc_Design Flow'!$E$3:$EJ$25,MATCH('HMB_Design Case'!$B21,'Property Calc_Design Flow'!$C$3:$C$24,0),FALSE)</f>
        <v>1.062351530561005</v>
      </c>
      <c r="L21" s="76">
        <f>HLOOKUP(L$7,'Property Calc_Design Flow'!$E$3:$EJ$25,MATCH('HMB_Design Case'!$B21,'Property Calc_Design Flow'!$C$3:$C$24,0),FALSE)</f>
        <v>1.062351530561005</v>
      </c>
      <c r="M21" s="76">
        <f>HLOOKUP(M$7,'Property Calc_Design Flow'!$E$3:$EJ$25,MATCH('HMB_Design Case'!$B21,'Property Calc_Design Flow'!$C$3:$C$24,0),FALSE)</f>
        <v>1.062351530561005</v>
      </c>
      <c r="N21" s="76">
        <f>HLOOKUP(N$7,'Property Calc_Design Flow'!$E$3:$EJ$25,MATCH('HMB_Design Case'!$B21,'Property Calc_Design Flow'!$C$3:$C$24,0),FALSE)</f>
        <v>9.3123987497616037E-2</v>
      </c>
      <c r="O21" s="76">
        <f>HLOOKUP(O$7,'Property Calc_Design Flow'!$E$3:$EJ$25,MATCH('HMB_Design Case'!$B21,'Property Calc_Design Flow'!$C$3:$C$24,0),FALSE)</f>
        <v>1.2198706937064672</v>
      </c>
      <c r="P21" s="76">
        <f>HLOOKUP(P$7,'Property Calc_Design Flow'!$E$3:$EJ$25,MATCH('HMB_Design Case'!$B21,'Property Calc_Design Flow'!$C$3:$C$24,0),FALSE)</f>
        <v>1.2198706937064672</v>
      </c>
      <c r="Q21" s="76">
        <f>HLOOKUP(Q$7,'Property Calc_Design Flow'!$E$3:$EJ$25,MATCH('HMB_Design Case'!$B21,'Property Calc_Design Flow'!$C$3:$C$24,0),FALSE)</f>
        <v>1.2198706937064672</v>
      </c>
      <c r="R21" s="76">
        <f>HLOOKUP(R$7,'Property Calc_Design Flow'!$E$3:$EJ$25,MATCH('HMB_Design Case'!$B21,'Property Calc_Design Flow'!$C$3:$C$24,0),FALSE)</f>
        <v>1.4906542633537971</v>
      </c>
      <c r="S21" s="76">
        <f>HLOOKUP(S$7,'Property Calc_Design Flow'!$E$3:$EJ$25,MATCH('HMB_Design Case'!$B21,'Property Calc_Design Flow'!$C$3:$C$24,0),FALSE)</f>
        <v>1.4906542633537971</v>
      </c>
      <c r="T21" s="76">
        <f>HLOOKUP(T$7,'Property Calc_Design Flow'!$E$3:$EJ$25,MATCH('HMB_Design Case'!$B21,'Property Calc_Design Flow'!$C$3:$C$24,0),FALSE)</f>
        <v>1.4906542633537971</v>
      </c>
      <c r="U21" s="76">
        <f>HLOOKUP(U$7,'Property Calc_Design Flow'!$E$3:$EJ$25,MATCH('HMB_Design Case'!$B21,'Property Calc_Design Flow'!$C$3:$C$24,0),FALSE)</f>
        <v>1.4906542633537971</v>
      </c>
      <c r="V21" s="76">
        <f>HLOOKUP(V$7,'Property Calc_Design Flow'!$E$3:$EJ$25,MATCH('HMB_Design Case'!$B21,'Property Calc_Design Flow'!$C$3:$C$24,0),FALSE)</f>
        <v>1.4906542633537971</v>
      </c>
      <c r="W21" s="76">
        <f>HLOOKUP(W$7,'Property Calc_Design Flow'!$E$3:$EJ$25,MATCH('HMB_Design Case'!$B21,'Property Calc_Design Flow'!$C$3:$C$24,0),FALSE)</f>
        <v>0</v>
      </c>
    </row>
    <row r="22" spans="1:23" x14ac:dyDescent="0.35">
      <c r="A22" s="77">
        <v>4</v>
      </c>
      <c r="B22" s="19" t="str">
        <f>VLOOKUP($A22,'Property Calc_Design Flow'!$B$18:$D$134,2,FALSE)</f>
        <v>Oxygen (O2)</v>
      </c>
      <c r="C22" s="73" t="s">
        <v>122</v>
      </c>
      <c r="D22" s="76">
        <f>HLOOKUP(D$7,'Property Calc_Design Flow'!$E$3:$EJ$25,MATCH('HMB_Design Case'!$B22,'Property Calc_Design Flow'!$C$3:$C$24,0),FALSE)</f>
        <v>0.45994480662320536</v>
      </c>
      <c r="E22" s="76">
        <f>HLOOKUP(E$7,'Property Calc_Design Flow'!$E$3:$EJ$25,MATCH('HMB_Design Case'!$B22,'Property Calc_Design Flow'!$C$3:$C$24,0),FALSE)</f>
        <v>0.45996596229800635</v>
      </c>
      <c r="F22" s="76">
        <f>HLOOKUP(F$7,'Property Calc_Design Flow'!$E$3:$EJ$25,MATCH('HMB_Design Case'!$B22,'Property Calc_Design Flow'!$C$3:$C$24,0),FALSE)</f>
        <v>0.45996596229800635</v>
      </c>
      <c r="G22" s="76">
        <f>HLOOKUP(G$7,'Property Calc_Design Flow'!$E$3:$EJ$25,MATCH('HMB_Design Case'!$B22,'Property Calc_Design Flow'!$C$3:$C$24,0),FALSE)</f>
        <v>0.8955286530379728</v>
      </c>
      <c r="H22" s="76">
        <f>HLOOKUP(H$7,'Property Calc_Design Flow'!$E$3:$EJ$25,MATCH('HMB_Design Case'!$B22,'Property Calc_Design Flow'!$C$3:$C$24,0),FALSE)</f>
        <v>0.8955286530379728</v>
      </c>
      <c r="I22" s="76">
        <f>HLOOKUP(I$7,'Property Calc_Design Flow'!$E$3:$EJ$25,MATCH('HMB_Design Case'!$B22,'Property Calc_Design Flow'!$C$3:$C$24,0),FALSE)</f>
        <v>0.8955286530379728</v>
      </c>
      <c r="J22" s="76">
        <f>HLOOKUP(J$7,'Property Calc_Design Flow'!$E$3:$EJ$25,MATCH('HMB_Design Case'!$B22,'Property Calc_Design Flow'!$C$3:$C$24,0),FALSE)</f>
        <v>0.8955286530379728</v>
      </c>
      <c r="K22" s="76">
        <f>HLOOKUP(K$7,'Property Calc_Design Flow'!$E$3:$EJ$25,MATCH('HMB_Design Case'!$B22,'Property Calc_Design Flow'!$C$3:$C$24,0),FALSE)</f>
        <v>0.89592910551308336</v>
      </c>
      <c r="L22" s="76">
        <f>HLOOKUP(L$7,'Property Calc_Design Flow'!$E$3:$EJ$25,MATCH('HMB_Design Case'!$B22,'Property Calc_Design Flow'!$C$3:$C$24,0),FALSE)</f>
        <v>0.89592910551308336</v>
      </c>
      <c r="M22" s="76">
        <f>HLOOKUP(M$7,'Property Calc_Design Flow'!$E$3:$EJ$25,MATCH('HMB_Design Case'!$B22,'Property Calc_Design Flow'!$C$3:$C$24,0),FALSE)</f>
        <v>0.89592910551308336</v>
      </c>
      <c r="N22" s="76">
        <f>HLOOKUP(N$7,'Property Calc_Design Flow'!$E$3:$EJ$25,MATCH('HMB_Design Case'!$B22,'Property Calc_Design Flow'!$C$3:$C$24,0),FALSE)</f>
        <v>1.0155544934492986</v>
      </c>
      <c r="O22" s="76">
        <f>HLOOKUP(O$7,'Property Calc_Design Flow'!$E$3:$EJ$25,MATCH('HMB_Design Case'!$B22,'Property Calc_Design Flow'!$C$3:$C$24,0),FALSE)</f>
        <v>1.4598452564028215</v>
      </c>
      <c r="P22" s="76">
        <f>HLOOKUP(P$7,'Property Calc_Design Flow'!$E$3:$EJ$25,MATCH('HMB_Design Case'!$B22,'Property Calc_Design Flow'!$C$3:$C$24,0),FALSE)</f>
        <v>1.4598452564028215</v>
      </c>
      <c r="Q22" s="76">
        <f>HLOOKUP(Q$7,'Property Calc_Design Flow'!$E$3:$EJ$25,MATCH('HMB_Design Case'!$B22,'Property Calc_Design Flow'!$C$3:$C$24,0),FALSE)</f>
        <v>1.4598452564028215</v>
      </c>
      <c r="R22" s="76">
        <f>HLOOKUP(R$7,'Property Calc_Design Flow'!$E$3:$EJ$25,MATCH('HMB_Design Case'!$B22,'Property Calc_Design Flow'!$C$3:$C$24,0),FALSE)</f>
        <v>0.10004391029220111</v>
      </c>
      <c r="S22" s="76">
        <f>HLOOKUP(S$7,'Property Calc_Design Flow'!$E$3:$EJ$25,MATCH('HMB_Design Case'!$B22,'Property Calc_Design Flow'!$C$3:$C$24,0),FALSE)</f>
        <v>0.10004391029220111</v>
      </c>
      <c r="T22" s="76">
        <f>HLOOKUP(T$7,'Property Calc_Design Flow'!$E$3:$EJ$25,MATCH('HMB_Design Case'!$B22,'Property Calc_Design Flow'!$C$3:$C$24,0),FALSE)</f>
        <v>0.10004391029220111</v>
      </c>
      <c r="U22" s="76">
        <f>HLOOKUP(U$7,'Property Calc_Design Flow'!$E$3:$EJ$25,MATCH('HMB_Design Case'!$B22,'Property Calc_Design Flow'!$C$3:$C$24,0),FALSE)</f>
        <v>0.10004391029220111</v>
      </c>
      <c r="V22" s="76">
        <f>HLOOKUP(V$7,'Property Calc_Design Flow'!$E$3:$EJ$25,MATCH('HMB_Design Case'!$B22,'Property Calc_Design Flow'!$C$3:$C$24,0),FALSE)</f>
        <v>0.10004391029220111</v>
      </c>
      <c r="W22" s="76">
        <f>HLOOKUP(W$7,'Property Calc_Design Flow'!$E$3:$EJ$25,MATCH('HMB_Design Case'!$B22,'Property Calc_Design Flow'!$C$3:$C$24,0),FALSE)</f>
        <v>0</v>
      </c>
    </row>
    <row r="23" spans="1:23" x14ac:dyDescent="0.35">
      <c r="A23" s="77">
        <v>5</v>
      </c>
      <c r="B23" s="19" t="str">
        <f>VLOOKUP($A23,'Property Calc_Design Flow'!$B$18:$D$134,2,FALSE)</f>
        <v>Hydrogen Sulfide (H2S)</v>
      </c>
      <c r="C23" s="73" t="s">
        <v>122</v>
      </c>
      <c r="D23" s="97">
        <f>HLOOKUP(D$7,'Property Calc_Design Flow'!$E$3:$EJ$25,MATCH('HMB_Design Case'!$B23,'Property Calc_Design Flow'!$C$3:$C$24,0),FALSE)</f>
        <v>4.9994000719913627E-3</v>
      </c>
      <c r="E23" s="97">
        <f>HLOOKUP(E$7,'Property Calc_Design Flow'!$E$3:$EJ$25,MATCH('HMB_Design Case'!$B23,'Property Calc_Design Flow'!$C$3:$C$24,0),FALSE)</f>
        <v>4.0001839844650607E-4</v>
      </c>
      <c r="F23" s="97">
        <f>HLOOKUP(F$7,'Property Calc_Design Flow'!$E$3:$EJ$25,MATCH('HMB_Design Case'!$B23,'Property Calc_Design Flow'!$C$3:$C$24,0),FALSE)</f>
        <v>4.0001839844650607E-4</v>
      </c>
      <c r="G23" s="97">
        <f>HLOOKUP(G$7,'Property Calc_Design Flow'!$E$3:$EJ$25,MATCH('HMB_Design Case'!$B23,'Property Calc_Design Flow'!$C$3:$C$24,0),FALSE)</f>
        <v>4.8710573602162201E-4</v>
      </c>
      <c r="H23" s="97">
        <f>HLOOKUP(H$7,'Property Calc_Design Flow'!$E$3:$EJ$25,MATCH('HMB_Design Case'!$B23,'Property Calc_Design Flow'!$C$3:$C$24,0),FALSE)</f>
        <v>4.8710573602162201E-4</v>
      </c>
      <c r="I23" s="97">
        <f>HLOOKUP(I$7,'Property Calc_Design Flow'!$E$3:$EJ$25,MATCH('HMB_Design Case'!$B23,'Property Calc_Design Flow'!$C$3:$C$24,0),FALSE)</f>
        <v>4.8710573602162201E-4</v>
      </c>
      <c r="J23" s="97">
        <f>HLOOKUP(J$7,'Property Calc_Design Flow'!$E$3:$EJ$25,MATCH('HMB_Design Case'!$B23,'Property Calc_Design Flow'!$C$3:$C$24,0),FALSE)</f>
        <v>4.8710573602162201E-4</v>
      </c>
      <c r="K23" s="97">
        <f>HLOOKUP(K$7,'Property Calc_Design Flow'!$E$3:$EJ$25,MATCH('HMB_Design Case'!$B23,'Property Calc_Design Flow'!$C$3:$C$24,0),FALSE)</f>
        <v>4.8732355451014126E-4</v>
      </c>
      <c r="L23" s="97">
        <f>HLOOKUP(L$7,'Property Calc_Design Flow'!$E$3:$EJ$25,MATCH('HMB_Design Case'!$B23,'Property Calc_Design Flow'!$C$3:$C$24,0),FALSE)</f>
        <v>4.8732355451014126E-4</v>
      </c>
      <c r="M23" s="97">
        <f>HLOOKUP(M$7,'Property Calc_Design Flow'!$E$3:$EJ$25,MATCH('HMB_Design Case'!$B23,'Property Calc_Design Flow'!$C$3:$C$24,0),FALSE)</f>
        <v>4.8732355451014126E-4</v>
      </c>
      <c r="N23" s="97">
        <f>HLOOKUP(N$7,'Property Calc_Design Flow'!$E$3:$EJ$25,MATCH('HMB_Design Case'!$B23,'Property Calc_Design Flow'!$C$3:$C$24,0),FALSE)</f>
        <v>4.0058171833062838E-4</v>
      </c>
      <c r="O23" s="97">
        <f>HLOOKUP(O$7,'Property Calc_Design Flow'!$E$3:$EJ$25,MATCH('HMB_Design Case'!$B23,'Property Calc_Design Flow'!$C$3:$C$24,0),FALSE)</f>
        <v>5.9993640674088546E-4</v>
      </c>
      <c r="P23" s="97">
        <f>HLOOKUP(P$7,'Property Calc_Design Flow'!$E$3:$EJ$25,MATCH('HMB_Design Case'!$B23,'Property Calc_Design Flow'!$C$3:$C$24,0),FALSE)</f>
        <v>5.9993640674088546E-4</v>
      </c>
      <c r="Q23" s="97">
        <f>HLOOKUP(Q$7,'Property Calc_Design Flow'!$E$3:$EJ$25,MATCH('HMB_Design Case'!$B23,'Property Calc_Design Flow'!$C$3:$C$24,0),FALSE)</f>
        <v>5.9993640674088546E-4</v>
      </c>
      <c r="R23" s="97">
        <f>HLOOKUP(R$7,'Property Calc_Design Flow'!$E$3:$EJ$25,MATCH('HMB_Design Case'!$B23,'Property Calc_Design Flow'!$C$3:$C$24,0),FALSE)</f>
        <v>4.0017564116880447E-4</v>
      </c>
      <c r="S23" s="97">
        <f>HLOOKUP(S$7,'Property Calc_Design Flow'!$E$3:$EJ$25,MATCH('HMB_Design Case'!$B23,'Property Calc_Design Flow'!$C$3:$C$24,0),FALSE)</f>
        <v>4.0017564116880447E-4</v>
      </c>
      <c r="T23" s="97">
        <f>HLOOKUP(T$7,'Property Calc_Design Flow'!$E$3:$EJ$25,MATCH('HMB_Design Case'!$B23,'Property Calc_Design Flow'!$C$3:$C$24,0),FALSE)</f>
        <v>4.0017564116880447E-4</v>
      </c>
      <c r="U23" s="76">
        <f>HLOOKUP(U$7,'Property Calc_Design Flow'!$E$3:$EJ$25,MATCH('HMB_Design Case'!$B23,'Property Calc_Design Flow'!$C$3:$C$24,0),FALSE)</f>
        <v>4.0017564116880447E-4</v>
      </c>
      <c r="V23" s="76">
        <f>HLOOKUP(V$7,'Property Calc_Design Flow'!$E$3:$EJ$25,MATCH('HMB_Design Case'!$B23,'Property Calc_Design Flow'!$C$3:$C$24,0),FALSE)</f>
        <v>4.0017564116880447E-4</v>
      </c>
      <c r="W23" s="76">
        <f>HLOOKUP(W$7,'Property Calc_Design Flow'!$E$3:$EJ$25,MATCH('HMB_Design Case'!$B23,'Property Calc_Design Flow'!$C$3:$C$24,0),FALSE)</f>
        <v>0</v>
      </c>
    </row>
    <row r="24" spans="1:23" x14ac:dyDescent="0.35">
      <c r="A24" s="77">
        <v>6</v>
      </c>
      <c r="B24" s="19" t="str">
        <f>VLOOKUP($A24,'Property Calc_Design Flow'!$B$18:$D$134,2,FALSE)</f>
        <v>Water (H2O)</v>
      </c>
      <c r="C24" s="73" t="s">
        <v>122</v>
      </c>
      <c r="D24" s="76">
        <f>HLOOKUP(D$7,'Property Calc_Design Flow'!$E$3:$EJ$25,MATCH('HMB_Design Case'!$B24,'Property Calc_Design Flow'!$C$3:$C$24,0),FALSE)</f>
        <v>0.12698476182858062</v>
      </c>
      <c r="E24" s="76">
        <f>HLOOKUP(E$7,'Property Calc_Design Flow'!$E$3:$EJ$25,MATCH('HMB_Design Case'!$B24,'Property Calc_Design Flow'!$C$3:$C$24,0),FALSE)</f>
        <v>0.12699060263444958</v>
      </c>
      <c r="F24" s="76">
        <f>HLOOKUP(F$7,'Property Calc_Design Flow'!$E$3:$EJ$25,MATCH('HMB_Design Case'!$B24,'Property Calc_Design Flow'!$C$3:$C$24,0),FALSE)</f>
        <v>0.12699060263444958</v>
      </c>
      <c r="G24" s="76">
        <f>HLOOKUP(G$7,'Property Calc_Design Flow'!$E$3:$EJ$25,MATCH('HMB_Design Case'!$B24,'Property Calc_Design Flow'!$C$3:$C$24,0),FALSE)</f>
        <v>0.10216139383959934</v>
      </c>
      <c r="H24" s="76">
        <f>HLOOKUP(H$7,'Property Calc_Design Flow'!$E$3:$EJ$25,MATCH('HMB_Design Case'!$B24,'Property Calc_Design Flow'!$C$3:$C$24,0),FALSE)</f>
        <v>0.10216139383959934</v>
      </c>
      <c r="I24" s="76">
        <f>HLOOKUP(I$7,'Property Calc_Design Flow'!$E$3:$EJ$25,MATCH('HMB_Design Case'!$B24,'Property Calc_Design Flow'!$C$3:$C$24,0),FALSE)</f>
        <v>0.10216139383959934</v>
      </c>
      <c r="J24" s="76">
        <f>HLOOKUP(J$7,'Property Calc_Design Flow'!$E$3:$EJ$25,MATCH('HMB_Design Case'!$B24,'Property Calc_Design Flow'!$C$3:$C$24,0),FALSE)</f>
        <v>0.10216139383959934</v>
      </c>
      <c r="K24" s="76">
        <f>HLOOKUP(K$7,'Property Calc_Design Flow'!$E$3:$EJ$25,MATCH('HMB_Design Case'!$B24,'Property Calc_Design Flow'!$C$3:$C$24,0),FALSE)</f>
        <v>5.7490197008185327E-2</v>
      </c>
      <c r="L24" s="76">
        <f>HLOOKUP(L$7,'Property Calc_Design Flow'!$E$3:$EJ$25,MATCH('HMB_Design Case'!$B24,'Property Calc_Design Flow'!$C$3:$C$24,0),FALSE)</f>
        <v>5.7490197008185327E-2</v>
      </c>
      <c r="M24" s="76">
        <f>HLOOKUP(M$7,'Property Calc_Design Flow'!$E$3:$EJ$25,MATCH('HMB_Design Case'!$B24,'Property Calc_Design Flow'!$C$3:$C$24,0),FALSE)</f>
        <v>5.7490197008185327E-2</v>
      </c>
      <c r="N24" s="76">
        <f>HLOOKUP(N$7,'Property Calc_Design Flow'!$E$3:$EJ$25,MATCH('HMB_Design Case'!$B24,'Property Calc_Design Flow'!$C$3:$C$24,0),FALSE)</f>
        <v>9.8573936684176133E-2</v>
      </c>
      <c r="O24" s="76">
        <f>HLOOKUP(O$7,'Property Calc_Design Flow'!$E$3:$EJ$25,MATCH('HMB_Design Case'!$B24,'Property Calc_Design Flow'!$C$3:$C$24,0),FALSE)</f>
        <v>6.9992580786436623E-2</v>
      </c>
      <c r="P24" s="76">
        <f>HLOOKUP(P$7,'Property Calc_Design Flow'!$E$3:$EJ$25,MATCH('HMB_Design Case'!$B24,'Property Calc_Design Flow'!$C$3:$C$24,0),FALSE)</f>
        <v>6.9992580786436623E-2</v>
      </c>
      <c r="Q24" s="76">
        <f>HLOOKUP(Q$7,'Property Calc_Design Flow'!$E$3:$EJ$25,MATCH('HMB_Design Case'!$B24,'Property Calc_Design Flow'!$C$3:$C$24,0),FALSE)</f>
        <v>6.9992580786436623E-2</v>
      </c>
      <c r="R24" s="76">
        <f>HLOOKUP(R$7,'Property Calc_Design Flow'!$E$3:$EJ$25,MATCH('HMB_Design Case'!$B24,'Property Calc_Design Flow'!$C$3:$C$24,0),FALSE)</f>
        <v>1.4906542633537967E-2</v>
      </c>
      <c r="S24" s="76">
        <f>HLOOKUP(S$7,'Property Calc_Design Flow'!$E$3:$EJ$25,MATCH('HMB_Design Case'!$B24,'Property Calc_Design Flow'!$C$3:$C$24,0),FALSE)</f>
        <v>1.4906542633537967E-2</v>
      </c>
      <c r="T24" s="76">
        <f>HLOOKUP(T$7,'Property Calc_Design Flow'!$E$3:$EJ$25,MATCH('HMB_Design Case'!$B24,'Property Calc_Design Flow'!$C$3:$C$24,0),FALSE)</f>
        <v>1.4906542633537967E-2</v>
      </c>
      <c r="U24" s="76">
        <f>HLOOKUP(U$7,'Property Calc_Design Flow'!$E$3:$EJ$25,MATCH('HMB_Design Case'!$B24,'Property Calc_Design Flow'!$C$3:$C$24,0),FALSE)</f>
        <v>1.4906542633537967E-2</v>
      </c>
      <c r="V24" s="76">
        <f>HLOOKUP(V$7,'Property Calc_Design Flow'!$E$3:$EJ$25,MATCH('HMB_Design Case'!$B24,'Property Calc_Design Flow'!$C$3:$C$24,0),FALSE)</f>
        <v>1.4906542633537967E-2</v>
      </c>
      <c r="W24" s="76">
        <f>HLOOKUP(W$7,'Property Calc_Design Flow'!$E$3:$EJ$25,MATCH('HMB_Design Case'!$B24,'Property Calc_Design Flow'!$C$3:$C$24,0),FALSE)</f>
        <v>100</v>
      </c>
    </row>
    <row r="25" spans="1:23" hidden="1" x14ac:dyDescent="0.35">
      <c r="A25" s="77">
        <v>7</v>
      </c>
      <c r="B25" s="19" t="str">
        <f>VLOOKUP($A25,'Property Calc_Design Flow'!$B$18:$D$134,2,FALSE)</f>
        <v>Hydrogen (H2)</v>
      </c>
      <c r="C25" s="73" t="s">
        <v>122</v>
      </c>
      <c r="D25" s="76">
        <f>HLOOKUP(D$7,'Property Calc_Design Flow'!$E$3:$EJ$25,MATCH('HMB_Design Case'!$B25,'Property Calc_Design Flow'!$C$3:$C$24,0),FALSE)</f>
        <v>0</v>
      </c>
      <c r="E25" s="76">
        <f>HLOOKUP(E$7,'Property Calc_Design Flow'!$E$3:$EJ$25,MATCH('HMB_Design Case'!$B25,'Property Calc_Design Flow'!$C$3:$C$24,0),FALSE)</f>
        <v>0</v>
      </c>
      <c r="F25" s="76">
        <f>HLOOKUP(F$7,'Property Calc_Design Flow'!$E$3:$EJ$25,MATCH('HMB_Design Case'!$B25,'Property Calc_Design Flow'!$C$3:$C$24,0),FALSE)</f>
        <v>0</v>
      </c>
      <c r="G25" s="76">
        <f>HLOOKUP(G$7,'Property Calc_Design Flow'!$E$3:$EJ$25,MATCH('HMB_Design Case'!$B25,'Property Calc_Design Flow'!$C$3:$C$24,0),FALSE)</f>
        <v>0</v>
      </c>
      <c r="H25" s="76">
        <f>HLOOKUP(H$7,'Property Calc_Design Flow'!$E$3:$EJ$25,MATCH('HMB_Design Case'!$B25,'Property Calc_Design Flow'!$C$3:$C$24,0),FALSE)</f>
        <v>0</v>
      </c>
      <c r="I25" s="76">
        <f>HLOOKUP(I$7,'Property Calc_Design Flow'!$E$3:$EJ$25,MATCH('HMB_Design Case'!$B25,'Property Calc_Design Flow'!$C$3:$C$24,0),FALSE)</f>
        <v>0</v>
      </c>
      <c r="J25" s="76">
        <f>HLOOKUP(J$7,'Property Calc_Design Flow'!$E$3:$EJ$25,MATCH('HMB_Design Case'!$B25,'Property Calc_Design Flow'!$C$3:$C$24,0),FALSE)</f>
        <v>0</v>
      </c>
      <c r="K25" s="76">
        <f>HLOOKUP(K$7,'Property Calc_Design Flow'!$E$3:$EJ$25,MATCH('HMB_Design Case'!$B25,'Property Calc_Design Flow'!$C$3:$C$24,0),FALSE)</f>
        <v>0</v>
      </c>
      <c r="L25" s="76">
        <f>HLOOKUP(L$7,'Property Calc_Design Flow'!$E$3:$EJ$25,MATCH('HMB_Design Case'!$B25,'Property Calc_Design Flow'!$C$3:$C$24,0),FALSE)</f>
        <v>0</v>
      </c>
      <c r="M25" s="76">
        <f>HLOOKUP(M$7,'Property Calc_Design Flow'!$E$3:$EJ$25,MATCH('HMB_Design Case'!$B25,'Property Calc_Design Flow'!$C$3:$C$24,0),FALSE)</f>
        <v>0</v>
      </c>
      <c r="N25" s="76">
        <f>HLOOKUP(N$7,'Property Calc_Design Flow'!$E$3:$EJ$25,MATCH('HMB_Design Case'!$B25,'Property Calc_Design Flow'!$C$3:$C$24,0),FALSE)</f>
        <v>0</v>
      </c>
      <c r="O25" s="76">
        <f>HLOOKUP(O$7,'Property Calc_Design Flow'!$E$3:$EJ$25,MATCH('HMB_Design Case'!$B25,'Property Calc_Design Flow'!$C$3:$C$24,0),FALSE)</f>
        <v>0</v>
      </c>
      <c r="P25" s="76">
        <f>HLOOKUP(P$7,'Property Calc_Design Flow'!$E$3:$EJ$25,MATCH('HMB_Design Case'!$B25,'Property Calc_Design Flow'!$C$3:$C$24,0),FALSE)</f>
        <v>0</v>
      </c>
      <c r="Q25" s="76">
        <f>HLOOKUP(Q$7,'Property Calc_Design Flow'!$E$3:$EJ$25,MATCH('HMB_Design Case'!$B25,'Property Calc_Design Flow'!$C$3:$C$24,0),FALSE)</f>
        <v>0</v>
      </c>
      <c r="R25" s="76">
        <f>HLOOKUP(R$7,'Property Calc_Design Flow'!$E$3:$EJ$25,MATCH('HMB_Design Case'!$B25,'Property Calc_Design Flow'!$C$3:$C$24,0),FALSE)</f>
        <v>0</v>
      </c>
      <c r="S25" s="76">
        <f>HLOOKUP(S$7,'Property Calc_Design Flow'!$E$3:$EJ$25,MATCH('HMB_Design Case'!$B25,'Property Calc_Design Flow'!$C$3:$C$24,0),FALSE)</f>
        <v>0</v>
      </c>
      <c r="T25" s="76">
        <f>HLOOKUP(T$7,'Property Calc_Design Flow'!$E$3:$EJ$25,MATCH('HMB_Design Case'!$B25,'Property Calc_Design Flow'!$C$3:$C$24,0),FALSE)</f>
        <v>0</v>
      </c>
      <c r="U25" s="76">
        <f>HLOOKUP(U$7,'Property Calc_Design Flow'!$E$3:$EJ$25,MATCH('HMB_Design Case'!$B25,'Property Calc_Design Flow'!$C$3:$C$24,0),FALSE)</f>
        <v>0</v>
      </c>
      <c r="V25" s="76">
        <f>HLOOKUP(V$7,'Property Calc_Design Flow'!$E$3:$EJ$25,MATCH('HMB_Design Case'!$B25,'Property Calc_Design Flow'!$C$3:$C$24,0),FALSE)</f>
        <v>0</v>
      </c>
      <c r="W25" s="76">
        <f>HLOOKUP(W$7,'Property Calc_Design Flow'!$E$3:$EJ$25,MATCH('HMB_Design Case'!$B25,'Property Calc_Design Flow'!$C$3:$C$24,0),FALSE)</f>
        <v>0</v>
      </c>
    </row>
    <row r="26" spans="1:23" x14ac:dyDescent="0.35">
      <c r="A26" s="70"/>
      <c r="B26" s="13" t="s">
        <v>133</v>
      </c>
      <c r="C26" s="76">
        <f>IF('Input Sheet'!Q3="NA",'Input Sheet'!P3,'Input Sheet'!Q3)</f>
        <v>1.7717236959608635</v>
      </c>
      <c r="D26" s="587" t="s">
        <v>789</v>
      </c>
      <c r="E26" s="588"/>
      <c r="F26" s="588"/>
      <c r="G26" s="588"/>
      <c r="H26" s="588"/>
      <c r="I26" s="588"/>
      <c r="J26" s="588"/>
      <c r="K26" s="588"/>
      <c r="L26" s="588"/>
      <c r="M26" s="588"/>
      <c r="N26" s="588"/>
      <c r="O26" s="588"/>
      <c r="P26" s="588"/>
      <c r="Q26" s="588"/>
      <c r="R26" s="588"/>
      <c r="S26" s="588"/>
      <c r="T26" s="588"/>
      <c r="U26" s="588"/>
      <c r="V26" s="589"/>
    </row>
    <row r="27" spans="1:23" x14ac:dyDescent="0.35">
      <c r="A27" s="70"/>
      <c r="B27" s="340" t="s">
        <v>41</v>
      </c>
      <c r="C27" s="341">
        <f>'Input Sheet'!L7</f>
        <v>0.99</v>
      </c>
      <c r="D27" s="587" t="s">
        <v>790</v>
      </c>
      <c r="E27" s="588"/>
      <c r="F27" s="588"/>
      <c r="G27" s="588"/>
      <c r="H27" s="588"/>
      <c r="I27" s="588"/>
      <c r="J27" s="588"/>
      <c r="K27" s="588"/>
      <c r="L27" s="588"/>
      <c r="M27" s="588"/>
      <c r="N27" s="588"/>
      <c r="O27" s="588"/>
      <c r="P27" s="588"/>
      <c r="Q27" s="588"/>
      <c r="R27" s="588"/>
      <c r="S27" s="588"/>
      <c r="T27" s="588"/>
      <c r="U27" s="588"/>
      <c r="V27" s="589"/>
    </row>
    <row r="28" spans="1:23" x14ac:dyDescent="0.35">
      <c r="A28" s="70"/>
      <c r="B28" s="590" t="s">
        <v>784</v>
      </c>
      <c r="C28" s="591"/>
      <c r="D28" s="591"/>
      <c r="E28" s="591"/>
      <c r="F28" s="591"/>
      <c r="G28" s="591"/>
      <c r="H28" s="591"/>
      <c r="I28" s="591"/>
      <c r="J28" s="591"/>
      <c r="K28" s="591"/>
      <c r="L28" s="591"/>
      <c r="M28" s="591"/>
      <c r="N28" s="591"/>
      <c r="O28" s="591"/>
      <c r="P28" s="591"/>
      <c r="Q28" s="591"/>
      <c r="R28" s="591"/>
      <c r="S28" s="591"/>
      <c r="T28" s="591"/>
      <c r="U28" s="591"/>
      <c r="V28" s="592"/>
    </row>
    <row r="29" spans="1:23" ht="16.5" x14ac:dyDescent="0.35">
      <c r="A29" s="70"/>
      <c r="B29" s="581" t="s">
        <v>791</v>
      </c>
      <c r="C29" s="582"/>
      <c r="D29" s="582"/>
      <c r="E29" s="582"/>
      <c r="F29" s="582"/>
      <c r="G29" s="582"/>
      <c r="H29" s="582"/>
      <c r="I29" s="582"/>
      <c r="J29" s="582"/>
      <c r="K29" s="582"/>
      <c r="L29" s="582"/>
      <c r="M29" s="582"/>
      <c r="N29" s="582"/>
      <c r="O29" s="582"/>
      <c r="P29" s="582"/>
      <c r="Q29" s="582"/>
      <c r="R29" s="582"/>
      <c r="S29" s="582"/>
      <c r="T29" s="582"/>
      <c r="U29" s="582"/>
      <c r="V29" s="583"/>
    </row>
    <row r="30" spans="1:23" x14ac:dyDescent="0.35">
      <c r="A30" s="70"/>
      <c r="B30" s="581" t="s">
        <v>785</v>
      </c>
      <c r="C30" s="582"/>
      <c r="D30" s="582"/>
      <c r="E30" s="582"/>
      <c r="F30" s="582"/>
      <c r="G30" s="582"/>
      <c r="H30" s="582"/>
      <c r="I30" s="582"/>
      <c r="J30" s="582"/>
      <c r="K30" s="582"/>
      <c r="L30" s="582"/>
      <c r="M30" s="582"/>
      <c r="N30" s="582"/>
      <c r="O30" s="582"/>
      <c r="P30" s="582"/>
      <c r="Q30" s="582"/>
      <c r="R30" s="582"/>
      <c r="S30" s="582"/>
      <c r="T30" s="582"/>
      <c r="U30" s="582"/>
      <c r="V30" s="583"/>
    </row>
    <row r="31" spans="1:23" x14ac:dyDescent="0.35">
      <c r="A31" s="70"/>
      <c r="B31" s="581" t="s">
        <v>786</v>
      </c>
      <c r="C31" s="582"/>
      <c r="D31" s="582"/>
      <c r="E31" s="582"/>
      <c r="F31" s="582"/>
      <c r="G31" s="582"/>
      <c r="H31" s="582"/>
      <c r="I31" s="582"/>
      <c r="J31" s="582"/>
      <c r="K31" s="582"/>
      <c r="L31" s="582"/>
      <c r="M31" s="582"/>
      <c r="N31" s="582"/>
      <c r="O31" s="582"/>
      <c r="P31" s="582"/>
      <c r="Q31" s="582"/>
      <c r="R31" s="582"/>
      <c r="S31" s="582"/>
      <c r="T31" s="582"/>
      <c r="U31" s="582"/>
      <c r="V31" s="583"/>
    </row>
    <row r="32" spans="1:23" x14ac:dyDescent="0.35">
      <c r="A32" s="70"/>
      <c r="B32" s="581" t="s">
        <v>787</v>
      </c>
      <c r="C32" s="582"/>
      <c r="D32" s="582"/>
      <c r="E32" s="582"/>
      <c r="F32" s="582"/>
      <c r="G32" s="582"/>
      <c r="H32" s="582"/>
      <c r="I32" s="582"/>
      <c r="J32" s="582"/>
      <c r="K32" s="582"/>
      <c r="L32" s="582"/>
      <c r="M32" s="582"/>
      <c r="N32" s="582"/>
      <c r="O32" s="582"/>
      <c r="P32" s="582"/>
      <c r="Q32" s="582"/>
      <c r="R32" s="582"/>
      <c r="S32" s="582"/>
      <c r="T32" s="582"/>
      <c r="U32" s="582"/>
      <c r="V32" s="583"/>
    </row>
    <row r="33" spans="1:22" x14ac:dyDescent="0.35">
      <c r="A33" s="70"/>
      <c r="B33" s="581" t="s">
        <v>788</v>
      </c>
      <c r="C33" s="582"/>
      <c r="D33" s="582"/>
      <c r="E33" s="582"/>
      <c r="F33" s="582"/>
      <c r="G33" s="582"/>
      <c r="H33" s="582"/>
      <c r="I33" s="582"/>
      <c r="J33" s="582"/>
      <c r="K33" s="582"/>
      <c r="L33" s="582"/>
      <c r="M33" s="582"/>
      <c r="N33" s="582"/>
      <c r="O33" s="582"/>
      <c r="P33" s="582"/>
      <c r="Q33" s="582"/>
      <c r="R33" s="582"/>
      <c r="S33" s="582"/>
      <c r="T33" s="582"/>
      <c r="U33" s="582"/>
      <c r="V33" s="583"/>
    </row>
    <row r="34" spans="1:22" x14ac:dyDescent="0.35">
      <c r="A34" s="70"/>
      <c r="B34" s="584"/>
      <c r="C34" s="585"/>
      <c r="D34" s="585"/>
      <c r="E34" s="585"/>
      <c r="F34" s="585"/>
      <c r="G34" s="585"/>
      <c r="H34" s="585"/>
      <c r="I34" s="585"/>
      <c r="J34" s="585"/>
      <c r="K34" s="585"/>
      <c r="L34" s="585"/>
      <c r="M34" s="585"/>
      <c r="N34" s="585"/>
      <c r="O34" s="585"/>
      <c r="P34" s="585"/>
      <c r="Q34" s="585"/>
      <c r="R34" s="585"/>
      <c r="S34" s="585"/>
      <c r="T34" s="585"/>
      <c r="U34" s="585"/>
      <c r="V34" s="586"/>
    </row>
    <row r="35" spans="1:22" x14ac:dyDescent="0.35">
      <c r="A35" s="6"/>
      <c r="D35" s="26"/>
    </row>
    <row r="36" spans="1:22" x14ac:dyDescent="0.35">
      <c r="A36" s="6"/>
      <c r="D36" s="8"/>
    </row>
    <row r="37" spans="1:22" x14ac:dyDescent="0.35">
      <c r="A37" s="6"/>
      <c r="D37" s="8"/>
    </row>
    <row r="38" spans="1:22" x14ac:dyDescent="0.35">
      <c r="A38" s="6"/>
      <c r="D38" s="8"/>
    </row>
    <row r="39" spans="1:22" x14ac:dyDescent="0.35">
      <c r="A39" s="6"/>
      <c r="D39" s="8"/>
    </row>
    <row r="40" spans="1:22" x14ac:dyDescent="0.35">
      <c r="A40" s="6"/>
      <c r="D40" s="8"/>
    </row>
    <row r="41" spans="1:22" x14ac:dyDescent="0.35">
      <c r="A41" s="6"/>
    </row>
    <row r="42" spans="1:22" x14ac:dyDescent="0.35">
      <c r="A42" s="6"/>
    </row>
    <row r="43" spans="1:22" x14ac:dyDescent="0.35">
      <c r="A43" s="6"/>
    </row>
    <row r="44" spans="1:22" x14ac:dyDescent="0.35">
      <c r="A44" s="6"/>
    </row>
    <row r="45" spans="1:22" x14ac:dyDescent="0.35">
      <c r="A45" s="6"/>
    </row>
    <row r="46" spans="1:22" x14ac:dyDescent="0.35">
      <c r="A46" s="6"/>
    </row>
    <row r="47" spans="1:22" x14ac:dyDescent="0.35">
      <c r="A47" s="6"/>
    </row>
    <row r="48" spans="1:22" x14ac:dyDescent="0.35">
      <c r="A48" s="6"/>
    </row>
    <row r="49" spans="1:1" x14ac:dyDescent="0.35">
      <c r="A49" s="6"/>
    </row>
    <row r="50" spans="1:1" x14ac:dyDescent="0.35">
      <c r="A50" s="6"/>
    </row>
    <row r="51" spans="1:1" x14ac:dyDescent="0.35">
      <c r="A51" s="6"/>
    </row>
    <row r="52" spans="1:1" x14ac:dyDescent="0.35">
      <c r="A52" s="6"/>
    </row>
    <row r="53" spans="1:1" x14ac:dyDescent="0.35">
      <c r="A53" s="6"/>
    </row>
    <row r="54" spans="1:1" x14ac:dyDescent="0.35">
      <c r="A54" s="6"/>
    </row>
    <row r="55" spans="1:1" x14ac:dyDescent="0.35">
      <c r="A55" s="6"/>
    </row>
    <row r="56" spans="1:1" x14ac:dyDescent="0.35">
      <c r="A56" s="6"/>
    </row>
    <row r="57" spans="1:1" x14ac:dyDescent="0.35">
      <c r="A57" s="6"/>
    </row>
    <row r="58" spans="1:1" x14ac:dyDescent="0.35">
      <c r="A58" s="6"/>
    </row>
    <row r="59" spans="1:1" x14ac:dyDescent="0.35">
      <c r="A59" s="6"/>
    </row>
    <row r="60" spans="1:1" x14ac:dyDescent="0.35">
      <c r="A60" s="6"/>
    </row>
    <row r="61" spans="1:1" x14ac:dyDescent="0.35">
      <c r="A61" s="6"/>
    </row>
    <row r="62" spans="1:1" x14ac:dyDescent="0.35">
      <c r="A62" s="6"/>
    </row>
    <row r="63" spans="1:1" x14ac:dyDescent="0.35">
      <c r="A63" s="6"/>
    </row>
    <row r="64" spans="1:1" x14ac:dyDescent="0.35">
      <c r="A64" s="6"/>
    </row>
    <row r="65" spans="1:1" x14ac:dyDescent="0.35">
      <c r="A65" s="6"/>
    </row>
    <row r="66" spans="1:1" x14ac:dyDescent="0.35">
      <c r="A66" s="6"/>
    </row>
    <row r="67" spans="1:1" x14ac:dyDescent="0.35">
      <c r="A67" s="6"/>
    </row>
    <row r="68" spans="1:1" x14ac:dyDescent="0.35">
      <c r="A68" s="6"/>
    </row>
    <row r="69" spans="1:1" x14ac:dyDescent="0.35">
      <c r="A69" s="6"/>
    </row>
    <row r="70" spans="1:1" x14ac:dyDescent="0.35">
      <c r="A70" s="6"/>
    </row>
    <row r="71" spans="1:1" x14ac:dyDescent="0.35">
      <c r="A71" s="6"/>
    </row>
    <row r="72" spans="1:1" x14ac:dyDescent="0.35">
      <c r="A72" s="6"/>
    </row>
    <row r="73" spans="1:1" x14ac:dyDescent="0.35">
      <c r="A73" s="6"/>
    </row>
    <row r="74" spans="1:1" x14ac:dyDescent="0.35">
      <c r="A74" s="6"/>
    </row>
    <row r="75" spans="1:1" x14ac:dyDescent="0.35">
      <c r="A75" s="6"/>
    </row>
    <row r="76" spans="1:1" x14ac:dyDescent="0.35">
      <c r="A76" s="6"/>
    </row>
    <row r="77" spans="1:1" x14ac:dyDescent="0.35">
      <c r="A77" s="6"/>
    </row>
    <row r="78" spans="1:1" x14ac:dyDescent="0.35">
      <c r="A78" s="6"/>
    </row>
    <row r="79" spans="1:1" x14ac:dyDescent="0.35">
      <c r="A79" s="6"/>
    </row>
    <row r="80" spans="1:1" x14ac:dyDescent="0.35">
      <c r="A80" s="6"/>
    </row>
    <row r="81" spans="1:1" x14ac:dyDescent="0.35">
      <c r="A81" s="6"/>
    </row>
    <row r="82" spans="1:1" x14ac:dyDescent="0.35">
      <c r="A82" s="6"/>
    </row>
    <row r="83" spans="1:1" x14ac:dyDescent="0.35">
      <c r="A83" s="6"/>
    </row>
    <row r="84" spans="1:1" x14ac:dyDescent="0.35">
      <c r="A84" s="6"/>
    </row>
    <row r="85" spans="1:1" x14ac:dyDescent="0.35">
      <c r="A85" s="6"/>
    </row>
    <row r="86" spans="1:1" x14ac:dyDescent="0.35">
      <c r="A86" s="6"/>
    </row>
    <row r="87" spans="1:1" x14ac:dyDescent="0.35">
      <c r="A87" s="6"/>
    </row>
    <row r="88" spans="1:1" x14ac:dyDescent="0.35">
      <c r="A88" s="6"/>
    </row>
    <row r="89" spans="1:1" x14ac:dyDescent="0.35">
      <c r="A89" s="6"/>
    </row>
    <row r="90" spans="1:1" x14ac:dyDescent="0.35">
      <c r="A90" s="6"/>
    </row>
    <row r="91" spans="1:1" x14ac:dyDescent="0.35">
      <c r="A91" s="6"/>
    </row>
    <row r="92" spans="1:1" x14ac:dyDescent="0.35">
      <c r="A92" s="6"/>
    </row>
    <row r="93" spans="1:1" x14ac:dyDescent="0.35">
      <c r="A93" s="6"/>
    </row>
    <row r="94" spans="1:1" x14ac:dyDescent="0.35">
      <c r="A94" s="6"/>
    </row>
    <row r="95" spans="1:1" x14ac:dyDescent="0.35">
      <c r="A95" s="6"/>
    </row>
    <row r="96" spans="1:1" x14ac:dyDescent="0.35">
      <c r="A96" s="6"/>
    </row>
    <row r="97" spans="1:1" x14ac:dyDescent="0.35">
      <c r="A97" s="6"/>
    </row>
    <row r="98" spans="1:1" x14ac:dyDescent="0.35">
      <c r="A98" s="6"/>
    </row>
    <row r="99" spans="1:1" x14ac:dyDescent="0.35">
      <c r="A99" s="6"/>
    </row>
    <row r="100" spans="1:1" x14ac:dyDescent="0.35">
      <c r="A100" s="6"/>
    </row>
    <row r="101" spans="1:1" x14ac:dyDescent="0.35">
      <c r="A101" s="6"/>
    </row>
    <row r="102" spans="1:1" x14ac:dyDescent="0.35">
      <c r="A102" s="6"/>
    </row>
    <row r="103" spans="1:1" x14ac:dyDescent="0.35">
      <c r="A103" s="6"/>
    </row>
    <row r="104" spans="1:1" x14ac:dyDescent="0.35">
      <c r="A104" s="6"/>
    </row>
    <row r="105" spans="1:1" x14ac:dyDescent="0.35">
      <c r="A105" s="6"/>
    </row>
    <row r="106" spans="1:1" x14ac:dyDescent="0.35">
      <c r="A106" s="6"/>
    </row>
    <row r="107" spans="1:1" x14ac:dyDescent="0.35">
      <c r="A107" s="6"/>
    </row>
    <row r="108" spans="1:1" x14ac:dyDescent="0.35">
      <c r="A108" s="6"/>
    </row>
    <row r="109" spans="1:1" x14ac:dyDescent="0.35">
      <c r="A109" s="6"/>
    </row>
    <row r="110" spans="1:1" x14ac:dyDescent="0.35">
      <c r="A110" s="6"/>
    </row>
    <row r="111" spans="1:1" x14ac:dyDescent="0.35">
      <c r="A111" s="6"/>
    </row>
    <row r="112" spans="1:1" x14ac:dyDescent="0.35">
      <c r="A112" s="6"/>
    </row>
    <row r="113" spans="1:1" x14ac:dyDescent="0.35">
      <c r="A113" s="6"/>
    </row>
    <row r="114" spans="1:1" x14ac:dyDescent="0.35">
      <c r="A114" s="6"/>
    </row>
  </sheetData>
  <mergeCells count="18">
    <mergeCell ref="C18:V18"/>
    <mergeCell ref="S2:V2"/>
    <mergeCell ref="S3:V3"/>
    <mergeCell ref="B2:D5"/>
    <mergeCell ref="F2:I2"/>
    <mergeCell ref="F3:I3"/>
    <mergeCell ref="F4:I4"/>
    <mergeCell ref="F5:I5"/>
    <mergeCell ref="J2:R5"/>
    <mergeCell ref="B33:V33"/>
    <mergeCell ref="B34:V34"/>
    <mergeCell ref="D26:V26"/>
    <mergeCell ref="D27:V27"/>
    <mergeCell ref="B28:V28"/>
    <mergeCell ref="B29:V29"/>
    <mergeCell ref="B30:V30"/>
    <mergeCell ref="B31:V31"/>
    <mergeCell ref="B32:V32"/>
  </mergeCells>
  <pageMargins left="0.70866141732283505" right="0.70866141732283505" top="0.74803149606299202" bottom="0.74803149606299202" header="0.31496062992126" footer="0.31496062992126"/>
  <pageSetup paperSize="3" scale="65" orientation="landscape" horizontalDpi="4294967293"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E3391-A2F8-4894-9FA2-D3DCB0CD5EE9}">
  <sheetPr>
    <pageSetUpPr fitToPage="1"/>
  </sheetPr>
  <dimension ref="A2:DN190"/>
  <sheetViews>
    <sheetView tabSelected="1" zoomScale="70" zoomScaleNormal="70" workbookViewId="0">
      <pane xSplit="4" ySplit="13" topLeftCell="BK17" activePane="bottomRight" state="frozen"/>
      <selection pane="topRight" activeCell="E1" sqref="E1"/>
      <selection pane="bottomLeft" activeCell="A13" sqref="A13"/>
      <selection pane="bottomRight" activeCell="BM7" sqref="BM7:BR7"/>
    </sheetView>
  </sheetViews>
  <sheetFormatPr defaultColWidth="8.81640625" defaultRowHeight="14.5" x14ac:dyDescent="0.35"/>
  <cols>
    <col min="2" max="2" width="12.81640625" style="406" customWidth="1"/>
    <col min="3" max="3" width="24.54296875" style="11" customWidth="1"/>
    <col min="4" max="4" width="11" style="406" customWidth="1"/>
    <col min="5" max="5" width="14.1796875" style="406" customWidth="1"/>
    <col min="6" max="6" width="13.54296875" style="406" customWidth="1"/>
    <col min="7" max="7" width="10.1796875" style="406" customWidth="1"/>
    <col min="8" max="9" width="11.1796875" style="406" customWidth="1"/>
    <col min="10" max="10" width="10.81640625" customWidth="1"/>
    <col min="11" max="12" width="10" style="406" customWidth="1"/>
    <col min="13" max="13" width="10.1796875" style="406" customWidth="1"/>
    <col min="14" max="15" width="11.1796875" style="406" customWidth="1"/>
    <col min="16" max="16" width="10.81640625" customWidth="1"/>
    <col min="17" max="18" width="10" style="406" customWidth="1"/>
    <col min="19" max="19" width="10.1796875" style="406" customWidth="1"/>
    <col min="20" max="21" width="11.1796875" style="406" customWidth="1"/>
    <col min="22" max="22" width="10.81640625" customWidth="1"/>
    <col min="23" max="24" width="10" style="406" customWidth="1"/>
    <col min="25" max="25" width="10.1796875" style="406" customWidth="1"/>
    <col min="26" max="27" width="11.1796875" style="406" customWidth="1"/>
    <col min="28" max="28" width="10.81640625" customWidth="1"/>
    <col min="29" max="30" width="10" style="406" customWidth="1"/>
    <col min="31" max="31" width="10.1796875" style="406" customWidth="1"/>
    <col min="32" max="33" width="11.1796875" style="406" customWidth="1"/>
    <col min="34" max="34" width="10.81640625" customWidth="1"/>
    <col min="35" max="36" width="10" style="406" customWidth="1"/>
    <col min="37" max="37" width="10.1796875" style="406" customWidth="1"/>
    <col min="38" max="39" width="11.1796875" style="406" customWidth="1"/>
    <col min="40" max="40" width="10.81640625" customWidth="1"/>
    <col min="41" max="42" width="10" style="406" customWidth="1"/>
    <col min="43" max="43" width="10.1796875" style="406" customWidth="1"/>
    <col min="44" max="45" width="11.1796875" style="406" customWidth="1"/>
    <col min="46" max="46" width="10.81640625" customWidth="1"/>
    <col min="47" max="48" width="10" style="406" customWidth="1"/>
    <col min="49" max="49" width="10.1796875" style="406" customWidth="1"/>
    <col min="50" max="51" width="11.1796875" style="406" customWidth="1"/>
    <col min="52" max="52" width="10.81640625" customWidth="1"/>
    <col min="53" max="54" width="10" style="406" customWidth="1"/>
    <col min="55" max="55" width="10.1796875" style="406" customWidth="1"/>
    <col min="56" max="57" width="11.1796875" style="406" customWidth="1"/>
    <col min="58" max="58" width="10.81640625" customWidth="1"/>
    <col min="59" max="60" width="10" style="406" customWidth="1"/>
    <col min="61" max="61" width="10.1796875" style="406" customWidth="1"/>
    <col min="62" max="63" width="11.1796875" style="406" customWidth="1"/>
    <col min="64" max="64" width="10.81640625" customWidth="1"/>
    <col min="65" max="66" width="10" style="406" customWidth="1"/>
    <col min="67" max="67" width="10.1796875" style="406" customWidth="1"/>
    <col min="68" max="69" width="11.1796875" style="406" customWidth="1"/>
    <col min="70" max="70" width="10.81640625" customWidth="1"/>
    <col min="71" max="72" width="10" style="406" customWidth="1"/>
    <col min="73" max="73" width="10.1796875" style="406" customWidth="1"/>
    <col min="74" max="75" width="11.1796875" style="406" customWidth="1"/>
    <col min="76" max="76" width="10.81640625" customWidth="1"/>
    <col min="77" max="78" width="10" style="406" customWidth="1"/>
    <col min="79" max="79" width="10.1796875" style="406" customWidth="1"/>
    <col min="80" max="81" width="11.1796875" style="406" customWidth="1"/>
    <col min="82" max="82" width="11.1796875" customWidth="1"/>
    <col min="83" max="84" width="10" style="406" customWidth="1"/>
    <col min="85" max="85" width="10.1796875" style="406" customWidth="1"/>
    <col min="86" max="87" width="11.1796875" style="406" customWidth="1"/>
    <col min="88" max="88" width="11.1796875" customWidth="1"/>
    <col min="89" max="90" width="10" style="406" customWidth="1"/>
    <col min="91" max="91" width="10.1796875" style="406" customWidth="1"/>
    <col min="92" max="93" width="11.1796875" style="406" customWidth="1"/>
    <col min="94" max="94" width="10.81640625" customWidth="1"/>
    <col min="95" max="96" width="10" style="406" customWidth="1"/>
    <col min="97" max="97" width="10.1796875" style="406" customWidth="1"/>
    <col min="98" max="99" width="11.1796875" style="406" customWidth="1"/>
    <col min="100" max="100" width="10.81640625" customWidth="1"/>
    <col min="101" max="102" width="10" style="406" customWidth="1"/>
    <col min="103" max="103" width="10.1796875" style="406" customWidth="1"/>
    <col min="104" max="105" width="11.1796875" style="406" customWidth="1"/>
    <col min="106" max="106" width="10.81640625" customWidth="1"/>
    <col min="107" max="108" width="10" style="406" customWidth="1"/>
    <col min="109" max="109" width="10.1796875" style="406" customWidth="1"/>
    <col min="110" max="111" width="11.1796875" style="406" customWidth="1"/>
    <col min="112" max="112" width="10.81640625" customWidth="1"/>
    <col min="113" max="114" width="10" style="406" customWidth="1"/>
    <col min="115" max="115" width="10.1796875" style="406" customWidth="1"/>
    <col min="116" max="117" width="11.1796875" style="406" customWidth="1"/>
    <col min="118" max="118" width="10.81640625" customWidth="1"/>
  </cols>
  <sheetData>
    <row r="2" spans="1:118" x14ac:dyDescent="0.35">
      <c r="B2" s="396"/>
      <c r="C2" s="178" t="s">
        <v>6</v>
      </c>
      <c r="D2" s="396"/>
      <c r="E2" s="458">
        <v>1</v>
      </c>
      <c r="F2" s="458"/>
      <c r="G2" s="458"/>
      <c r="H2" s="458"/>
      <c r="I2" s="458"/>
      <c r="J2" s="458"/>
      <c r="K2" s="458">
        <v>2</v>
      </c>
      <c r="L2" s="458"/>
      <c r="M2" s="458"/>
      <c r="N2" s="458"/>
      <c r="O2" s="458"/>
      <c r="P2" s="458"/>
      <c r="Q2" s="458">
        <v>3</v>
      </c>
      <c r="R2" s="458"/>
      <c r="S2" s="458"/>
      <c r="T2" s="458"/>
      <c r="U2" s="458"/>
      <c r="V2" s="458"/>
      <c r="W2" s="458">
        <v>4</v>
      </c>
      <c r="X2" s="458"/>
      <c r="Y2" s="458"/>
      <c r="Z2" s="458"/>
      <c r="AA2" s="458"/>
      <c r="AB2" s="458"/>
      <c r="AC2" s="458">
        <v>5</v>
      </c>
      <c r="AD2" s="458"/>
      <c r="AE2" s="458"/>
      <c r="AF2" s="458"/>
      <c r="AG2" s="458"/>
      <c r="AH2" s="458"/>
      <c r="AI2" s="458">
        <v>6</v>
      </c>
      <c r="AJ2" s="458"/>
      <c r="AK2" s="458"/>
      <c r="AL2" s="458"/>
      <c r="AM2" s="458"/>
      <c r="AN2" s="458"/>
      <c r="AO2" s="458">
        <v>7</v>
      </c>
      <c r="AP2" s="458"/>
      <c r="AQ2" s="458"/>
      <c r="AR2" s="458"/>
      <c r="AS2" s="458"/>
      <c r="AT2" s="458"/>
      <c r="AU2" s="458">
        <v>8</v>
      </c>
      <c r="AV2" s="458"/>
      <c r="AW2" s="458"/>
      <c r="AX2" s="458"/>
      <c r="AY2" s="458"/>
      <c r="AZ2" s="458"/>
      <c r="BA2" s="458">
        <v>9</v>
      </c>
      <c r="BB2" s="458"/>
      <c r="BC2" s="458"/>
      <c r="BD2" s="458"/>
      <c r="BE2" s="458"/>
      <c r="BF2" s="458"/>
      <c r="BG2" s="458">
        <v>10</v>
      </c>
      <c r="BH2" s="458"/>
      <c r="BI2" s="458"/>
      <c r="BJ2" s="458"/>
      <c r="BK2" s="458"/>
      <c r="BL2" s="458"/>
      <c r="BM2" s="458">
        <v>11</v>
      </c>
      <c r="BN2" s="458"/>
      <c r="BO2" s="458"/>
      <c r="BP2" s="458"/>
      <c r="BQ2" s="458"/>
      <c r="BR2" s="458"/>
      <c r="BS2" s="458">
        <v>12</v>
      </c>
      <c r="BT2" s="458"/>
      <c r="BU2" s="458"/>
      <c r="BV2" s="458"/>
      <c r="BW2" s="458"/>
      <c r="BX2" s="458"/>
      <c r="BY2" s="458">
        <v>13</v>
      </c>
      <c r="BZ2" s="458"/>
      <c r="CA2" s="458"/>
      <c r="CB2" s="458"/>
      <c r="CC2" s="458"/>
      <c r="CD2" s="458"/>
      <c r="CE2" s="458">
        <v>14</v>
      </c>
      <c r="CF2" s="458"/>
      <c r="CG2" s="458"/>
      <c r="CH2" s="458"/>
      <c r="CI2" s="458"/>
      <c r="CJ2" s="458"/>
      <c r="CK2" s="458">
        <v>15</v>
      </c>
      <c r="CL2" s="458"/>
      <c r="CM2" s="458"/>
      <c r="CN2" s="458"/>
      <c r="CO2" s="458"/>
      <c r="CP2" s="458"/>
      <c r="CQ2" s="458">
        <v>16</v>
      </c>
      <c r="CR2" s="458"/>
      <c r="CS2" s="458"/>
      <c r="CT2" s="458"/>
      <c r="CU2" s="458"/>
      <c r="CV2" s="458"/>
      <c r="CW2" s="458">
        <v>17</v>
      </c>
      <c r="CX2" s="458"/>
      <c r="CY2" s="458"/>
      <c r="CZ2" s="458"/>
      <c r="DA2" s="458"/>
      <c r="DB2" s="458"/>
      <c r="DC2" s="458">
        <v>18</v>
      </c>
      <c r="DD2" s="458"/>
      <c r="DE2" s="458"/>
      <c r="DF2" s="458"/>
      <c r="DG2" s="458"/>
      <c r="DH2" s="458"/>
      <c r="DI2" s="458">
        <v>19</v>
      </c>
      <c r="DJ2" s="458"/>
      <c r="DK2" s="458"/>
      <c r="DL2" s="458"/>
      <c r="DM2" s="458"/>
      <c r="DN2" s="458"/>
    </row>
    <row r="3" spans="1:118" s="10" customFormat="1" ht="45" customHeight="1" x14ac:dyDescent="0.35">
      <c r="B3" s="392"/>
      <c r="C3" s="180" t="s">
        <v>14</v>
      </c>
      <c r="D3" s="392"/>
      <c r="E3" s="459" t="s">
        <v>766</v>
      </c>
      <c r="F3" s="460"/>
      <c r="G3" s="460"/>
      <c r="H3" s="460"/>
      <c r="I3" s="460"/>
      <c r="J3" s="461"/>
      <c r="K3" s="459" t="s">
        <v>767</v>
      </c>
      <c r="L3" s="460"/>
      <c r="M3" s="460"/>
      <c r="N3" s="460"/>
      <c r="O3" s="460"/>
      <c r="P3" s="461"/>
      <c r="Q3" s="459" t="s">
        <v>768</v>
      </c>
      <c r="R3" s="460"/>
      <c r="S3" s="460"/>
      <c r="T3" s="460"/>
      <c r="U3" s="460"/>
      <c r="V3" s="461"/>
      <c r="W3" s="473" t="s">
        <v>769</v>
      </c>
      <c r="X3" s="474"/>
      <c r="Y3" s="474"/>
      <c r="Z3" s="474"/>
      <c r="AA3" s="474"/>
      <c r="AB3" s="475"/>
      <c r="AC3" s="473" t="s">
        <v>770</v>
      </c>
      <c r="AD3" s="474"/>
      <c r="AE3" s="474"/>
      <c r="AF3" s="474"/>
      <c r="AG3" s="474"/>
      <c r="AH3" s="475"/>
      <c r="AI3" s="459" t="s">
        <v>771</v>
      </c>
      <c r="AJ3" s="460"/>
      <c r="AK3" s="460"/>
      <c r="AL3" s="460"/>
      <c r="AM3" s="460"/>
      <c r="AN3" s="461"/>
      <c r="AO3" s="459" t="s">
        <v>772</v>
      </c>
      <c r="AP3" s="460"/>
      <c r="AQ3" s="460"/>
      <c r="AR3" s="460"/>
      <c r="AS3" s="460"/>
      <c r="AT3" s="461"/>
      <c r="AU3" s="459" t="s">
        <v>773</v>
      </c>
      <c r="AV3" s="460"/>
      <c r="AW3" s="460"/>
      <c r="AX3" s="460"/>
      <c r="AY3" s="460"/>
      <c r="AZ3" s="461"/>
      <c r="BA3" s="459" t="s">
        <v>774</v>
      </c>
      <c r="BB3" s="460"/>
      <c r="BC3" s="460"/>
      <c r="BD3" s="460"/>
      <c r="BE3" s="460"/>
      <c r="BF3" s="461"/>
      <c r="BG3" s="459" t="s">
        <v>775</v>
      </c>
      <c r="BH3" s="460"/>
      <c r="BI3" s="460"/>
      <c r="BJ3" s="460"/>
      <c r="BK3" s="460"/>
      <c r="BL3" s="461"/>
      <c r="BM3" s="459" t="s">
        <v>972</v>
      </c>
      <c r="BN3" s="460"/>
      <c r="BO3" s="460"/>
      <c r="BP3" s="460"/>
      <c r="BQ3" s="460"/>
      <c r="BR3" s="461"/>
      <c r="BS3" s="459" t="s">
        <v>776</v>
      </c>
      <c r="BT3" s="460"/>
      <c r="BU3" s="460"/>
      <c r="BV3" s="460"/>
      <c r="BW3" s="460"/>
      <c r="BX3" s="461"/>
      <c r="BY3" s="473" t="s">
        <v>777</v>
      </c>
      <c r="BZ3" s="474"/>
      <c r="CA3" s="474"/>
      <c r="CB3" s="474"/>
      <c r="CC3" s="474"/>
      <c r="CD3" s="475"/>
      <c r="CE3" s="473" t="s">
        <v>778</v>
      </c>
      <c r="CF3" s="474"/>
      <c r="CG3" s="474"/>
      <c r="CH3" s="474"/>
      <c r="CI3" s="474"/>
      <c r="CJ3" s="475"/>
      <c r="CK3" s="459" t="s">
        <v>779</v>
      </c>
      <c r="CL3" s="460"/>
      <c r="CM3" s="460"/>
      <c r="CN3" s="460"/>
      <c r="CO3" s="460"/>
      <c r="CP3" s="461"/>
      <c r="CQ3" s="459" t="s">
        <v>780</v>
      </c>
      <c r="CR3" s="460"/>
      <c r="CS3" s="460"/>
      <c r="CT3" s="460"/>
      <c r="CU3" s="460"/>
      <c r="CV3" s="461"/>
      <c r="CW3" s="459" t="s">
        <v>781</v>
      </c>
      <c r="CX3" s="460"/>
      <c r="CY3" s="460"/>
      <c r="CZ3" s="460"/>
      <c r="DA3" s="460"/>
      <c r="DB3" s="461"/>
      <c r="DC3" s="459" t="s">
        <v>782</v>
      </c>
      <c r="DD3" s="460"/>
      <c r="DE3" s="460"/>
      <c r="DF3" s="460"/>
      <c r="DG3" s="460"/>
      <c r="DH3" s="461"/>
      <c r="DI3" s="459" t="s">
        <v>783</v>
      </c>
      <c r="DJ3" s="460"/>
      <c r="DK3" s="460"/>
      <c r="DL3" s="460"/>
      <c r="DM3" s="460"/>
      <c r="DN3" s="461"/>
    </row>
    <row r="4" spans="1:118" x14ac:dyDescent="0.35">
      <c r="B4" s="396"/>
      <c r="C4" s="178" t="s">
        <v>1</v>
      </c>
      <c r="D4" s="396" t="s">
        <v>5</v>
      </c>
      <c r="E4" s="540">
        <v>65</v>
      </c>
      <c r="F4" s="541"/>
      <c r="G4" s="541"/>
      <c r="H4" s="541"/>
      <c r="I4" s="541"/>
      <c r="J4" s="542"/>
      <c r="K4" s="462">
        <v>63</v>
      </c>
      <c r="L4" s="462"/>
      <c r="M4" s="462"/>
      <c r="N4" s="462"/>
      <c r="O4" s="462"/>
      <c r="P4" s="462"/>
      <c r="Q4" s="462">
        <v>62.5</v>
      </c>
      <c r="R4" s="462"/>
      <c r="S4" s="462"/>
      <c r="T4" s="462"/>
      <c r="U4" s="462"/>
      <c r="V4" s="462"/>
      <c r="W4" s="546">
        <f>Q4</f>
        <v>62.5</v>
      </c>
      <c r="X4" s="546"/>
      <c r="Y4" s="546"/>
      <c r="Z4" s="546"/>
      <c r="AA4" s="546"/>
      <c r="AB4" s="546"/>
      <c r="AC4" s="462">
        <v>200</v>
      </c>
      <c r="AD4" s="462"/>
      <c r="AE4" s="462"/>
      <c r="AF4" s="462"/>
      <c r="AG4" s="462"/>
      <c r="AH4" s="462"/>
      <c r="AI4" s="462">
        <v>199</v>
      </c>
      <c r="AJ4" s="462"/>
      <c r="AK4" s="462"/>
      <c r="AL4" s="462"/>
      <c r="AM4" s="462"/>
      <c r="AN4" s="462"/>
      <c r="AO4" s="462">
        <v>198</v>
      </c>
      <c r="AP4" s="462"/>
      <c r="AQ4" s="462"/>
      <c r="AR4" s="462"/>
      <c r="AS4" s="462"/>
      <c r="AT4" s="462"/>
      <c r="AU4" s="462">
        <v>197</v>
      </c>
      <c r="AV4" s="462"/>
      <c r="AW4" s="462"/>
      <c r="AX4" s="462"/>
      <c r="AY4" s="462"/>
      <c r="AZ4" s="462"/>
      <c r="BA4" s="462">
        <v>196</v>
      </c>
      <c r="BB4" s="462"/>
      <c r="BC4" s="462"/>
      <c r="BD4" s="462"/>
      <c r="BE4" s="462"/>
      <c r="BF4" s="462"/>
      <c r="BG4" s="462">
        <v>195</v>
      </c>
      <c r="BH4" s="462"/>
      <c r="BI4" s="462"/>
      <c r="BJ4" s="462"/>
      <c r="BK4" s="462"/>
      <c r="BL4" s="462"/>
      <c r="BM4" s="462">
        <v>1</v>
      </c>
      <c r="BN4" s="462"/>
      <c r="BO4" s="462"/>
      <c r="BP4" s="462"/>
      <c r="BQ4" s="462"/>
      <c r="BR4" s="462"/>
      <c r="BS4" s="462">
        <v>2</v>
      </c>
      <c r="BT4" s="462"/>
      <c r="BU4" s="462"/>
      <c r="BV4" s="462"/>
      <c r="BW4" s="462"/>
      <c r="BX4" s="462"/>
      <c r="BY4" s="462">
        <v>65</v>
      </c>
      <c r="BZ4" s="462"/>
      <c r="CA4" s="462"/>
      <c r="CB4" s="462"/>
      <c r="CC4" s="462"/>
      <c r="CD4" s="462"/>
      <c r="CE4" s="462">
        <v>63</v>
      </c>
      <c r="CF4" s="462"/>
      <c r="CG4" s="462"/>
      <c r="CH4" s="462"/>
      <c r="CI4" s="462"/>
      <c r="CJ4" s="462"/>
      <c r="CK4" s="462">
        <f>'Input Sheet'!L4</f>
        <v>150</v>
      </c>
      <c r="CL4" s="462"/>
      <c r="CM4" s="462"/>
      <c r="CN4" s="462"/>
      <c r="CO4" s="462"/>
      <c r="CP4" s="462"/>
      <c r="CQ4" s="462">
        <v>270</v>
      </c>
      <c r="CR4" s="462"/>
      <c r="CS4" s="462"/>
      <c r="CT4" s="462"/>
      <c r="CU4" s="462"/>
      <c r="CV4" s="462"/>
      <c r="CW4" s="462">
        <v>268</v>
      </c>
      <c r="CX4" s="462"/>
      <c r="CY4" s="462"/>
      <c r="CZ4" s="462"/>
      <c r="DA4" s="462"/>
      <c r="DB4" s="462"/>
      <c r="DC4" s="462">
        <v>266</v>
      </c>
      <c r="DD4" s="462"/>
      <c r="DE4" s="462"/>
      <c r="DF4" s="462"/>
      <c r="DG4" s="462"/>
      <c r="DH4" s="462"/>
      <c r="DI4" s="462">
        <v>265</v>
      </c>
      <c r="DJ4" s="462"/>
      <c r="DK4" s="462"/>
      <c r="DL4" s="462"/>
      <c r="DM4" s="462"/>
      <c r="DN4" s="462"/>
    </row>
    <row r="5" spans="1:118" x14ac:dyDescent="0.35">
      <c r="A5">
        <f>E23*(14.7+E4)/100</f>
        <v>0.10120685517737876</v>
      </c>
      <c r="B5" s="396"/>
      <c r="C5" s="178" t="s">
        <v>0</v>
      </c>
      <c r="D5" s="396" t="s">
        <v>4</v>
      </c>
      <c r="E5" s="540">
        <v>70</v>
      </c>
      <c r="F5" s="541"/>
      <c r="G5" s="541"/>
      <c r="H5" s="541"/>
      <c r="I5" s="541"/>
      <c r="J5" s="542"/>
      <c r="K5" s="462">
        <f>E5</f>
        <v>70</v>
      </c>
      <c r="L5" s="462"/>
      <c r="M5" s="462"/>
      <c r="N5" s="462"/>
      <c r="O5" s="462"/>
      <c r="P5" s="462"/>
      <c r="Q5" s="462">
        <f>K5</f>
        <v>70</v>
      </c>
      <c r="R5" s="462"/>
      <c r="S5" s="462"/>
      <c r="T5" s="462"/>
      <c r="U5" s="462"/>
      <c r="V5" s="462"/>
      <c r="W5" s="546">
        <f>(Q9*Q5+CE9*CE5)/(Q9+CE9)</f>
        <v>92.740094703881937</v>
      </c>
      <c r="X5" s="546"/>
      <c r="Y5" s="546"/>
      <c r="Z5" s="546"/>
      <c r="AA5" s="546"/>
      <c r="AB5" s="546"/>
      <c r="AC5" s="462">
        <v>245</v>
      </c>
      <c r="AD5" s="462"/>
      <c r="AE5" s="462"/>
      <c r="AF5" s="462"/>
      <c r="AG5" s="462"/>
      <c r="AH5" s="462"/>
      <c r="AI5" s="462">
        <v>111</v>
      </c>
      <c r="AJ5" s="462"/>
      <c r="AK5" s="462"/>
      <c r="AL5" s="462"/>
      <c r="AM5" s="462"/>
      <c r="AN5" s="462"/>
      <c r="AO5" s="462">
        <v>102</v>
      </c>
      <c r="AP5" s="462"/>
      <c r="AQ5" s="462"/>
      <c r="AR5" s="462"/>
      <c r="AS5" s="462"/>
      <c r="AT5" s="462"/>
      <c r="AU5" s="462">
        <v>40</v>
      </c>
      <c r="AV5" s="462"/>
      <c r="AW5" s="462"/>
      <c r="AX5" s="462"/>
      <c r="AY5" s="462"/>
      <c r="AZ5" s="462"/>
      <c r="BA5" s="462">
        <v>50</v>
      </c>
      <c r="BB5" s="462"/>
      <c r="BC5" s="462"/>
      <c r="BD5" s="462"/>
      <c r="BE5" s="462"/>
      <c r="BF5" s="462"/>
      <c r="BG5" s="462">
        <v>50</v>
      </c>
      <c r="BH5" s="462"/>
      <c r="BI5" s="462"/>
      <c r="BJ5" s="462"/>
      <c r="BK5" s="462"/>
      <c r="BL5" s="462"/>
      <c r="BM5" s="462">
        <v>50</v>
      </c>
      <c r="BN5" s="462"/>
      <c r="BO5" s="462"/>
      <c r="BP5" s="462"/>
      <c r="BQ5" s="462"/>
      <c r="BR5" s="462"/>
      <c r="BS5" s="462">
        <v>62.4</v>
      </c>
      <c r="BT5" s="462"/>
      <c r="BU5" s="462"/>
      <c r="BV5" s="462"/>
      <c r="BW5" s="462"/>
      <c r="BX5" s="462"/>
      <c r="BY5" s="462">
        <v>250</v>
      </c>
      <c r="BZ5" s="462"/>
      <c r="CA5" s="462"/>
      <c r="CB5" s="462"/>
      <c r="CC5" s="462"/>
      <c r="CD5" s="462"/>
      <c r="CE5" s="462">
        <v>120</v>
      </c>
      <c r="CF5" s="462"/>
      <c r="CG5" s="462"/>
      <c r="CH5" s="462"/>
      <c r="CI5" s="462"/>
      <c r="CJ5" s="462"/>
      <c r="CK5" s="462">
        <f>'Input Sheet'!L5</f>
        <v>51.7</v>
      </c>
      <c r="CL5" s="462"/>
      <c r="CM5" s="462"/>
      <c r="CN5" s="462"/>
      <c r="CO5" s="462"/>
      <c r="CP5" s="462"/>
      <c r="CQ5" s="462">
        <v>208</v>
      </c>
      <c r="CR5" s="462"/>
      <c r="CS5" s="462"/>
      <c r="CT5" s="462"/>
      <c r="CU5" s="462"/>
      <c r="CV5" s="462"/>
      <c r="CW5" s="462">
        <v>111</v>
      </c>
      <c r="CX5" s="462"/>
      <c r="CY5" s="462"/>
      <c r="CZ5" s="462"/>
      <c r="DA5" s="462"/>
      <c r="DB5" s="462"/>
      <c r="DC5" s="462">
        <v>95</v>
      </c>
      <c r="DD5" s="462"/>
      <c r="DE5" s="462"/>
      <c r="DF5" s="462"/>
      <c r="DG5" s="462"/>
      <c r="DH5" s="462"/>
      <c r="DI5" s="462">
        <f>DC5</f>
        <v>95</v>
      </c>
      <c r="DJ5" s="462"/>
      <c r="DK5" s="462"/>
      <c r="DL5" s="462"/>
      <c r="DM5" s="462"/>
      <c r="DN5" s="462"/>
    </row>
    <row r="6" spans="1:118" ht="14.5" hidden="1" customHeight="1" x14ac:dyDescent="0.35">
      <c r="B6" s="396"/>
      <c r="C6" s="178"/>
      <c r="D6" s="396" t="s">
        <v>127</v>
      </c>
      <c r="E6" s="479">
        <f>(E5-32)*5/9</f>
        <v>21.111111111111111</v>
      </c>
      <c r="F6" s="480"/>
      <c r="G6" s="480"/>
      <c r="H6" s="480"/>
      <c r="I6" s="480"/>
      <c r="J6" s="481"/>
      <c r="K6" s="458">
        <f>(K5-32)*5/9</f>
        <v>21.111111111111111</v>
      </c>
      <c r="L6" s="458"/>
      <c r="M6" s="458"/>
      <c r="N6" s="458"/>
      <c r="O6" s="458"/>
      <c r="P6" s="458"/>
      <c r="Q6" s="458">
        <f>(Q5-32)*5/9</f>
        <v>21.111111111111111</v>
      </c>
      <c r="R6" s="458"/>
      <c r="S6" s="458"/>
      <c r="T6" s="458"/>
      <c r="U6" s="458"/>
      <c r="V6" s="458"/>
      <c r="W6" s="547">
        <f>(W5-32)*5/9</f>
        <v>33.744497057712188</v>
      </c>
      <c r="X6" s="547"/>
      <c r="Y6" s="547"/>
      <c r="Z6" s="547"/>
      <c r="AA6" s="547"/>
      <c r="AB6" s="547"/>
      <c r="AC6" s="458">
        <f>(AC5-32)*5/9</f>
        <v>118.33333333333333</v>
      </c>
      <c r="AD6" s="458"/>
      <c r="AE6" s="458"/>
      <c r="AF6" s="458"/>
      <c r="AG6" s="458"/>
      <c r="AH6" s="458"/>
      <c r="AI6" s="458">
        <f>(AI5-32)*5/9</f>
        <v>43.888888888888886</v>
      </c>
      <c r="AJ6" s="458"/>
      <c r="AK6" s="458"/>
      <c r="AL6" s="458"/>
      <c r="AM6" s="458"/>
      <c r="AN6" s="458"/>
      <c r="AO6" s="458">
        <f>(AO5-32)*5/9</f>
        <v>38.888888888888886</v>
      </c>
      <c r="AP6" s="458"/>
      <c r="AQ6" s="458"/>
      <c r="AR6" s="458"/>
      <c r="AS6" s="458"/>
      <c r="AT6" s="458"/>
      <c r="AU6" s="458">
        <f>(AU5-32)*5/9</f>
        <v>4.4444444444444446</v>
      </c>
      <c r="AV6" s="458"/>
      <c r="AW6" s="458"/>
      <c r="AX6" s="458"/>
      <c r="AY6" s="458"/>
      <c r="AZ6" s="458"/>
      <c r="BA6" s="458">
        <f>(BA5-32)*5/9</f>
        <v>10</v>
      </c>
      <c r="BB6" s="458"/>
      <c r="BC6" s="458"/>
      <c r="BD6" s="458"/>
      <c r="BE6" s="458"/>
      <c r="BF6" s="458"/>
      <c r="BG6" s="458">
        <f>(BG5-32)*5/9</f>
        <v>10</v>
      </c>
      <c r="BH6" s="458"/>
      <c r="BI6" s="458"/>
      <c r="BJ6" s="458"/>
      <c r="BK6" s="458"/>
      <c r="BL6" s="458"/>
      <c r="BM6" s="458">
        <f>(BM5-32)*5/9</f>
        <v>10</v>
      </c>
      <c r="BN6" s="458"/>
      <c r="BO6" s="458"/>
      <c r="BP6" s="458"/>
      <c r="BQ6" s="458"/>
      <c r="BR6" s="458"/>
      <c r="BS6" s="458">
        <f>(BS5-32)*5/9</f>
        <v>16.888888888888889</v>
      </c>
      <c r="BT6" s="458"/>
      <c r="BU6" s="458"/>
      <c r="BV6" s="458"/>
      <c r="BW6" s="458"/>
      <c r="BX6" s="458"/>
      <c r="BY6" s="458">
        <f>(BY5-32)*5/9</f>
        <v>121.11111111111111</v>
      </c>
      <c r="BZ6" s="458"/>
      <c r="CA6" s="458"/>
      <c r="CB6" s="458"/>
      <c r="CC6" s="458"/>
      <c r="CD6" s="458"/>
      <c r="CE6" s="458">
        <f>(CE5-32)*5/9</f>
        <v>48.888888888888886</v>
      </c>
      <c r="CF6" s="458"/>
      <c r="CG6" s="458"/>
      <c r="CH6" s="458"/>
      <c r="CI6" s="458"/>
      <c r="CJ6" s="458"/>
      <c r="CK6" s="458">
        <f>(CK5-32)*5/9</f>
        <v>10.944444444444446</v>
      </c>
      <c r="CL6" s="458"/>
      <c r="CM6" s="458"/>
      <c r="CN6" s="458"/>
      <c r="CO6" s="458"/>
      <c r="CP6" s="458"/>
      <c r="CQ6" s="458">
        <f>(CQ5-32)*5/9</f>
        <v>97.777777777777771</v>
      </c>
      <c r="CR6" s="458"/>
      <c r="CS6" s="458"/>
      <c r="CT6" s="458"/>
      <c r="CU6" s="458"/>
      <c r="CV6" s="458"/>
      <c r="CW6" s="458">
        <f>(CW5-32)*5/9</f>
        <v>43.888888888888886</v>
      </c>
      <c r="CX6" s="458"/>
      <c r="CY6" s="458"/>
      <c r="CZ6" s="458"/>
      <c r="DA6" s="458"/>
      <c r="DB6" s="458"/>
      <c r="DC6" s="458">
        <f>(DC5-32)*5/9</f>
        <v>35</v>
      </c>
      <c r="DD6" s="458"/>
      <c r="DE6" s="458"/>
      <c r="DF6" s="458"/>
      <c r="DG6" s="458"/>
      <c r="DH6" s="458"/>
      <c r="DI6" s="458">
        <f>(DI5-32)*5/9</f>
        <v>35</v>
      </c>
      <c r="DJ6" s="458"/>
      <c r="DK6" s="458"/>
      <c r="DL6" s="458"/>
      <c r="DM6" s="458"/>
      <c r="DN6" s="458"/>
    </row>
    <row r="7" spans="1:118" x14ac:dyDescent="0.35">
      <c r="B7" s="396"/>
      <c r="C7" s="178" t="s">
        <v>26</v>
      </c>
      <c r="D7" s="396" t="s">
        <v>27</v>
      </c>
      <c r="E7" s="537">
        <f>SUM(G18:G24)</f>
        <v>250.02999999999997</v>
      </c>
      <c r="F7" s="538"/>
      <c r="G7" s="538"/>
      <c r="H7" s="538"/>
      <c r="I7" s="538"/>
      <c r="J7" s="539"/>
      <c r="K7" s="463">
        <f>SUM(M18:M24)</f>
        <v>250.01850011999997</v>
      </c>
      <c r="L7" s="463"/>
      <c r="M7" s="463"/>
      <c r="N7" s="463"/>
      <c r="O7" s="463"/>
      <c r="P7" s="463"/>
      <c r="Q7" s="463">
        <f>SUM(S18:S24)</f>
        <v>250.01850011999997</v>
      </c>
      <c r="R7" s="463"/>
      <c r="S7" s="463"/>
      <c r="T7" s="463"/>
      <c r="U7" s="463"/>
      <c r="V7" s="463"/>
      <c r="W7" s="463">
        <f>SUM(Y18:Y24)</f>
        <v>442.99302895311899</v>
      </c>
      <c r="X7" s="463"/>
      <c r="Y7" s="463"/>
      <c r="Z7" s="463"/>
      <c r="AA7" s="463"/>
      <c r="AB7" s="463"/>
      <c r="AC7" s="463">
        <f>SUM(AE18:AE24)</f>
        <v>442.99302895311899</v>
      </c>
      <c r="AD7" s="463"/>
      <c r="AE7" s="463"/>
      <c r="AF7" s="463"/>
      <c r="AG7" s="463"/>
      <c r="AH7" s="463"/>
      <c r="AI7" s="463">
        <f>SUM(AK18:AK24)</f>
        <v>442.99302895311899</v>
      </c>
      <c r="AJ7" s="463"/>
      <c r="AK7" s="463"/>
      <c r="AL7" s="463"/>
      <c r="AM7" s="463"/>
      <c r="AN7" s="463"/>
      <c r="AO7" s="463">
        <f>SUM(AQ18:AQ24)</f>
        <v>442.99302895311899</v>
      </c>
      <c r="AP7" s="463"/>
      <c r="AQ7" s="463"/>
      <c r="AR7" s="463"/>
      <c r="AS7" s="463"/>
      <c r="AT7" s="463"/>
      <c r="AU7" s="463">
        <f>SUM(AW18:AW24)</f>
        <v>442.79502788053554</v>
      </c>
      <c r="AV7" s="463"/>
      <c r="AW7" s="463"/>
      <c r="AX7" s="463"/>
      <c r="AY7" s="463"/>
      <c r="AZ7" s="463"/>
      <c r="BA7" s="463">
        <f>SUM(BC18:BC24)</f>
        <v>442.79502788053554</v>
      </c>
      <c r="BB7" s="463"/>
      <c r="BC7" s="463"/>
      <c r="BD7" s="463"/>
      <c r="BE7" s="463"/>
      <c r="BF7" s="463"/>
      <c r="BG7" s="463">
        <f>SUM(BI18:BI24)</f>
        <v>442.79502788053554</v>
      </c>
      <c r="BH7" s="463"/>
      <c r="BI7" s="463"/>
      <c r="BJ7" s="463"/>
      <c r="BK7" s="463"/>
      <c r="BL7" s="463"/>
      <c r="BM7" s="463">
        <f>SUM(BO18:BO24)</f>
        <v>98.313427671655774</v>
      </c>
      <c r="BN7" s="463"/>
      <c r="BO7" s="463"/>
      <c r="BP7" s="463"/>
      <c r="BQ7" s="463"/>
      <c r="BR7" s="463"/>
      <c r="BS7" s="463">
        <f>SUM(BU18:BU24)</f>
        <v>192.97452883311902</v>
      </c>
      <c r="BT7" s="463"/>
      <c r="BU7" s="463"/>
      <c r="BV7" s="463"/>
      <c r="BW7" s="463"/>
      <c r="BX7" s="463"/>
      <c r="BY7" s="463">
        <f>SUM(CA18:CA24)</f>
        <v>192.97452883311902</v>
      </c>
      <c r="BZ7" s="463"/>
      <c r="CA7" s="463"/>
      <c r="CB7" s="463"/>
      <c r="CC7" s="463"/>
      <c r="CD7" s="463"/>
      <c r="CE7" s="463">
        <f>SUM(CG18:CG24)</f>
        <v>192.97452883311902</v>
      </c>
      <c r="CF7" s="463"/>
      <c r="CG7" s="463"/>
      <c r="CH7" s="463"/>
      <c r="CI7" s="463"/>
      <c r="CJ7" s="463"/>
      <c r="CK7" s="463">
        <f>SUM(CM18:CM24)</f>
        <v>151.50707137576077</v>
      </c>
      <c r="CL7" s="463"/>
      <c r="CM7" s="463"/>
      <c r="CN7" s="463"/>
      <c r="CO7" s="463"/>
      <c r="CP7" s="463"/>
      <c r="CQ7" s="463">
        <f>SUM(CS18:CS24)</f>
        <v>151.50707137576077</v>
      </c>
      <c r="CR7" s="463"/>
      <c r="CS7" s="463"/>
      <c r="CT7" s="463"/>
      <c r="CU7" s="463"/>
      <c r="CV7" s="463"/>
      <c r="CW7" s="463">
        <f>SUM(CY18:CY24)</f>
        <v>151.50707137576077</v>
      </c>
      <c r="CX7" s="463"/>
      <c r="CY7" s="463"/>
      <c r="CZ7" s="463"/>
      <c r="DA7" s="463"/>
      <c r="DB7" s="463"/>
      <c r="DC7" s="463">
        <f>SUM(DE18:DE24)</f>
        <v>151.50707137576077</v>
      </c>
      <c r="DD7" s="463"/>
      <c r="DE7" s="463"/>
      <c r="DF7" s="463"/>
      <c r="DG7" s="463"/>
      <c r="DH7" s="463"/>
      <c r="DI7" s="463">
        <f>SUM(DK18:DK24)</f>
        <v>151.50707137576077</v>
      </c>
      <c r="DJ7" s="463"/>
      <c r="DK7" s="463"/>
      <c r="DL7" s="463"/>
      <c r="DM7" s="463"/>
      <c r="DN7" s="463"/>
    </row>
    <row r="8" spans="1:118" x14ac:dyDescent="0.35">
      <c r="B8" s="396"/>
      <c r="C8" s="178" t="s">
        <v>28</v>
      </c>
      <c r="D8" s="396" t="s">
        <v>29</v>
      </c>
      <c r="E8" s="534">
        <f>SUM(H$18:H$24)</f>
        <v>47.002792442814403</v>
      </c>
      <c r="F8" s="535"/>
      <c r="G8" s="535"/>
      <c r="H8" s="535"/>
      <c r="I8" s="535"/>
      <c r="J8" s="536"/>
      <c r="K8" s="454">
        <f>SUM(N$18:N$24)</f>
        <v>48.210428037692317</v>
      </c>
      <c r="L8" s="454"/>
      <c r="M8" s="454"/>
      <c r="N8" s="454"/>
      <c r="O8" s="454"/>
      <c r="P8" s="454"/>
      <c r="Q8" s="454">
        <f>SUM(T$18:T$24)</f>
        <v>48.522671742599655</v>
      </c>
      <c r="R8" s="454"/>
      <c r="S8" s="454"/>
      <c r="T8" s="454"/>
      <c r="U8" s="454"/>
      <c r="V8" s="454"/>
      <c r="W8" s="454">
        <f>SUM(Z$18:Z$24)</f>
        <v>89.663265469748552</v>
      </c>
      <c r="X8" s="454"/>
      <c r="Y8" s="454"/>
      <c r="Z8" s="454"/>
      <c r="AA8" s="454"/>
      <c r="AB8" s="454"/>
      <c r="AC8" s="454">
        <f>SUM(AF$18:AF$24)</f>
        <v>41.12140603664907</v>
      </c>
      <c r="AD8" s="454"/>
      <c r="AE8" s="454"/>
      <c r="AF8" s="454"/>
      <c r="AG8" s="454"/>
      <c r="AH8" s="454"/>
      <c r="AI8" s="454">
        <f>SUM(AL$18:AL$24)</f>
        <v>33.461273776356101</v>
      </c>
      <c r="AJ8" s="454"/>
      <c r="AK8" s="454"/>
      <c r="AL8" s="454"/>
      <c r="AM8" s="454"/>
      <c r="AN8" s="454"/>
      <c r="AO8" s="454">
        <f>SUM(AR$18:AR$24)</f>
        <v>33.088700312767145</v>
      </c>
      <c r="AP8" s="454"/>
      <c r="AQ8" s="454"/>
      <c r="AR8" s="454"/>
      <c r="AS8" s="454"/>
      <c r="AT8" s="454"/>
      <c r="AU8" s="454">
        <f>SUM(AX$18:AX$24)</f>
        <v>29.564182396369468</v>
      </c>
      <c r="AV8" s="454"/>
      <c r="AW8" s="454"/>
      <c r="AX8" s="454"/>
      <c r="AY8" s="454"/>
      <c r="AZ8" s="454"/>
      <c r="BA8" s="454">
        <f>SUM(BD$18:BD$24)</f>
        <v>30.298586433686019</v>
      </c>
      <c r="BB8" s="454"/>
      <c r="BC8" s="454"/>
      <c r="BD8" s="454"/>
      <c r="BE8" s="454"/>
      <c r="BF8" s="454"/>
      <c r="BG8" s="454">
        <f>SUM(BJ$18:BJ$24)</f>
        <v>30.443071824404601</v>
      </c>
      <c r="BH8" s="454"/>
      <c r="BI8" s="454"/>
      <c r="BJ8" s="454"/>
      <c r="BK8" s="454"/>
      <c r="BL8" s="454"/>
      <c r="BM8" s="454">
        <f>SUM(BP$18:BP$24)</f>
        <v>90.281206180108171</v>
      </c>
      <c r="BN8" s="454"/>
      <c r="BO8" s="454"/>
      <c r="BP8" s="454"/>
      <c r="BQ8" s="454"/>
      <c r="BR8" s="454"/>
      <c r="BS8" s="454">
        <f>SUM(BV$18:BV$24)</f>
        <v>170.64779361787129</v>
      </c>
      <c r="BT8" s="454"/>
      <c r="BU8" s="454"/>
      <c r="BV8" s="454"/>
      <c r="BW8" s="454"/>
      <c r="BX8" s="454"/>
      <c r="BY8" s="454">
        <f>SUM(CB$18:CB$24)</f>
        <v>48.597508865728777</v>
      </c>
      <c r="BZ8" s="454"/>
      <c r="CA8" s="454"/>
      <c r="CB8" s="454"/>
      <c r="CC8" s="454"/>
      <c r="CD8" s="454"/>
      <c r="CE8" s="454">
        <f>SUM(CH$18:CH$24)</f>
        <v>40.721236333807873</v>
      </c>
      <c r="CF8" s="454"/>
      <c r="CG8" s="454"/>
      <c r="CH8" s="454"/>
      <c r="CI8" s="454"/>
      <c r="CJ8" s="454"/>
      <c r="CK8" s="454">
        <f>SUM(CN$18:CN$24)</f>
        <v>13.306649336996855</v>
      </c>
      <c r="CL8" s="454"/>
      <c r="CM8" s="454"/>
      <c r="CN8" s="454"/>
      <c r="CO8" s="454"/>
      <c r="CP8" s="454"/>
      <c r="CQ8" s="454">
        <f>SUM(CT$18:CT$24)</f>
        <v>10.049301816226395</v>
      </c>
      <c r="CR8" s="454"/>
      <c r="CS8" s="454"/>
      <c r="CT8" s="454"/>
      <c r="CU8" s="454"/>
      <c r="CV8" s="454"/>
      <c r="CW8" s="454">
        <f>SUM(CZ$18:CZ$24)</f>
        <v>8.6508183791374584</v>
      </c>
      <c r="CX8" s="454"/>
      <c r="CY8" s="454"/>
      <c r="CZ8" s="454"/>
      <c r="DA8" s="454"/>
      <c r="DB8" s="454"/>
      <c r="DC8" s="454">
        <f>SUM(DF$18:DF$24)</f>
        <v>8.468323982757008</v>
      </c>
      <c r="DD8" s="454"/>
      <c r="DE8" s="454"/>
      <c r="DF8" s="454"/>
      <c r="DG8" s="454"/>
      <c r="DH8" s="454"/>
      <c r="DI8" s="454">
        <f>SUM(DL$18:DL$24)</f>
        <v>8.498600436038231</v>
      </c>
      <c r="DJ8" s="454"/>
      <c r="DK8" s="454"/>
      <c r="DL8" s="454"/>
      <c r="DM8" s="454"/>
      <c r="DN8" s="454"/>
    </row>
    <row r="9" spans="1:118" x14ac:dyDescent="0.35">
      <c r="B9" s="396"/>
      <c r="C9" s="178" t="s">
        <v>2</v>
      </c>
      <c r="D9" s="396" t="s">
        <v>3</v>
      </c>
      <c r="E9" s="534">
        <f>SUM(I$18:I$24)</f>
        <v>1065.4435294737675</v>
      </c>
      <c r="F9" s="535"/>
      <c r="G9" s="535"/>
      <c r="H9" s="535"/>
      <c r="I9" s="535"/>
      <c r="J9" s="536"/>
      <c r="K9" s="454">
        <f>SUM(O$18:O$24)</f>
        <v>1065.3815648511845</v>
      </c>
      <c r="L9" s="454"/>
      <c r="M9" s="454"/>
      <c r="N9" s="454"/>
      <c r="O9" s="454"/>
      <c r="P9" s="454"/>
      <c r="Q9" s="454">
        <f>SUM(U$18:U$24)</f>
        <v>1065.3815648511845</v>
      </c>
      <c r="R9" s="454"/>
      <c r="S9" s="454"/>
      <c r="T9" s="454"/>
      <c r="U9" s="454"/>
      <c r="V9" s="454"/>
      <c r="W9" s="454">
        <f>SUM(AA$18:AA$24)</f>
        <v>1954.1182430353122</v>
      </c>
      <c r="X9" s="454"/>
      <c r="Y9" s="454"/>
      <c r="Z9" s="454"/>
      <c r="AA9" s="454"/>
      <c r="AB9" s="454"/>
      <c r="AC9" s="454">
        <f>SUM(AG$18:AG$24)</f>
        <v>1954.1182430353122</v>
      </c>
      <c r="AD9" s="454"/>
      <c r="AE9" s="454"/>
      <c r="AF9" s="454"/>
      <c r="AG9" s="454"/>
      <c r="AH9" s="454"/>
      <c r="AI9" s="454">
        <f>SUM(AM$18:AM$24)</f>
        <v>1954.1182430353122</v>
      </c>
      <c r="AJ9" s="454"/>
      <c r="AK9" s="454"/>
      <c r="AL9" s="454"/>
      <c r="AM9" s="454"/>
      <c r="AN9" s="454"/>
      <c r="AO9" s="454">
        <f>SUM(AS$18:AS$24)</f>
        <v>1954.1182430353122</v>
      </c>
      <c r="AP9" s="454"/>
      <c r="AQ9" s="454"/>
      <c r="AR9" s="454"/>
      <c r="AS9" s="454"/>
      <c r="AT9" s="454"/>
      <c r="AU9" s="454">
        <f>SUM(AY$18:AY$24)</f>
        <v>1953.5541207668011</v>
      </c>
      <c r="AV9" s="454"/>
      <c r="AW9" s="454"/>
      <c r="AX9" s="454"/>
      <c r="AY9" s="454"/>
      <c r="AZ9" s="454"/>
      <c r="BA9" s="454">
        <f>SUM(BE$18:BE$24)</f>
        <v>1953.5541207668011</v>
      </c>
      <c r="BB9" s="454"/>
      <c r="BC9" s="454"/>
      <c r="BD9" s="454"/>
      <c r="BE9" s="454"/>
      <c r="BF9" s="454"/>
      <c r="BG9" s="454">
        <f>SUM(BK$18:BK$24)</f>
        <v>1953.5541207668011</v>
      </c>
      <c r="BH9" s="454"/>
      <c r="BI9" s="454"/>
      <c r="BJ9" s="454"/>
      <c r="BK9" s="454"/>
      <c r="BL9" s="454"/>
      <c r="BM9" s="454">
        <f>SUM(BQ$18:BQ$24)</f>
        <v>674.91782397316604</v>
      </c>
      <c r="BN9" s="454"/>
      <c r="BO9" s="454"/>
      <c r="BP9" s="454"/>
      <c r="BQ9" s="454"/>
      <c r="BR9" s="454"/>
      <c r="BS9" s="454">
        <f>SUM(BW$18:BW$24)</f>
        <v>888.73667818412753</v>
      </c>
      <c r="BT9" s="454"/>
      <c r="BU9" s="454"/>
      <c r="BV9" s="454"/>
      <c r="BW9" s="454"/>
      <c r="BX9" s="454"/>
      <c r="BY9" s="454">
        <f>SUM(CC$18:CC$24)</f>
        <v>888.73667818412753</v>
      </c>
      <c r="BZ9" s="454"/>
      <c r="CA9" s="454"/>
      <c r="CB9" s="454"/>
      <c r="CC9" s="454"/>
      <c r="CD9" s="454"/>
      <c r="CE9" s="454">
        <f>SUM(CI$18:CI$24)</f>
        <v>888.73667818412753</v>
      </c>
      <c r="CF9" s="454"/>
      <c r="CG9" s="454"/>
      <c r="CH9" s="454"/>
      <c r="CI9" s="454"/>
      <c r="CJ9" s="454"/>
      <c r="CK9" s="454">
        <f>SUM(CO$18:CO$24)</f>
        <v>389.89961860950757</v>
      </c>
      <c r="CL9" s="454"/>
      <c r="CM9" s="454"/>
      <c r="CN9" s="454"/>
      <c r="CO9" s="454"/>
      <c r="CP9" s="454"/>
      <c r="CQ9" s="454">
        <f>SUM(CU$18:CU$24)</f>
        <v>389.89961860950757</v>
      </c>
      <c r="CR9" s="454"/>
      <c r="CS9" s="454"/>
      <c r="CT9" s="454"/>
      <c r="CU9" s="454"/>
      <c r="CV9" s="454"/>
      <c r="CW9" s="454">
        <f>SUM(DA$18:DA$24)</f>
        <v>389.89961860950757</v>
      </c>
      <c r="CX9" s="454"/>
      <c r="CY9" s="454"/>
      <c r="CZ9" s="454"/>
      <c r="DA9" s="454"/>
      <c r="DB9" s="454"/>
      <c r="DC9" s="454">
        <f>SUM(DG$18:DG$24)</f>
        <v>389.89961860950757</v>
      </c>
      <c r="DD9" s="454"/>
      <c r="DE9" s="454"/>
      <c r="DF9" s="454"/>
      <c r="DG9" s="454"/>
      <c r="DH9" s="454"/>
      <c r="DI9" s="454">
        <f>SUM(DM$18:DM$24)</f>
        <v>389.89961860950757</v>
      </c>
      <c r="DJ9" s="454"/>
      <c r="DK9" s="454"/>
      <c r="DL9" s="454"/>
      <c r="DM9" s="454"/>
      <c r="DN9" s="454"/>
    </row>
    <row r="10" spans="1:118" ht="24.75" customHeight="1" x14ac:dyDescent="0.35">
      <c r="B10" s="396"/>
      <c r="C10" s="178" t="s">
        <v>30</v>
      </c>
      <c r="D10" s="396" t="s">
        <v>31</v>
      </c>
      <c r="E10" s="534">
        <f>SUM(J$18:J$24)</f>
        <v>39.531476455242554</v>
      </c>
      <c r="F10" s="535"/>
      <c r="G10" s="535"/>
      <c r="H10" s="535"/>
      <c r="I10" s="535"/>
      <c r="J10" s="536"/>
      <c r="K10" s="454">
        <f>SUM(P$18:P$24)</f>
        <v>39.529658244486015</v>
      </c>
      <c r="L10" s="454"/>
      <c r="M10" s="454"/>
      <c r="N10" s="454"/>
      <c r="O10" s="454"/>
      <c r="P10" s="454"/>
      <c r="Q10" s="454">
        <f>SUM(V$18:V$24)</f>
        <v>39.529658244486015</v>
      </c>
      <c r="R10" s="454"/>
      <c r="S10" s="454"/>
      <c r="T10" s="454"/>
      <c r="U10" s="454"/>
      <c r="V10" s="454"/>
      <c r="W10" s="454">
        <f>SUM(AB$18:AB$24)</f>
        <v>70.040269143290061</v>
      </c>
      <c r="X10" s="454"/>
      <c r="Y10" s="454"/>
      <c r="Z10" s="454"/>
      <c r="AA10" s="454"/>
      <c r="AB10" s="454"/>
      <c r="AC10" s="454">
        <f>SUM(AH$18:AH$24)</f>
        <v>70.040269143290061</v>
      </c>
      <c r="AD10" s="454"/>
      <c r="AE10" s="454"/>
      <c r="AF10" s="454"/>
      <c r="AG10" s="454"/>
      <c r="AH10" s="454"/>
      <c r="AI10" s="454">
        <f>SUM(AN$18:AN$24)</f>
        <v>70.040269143290061</v>
      </c>
      <c r="AJ10" s="454"/>
      <c r="AK10" s="454"/>
      <c r="AL10" s="454"/>
      <c r="AM10" s="454"/>
      <c r="AN10" s="454"/>
      <c r="AO10" s="454">
        <f>SUM(AT$18:AT$24)</f>
        <v>70.040269143290061</v>
      </c>
      <c r="AP10" s="454"/>
      <c r="AQ10" s="454"/>
      <c r="AR10" s="454"/>
      <c r="AS10" s="454"/>
      <c r="AT10" s="454"/>
      <c r="AU10" s="454">
        <f>SUM(AZ$18:AZ$24)</f>
        <v>70.008963800975351</v>
      </c>
      <c r="AV10" s="454"/>
      <c r="AW10" s="454"/>
      <c r="AX10" s="454"/>
      <c r="AY10" s="454"/>
      <c r="AZ10" s="454"/>
      <c r="BA10" s="454">
        <f>SUM(BF$18:BF$24)</f>
        <v>70.008963800975351</v>
      </c>
      <c r="BB10" s="454"/>
      <c r="BC10" s="454"/>
      <c r="BD10" s="454"/>
      <c r="BE10" s="454"/>
      <c r="BF10" s="454"/>
      <c r="BG10" s="454">
        <f>SUM(BL$18:BL$24)</f>
        <v>70.008963800975351</v>
      </c>
      <c r="BH10" s="454"/>
      <c r="BI10" s="454"/>
      <c r="BJ10" s="454"/>
      <c r="BK10" s="454"/>
      <c r="BL10" s="454"/>
      <c r="BM10" s="454">
        <f>SUM(BR$18:BR$24)</f>
        <v>15.544034520802512</v>
      </c>
      <c r="BN10" s="454"/>
      <c r="BO10" s="454"/>
      <c r="BP10" s="454"/>
      <c r="BQ10" s="454"/>
      <c r="BR10" s="454"/>
      <c r="BS10" s="454">
        <f>SUM(BX$18:BX$24)</f>
        <v>30.510610898804032</v>
      </c>
      <c r="BT10" s="454"/>
      <c r="BU10" s="454"/>
      <c r="BV10" s="454"/>
      <c r="BW10" s="454"/>
      <c r="BX10" s="454"/>
      <c r="BY10" s="454">
        <f>SUM(CD$18:CD$24)</f>
        <v>30.510610898804032</v>
      </c>
      <c r="BZ10" s="454"/>
      <c r="CA10" s="454"/>
      <c r="CB10" s="454"/>
      <c r="CC10" s="454"/>
      <c r="CD10" s="454"/>
      <c r="CE10" s="454">
        <f>SUM(CJ$18:CJ$24)</f>
        <v>30.510610898804032</v>
      </c>
      <c r="CF10" s="454"/>
      <c r="CG10" s="454"/>
      <c r="CH10" s="454"/>
      <c r="CI10" s="454"/>
      <c r="CJ10" s="454"/>
      <c r="CK10" s="454">
        <f>SUM(CP$18:CP$24)</f>
        <v>23.9543183813688</v>
      </c>
      <c r="CL10" s="454"/>
      <c r="CM10" s="454"/>
      <c r="CN10" s="454"/>
      <c r="CO10" s="454"/>
      <c r="CP10" s="454"/>
      <c r="CQ10" s="454">
        <f>SUM(CV$18:CV$24)</f>
        <v>23.9543183813688</v>
      </c>
      <c r="CR10" s="454"/>
      <c r="CS10" s="454"/>
      <c r="CT10" s="454"/>
      <c r="CU10" s="454"/>
      <c r="CV10" s="454"/>
      <c r="CW10" s="454">
        <f>SUM(DB$18:DB$24)</f>
        <v>23.9543183813688</v>
      </c>
      <c r="CX10" s="454"/>
      <c r="CY10" s="454"/>
      <c r="CZ10" s="454"/>
      <c r="DA10" s="454"/>
      <c r="DB10" s="454"/>
      <c r="DC10" s="454">
        <f>SUM(DH$18:DH$24)</f>
        <v>23.9543183813688</v>
      </c>
      <c r="DD10" s="454"/>
      <c r="DE10" s="454"/>
      <c r="DF10" s="454"/>
      <c r="DG10" s="454"/>
      <c r="DH10" s="454"/>
      <c r="DI10" s="454">
        <f>SUM(DN$18:DN$24)</f>
        <v>23.9543183813688</v>
      </c>
      <c r="DJ10" s="454"/>
      <c r="DK10" s="454"/>
      <c r="DL10" s="454"/>
      <c r="DM10" s="454"/>
      <c r="DN10" s="454"/>
    </row>
    <row r="11" spans="1:118" x14ac:dyDescent="0.35">
      <c r="B11" s="396"/>
      <c r="C11" s="178" t="s">
        <v>18</v>
      </c>
      <c r="D11" s="396"/>
      <c r="E11" s="534">
        <f>E9/E10</f>
        <v>26.951776786785594</v>
      </c>
      <c r="F11" s="535"/>
      <c r="G11" s="535"/>
      <c r="H11" s="535"/>
      <c r="I11" s="535"/>
      <c r="J11" s="536"/>
      <c r="K11" s="454">
        <f>K9/K10</f>
        <v>26.951448916201912</v>
      </c>
      <c r="L11" s="454"/>
      <c r="M11" s="454"/>
      <c r="N11" s="454"/>
      <c r="O11" s="454"/>
      <c r="P11" s="454"/>
      <c r="Q11" s="454">
        <f>Q9/Q10</f>
        <v>26.951448916201912</v>
      </c>
      <c r="R11" s="454"/>
      <c r="S11" s="454"/>
      <c r="T11" s="454"/>
      <c r="U11" s="454"/>
      <c r="V11" s="454"/>
      <c r="W11" s="454">
        <f>W9/W10</f>
        <v>27.899924813788626</v>
      </c>
      <c r="X11" s="454"/>
      <c r="Y11" s="454"/>
      <c r="Z11" s="454"/>
      <c r="AA11" s="454"/>
      <c r="AB11" s="454"/>
      <c r="AC11" s="454">
        <f>AC9/AC10</f>
        <v>27.899924813788626</v>
      </c>
      <c r="AD11" s="454"/>
      <c r="AE11" s="454"/>
      <c r="AF11" s="454"/>
      <c r="AG11" s="454"/>
      <c r="AH11" s="454"/>
      <c r="AI11" s="454">
        <f>AI9/AI10</f>
        <v>27.899924813788626</v>
      </c>
      <c r="AJ11" s="454"/>
      <c r="AK11" s="454"/>
      <c r="AL11" s="454"/>
      <c r="AM11" s="454"/>
      <c r="AN11" s="454"/>
      <c r="AO11" s="454">
        <f>AO9/AO10</f>
        <v>27.899924813788626</v>
      </c>
      <c r="AP11" s="454"/>
      <c r="AQ11" s="454"/>
      <c r="AR11" s="454"/>
      <c r="AS11" s="454"/>
      <c r="AT11" s="454"/>
      <c r="AU11" s="454">
        <f>AU9/AU10</f>
        <v>27.90434273988761</v>
      </c>
      <c r="AV11" s="454"/>
      <c r="AW11" s="454"/>
      <c r="AX11" s="454"/>
      <c r="AY11" s="454"/>
      <c r="AZ11" s="454"/>
      <c r="BA11" s="454">
        <f>BA9/BA10</f>
        <v>27.90434273988761</v>
      </c>
      <c r="BB11" s="454"/>
      <c r="BC11" s="454"/>
      <c r="BD11" s="454"/>
      <c r="BE11" s="454"/>
      <c r="BF11" s="454"/>
      <c r="BG11" s="454">
        <f>BG9/BG10</f>
        <v>27.90434273988761</v>
      </c>
      <c r="BH11" s="454"/>
      <c r="BI11" s="454"/>
      <c r="BJ11" s="454"/>
      <c r="BK11" s="454"/>
      <c r="BL11" s="454"/>
      <c r="BM11" s="454">
        <f>BM9/BM10</f>
        <v>43.419732700022415</v>
      </c>
      <c r="BN11" s="454"/>
      <c r="BO11" s="454"/>
      <c r="BP11" s="454"/>
      <c r="BQ11" s="454"/>
      <c r="BR11" s="454"/>
      <c r="BS11" s="454">
        <f>BS9/BS10</f>
        <v>29.128773629995216</v>
      </c>
      <c r="BT11" s="454"/>
      <c r="BU11" s="454"/>
      <c r="BV11" s="454"/>
      <c r="BW11" s="454"/>
      <c r="BX11" s="454"/>
      <c r="BY11" s="454">
        <f>BY9/BY10</f>
        <v>29.128773629995216</v>
      </c>
      <c r="BZ11" s="454"/>
      <c r="CA11" s="454"/>
      <c r="CB11" s="454"/>
      <c r="CC11" s="454"/>
      <c r="CD11" s="454"/>
      <c r="CE11" s="454">
        <f>CE9/CE10</f>
        <v>29.128773629995216</v>
      </c>
      <c r="CF11" s="454"/>
      <c r="CG11" s="454"/>
      <c r="CH11" s="454"/>
      <c r="CI11" s="454"/>
      <c r="CJ11" s="454"/>
      <c r="CK11" s="454">
        <f>CK9/CK10</f>
        <v>16.276798713369523</v>
      </c>
      <c r="CL11" s="454"/>
      <c r="CM11" s="454"/>
      <c r="CN11" s="454"/>
      <c r="CO11" s="454"/>
      <c r="CP11" s="454"/>
      <c r="CQ11" s="454">
        <f>CQ9/CQ10</f>
        <v>16.276798713369523</v>
      </c>
      <c r="CR11" s="454"/>
      <c r="CS11" s="454"/>
      <c r="CT11" s="454"/>
      <c r="CU11" s="454"/>
      <c r="CV11" s="454"/>
      <c r="CW11" s="454">
        <f>CW9/CW10</f>
        <v>16.276798713369523</v>
      </c>
      <c r="CX11" s="454"/>
      <c r="CY11" s="454"/>
      <c r="CZ11" s="454"/>
      <c r="DA11" s="454"/>
      <c r="DB11" s="454"/>
      <c r="DC11" s="454">
        <f>DC9/DC10</f>
        <v>16.276798713369523</v>
      </c>
      <c r="DD11" s="454"/>
      <c r="DE11" s="454"/>
      <c r="DF11" s="454"/>
      <c r="DG11" s="454"/>
      <c r="DH11" s="454"/>
      <c r="DI11" s="454">
        <f>DI9/DI10</f>
        <v>16.276798713369523</v>
      </c>
      <c r="DJ11" s="454"/>
      <c r="DK11" s="454"/>
      <c r="DL11" s="454"/>
      <c r="DM11" s="454"/>
      <c r="DN11" s="454"/>
    </row>
    <row r="12" spans="1:118" x14ac:dyDescent="0.35">
      <c r="B12" s="396"/>
      <c r="C12" s="178" t="s">
        <v>22</v>
      </c>
      <c r="D12" s="396" t="s">
        <v>23</v>
      </c>
      <c r="E12" s="543">
        <f>((E4+14.7)*(E8*60))/(10.73*E10*(460+E5))</f>
        <v>0.99980339092408077</v>
      </c>
      <c r="F12" s="544"/>
      <c r="G12" s="544"/>
      <c r="H12" s="544"/>
      <c r="I12" s="544"/>
      <c r="J12" s="545"/>
      <c r="K12" s="455">
        <f>((K4+14.7)*(K8*60))/(10.73*K10*(460+K5))</f>
        <v>0.99980339092408088</v>
      </c>
      <c r="L12" s="455"/>
      <c r="M12" s="455"/>
      <c r="N12" s="455"/>
      <c r="O12" s="455"/>
      <c r="P12" s="455"/>
      <c r="Q12" s="455">
        <f>((Q4+14.7)*(Q8*60))/(10.73*Q10*(460+Q5))</f>
        <v>0.99980339092408088</v>
      </c>
      <c r="R12" s="455"/>
      <c r="S12" s="455"/>
      <c r="T12" s="455"/>
      <c r="U12" s="455"/>
      <c r="V12" s="455"/>
      <c r="W12" s="454">
        <f>((W4+14.7)*(W8*60))/(10.73*W10*(460+W5))</f>
        <v>0.99980339092408066</v>
      </c>
      <c r="X12" s="454"/>
      <c r="Y12" s="454"/>
      <c r="Z12" s="454"/>
      <c r="AA12" s="454"/>
      <c r="AB12" s="454"/>
      <c r="AC12" s="455">
        <f>((AC4+14.7)*(AC8*60))/(10.73*AC10*(460+AC5))</f>
        <v>0.99980339092408033</v>
      </c>
      <c r="AD12" s="455"/>
      <c r="AE12" s="455"/>
      <c r="AF12" s="455"/>
      <c r="AG12" s="455"/>
      <c r="AH12" s="455"/>
      <c r="AI12" s="455">
        <f>((AI4+14.7)*(AI8*60))/(10.73*AI10*(460+AI5))</f>
        <v>0.99980339092408044</v>
      </c>
      <c r="AJ12" s="455"/>
      <c r="AK12" s="455"/>
      <c r="AL12" s="455"/>
      <c r="AM12" s="455"/>
      <c r="AN12" s="455"/>
      <c r="AO12" s="455">
        <f>((AO4+14.7)*(AO8*60))/(10.73*AO10*(460+AO5))</f>
        <v>0.99980339092408022</v>
      </c>
      <c r="AP12" s="455"/>
      <c r="AQ12" s="455"/>
      <c r="AR12" s="455"/>
      <c r="AS12" s="455"/>
      <c r="AT12" s="455"/>
      <c r="AU12" s="455">
        <f>((AU4+14.7)*(AU8*60))/(10.73*AU10*(460+AU5))</f>
        <v>0.99980339092408044</v>
      </c>
      <c r="AV12" s="455"/>
      <c r="AW12" s="455"/>
      <c r="AX12" s="455"/>
      <c r="AY12" s="455"/>
      <c r="AZ12" s="455"/>
      <c r="BA12" s="455">
        <f>((BA4+14.7)*(BA8*60))/(10.73*BA10*(460+BA5))</f>
        <v>0.99980339092408044</v>
      </c>
      <c r="BB12" s="455"/>
      <c r="BC12" s="455"/>
      <c r="BD12" s="455"/>
      <c r="BE12" s="455"/>
      <c r="BF12" s="455"/>
      <c r="BG12" s="455">
        <f>((BG4+14.7)*(BG8*60))/(10.73*BG10*(460+BG5))</f>
        <v>0.99980339092408044</v>
      </c>
      <c r="BH12" s="455"/>
      <c r="BI12" s="455"/>
      <c r="BJ12" s="455"/>
      <c r="BK12" s="455"/>
      <c r="BL12" s="455"/>
      <c r="BM12" s="455">
        <f>((BM4+14.7)*(BM8*60))/(10.73*BM10*(460+BM5))</f>
        <v>0.99980339092408022</v>
      </c>
      <c r="BN12" s="455"/>
      <c r="BO12" s="455"/>
      <c r="BP12" s="455"/>
      <c r="BQ12" s="455"/>
      <c r="BR12" s="455"/>
      <c r="BS12" s="455">
        <f>((BS4+14.7)*(BS8*60))/(10.73*BS10*(460+BS5))</f>
        <v>0.99980339092408033</v>
      </c>
      <c r="BT12" s="455"/>
      <c r="BU12" s="455"/>
      <c r="BV12" s="455"/>
      <c r="BW12" s="455"/>
      <c r="BX12" s="455"/>
      <c r="BY12" s="455">
        <f>((BY4+14.7)*(BY8*60))/(10.73*BY10*(460+BY5))</f>
        <v>0.99980339092408066</v>
      </c>
      <c r="BZ12" s="455"/>
      <c r="CA12" s="455"/>
      <c r="CB12" s="455"/>
      <c r="CC12" s="455"/>
      <c r="CD12" s="455"/>
      <c r="CE12" s="455">
        <f>((CE4+14.7)*(CE8*60))/(10.73*CE10*(460+CE5))</f>
        <v>0.99980339092408066</v>
      </c>
      <c r="CF12" s="455"/>
      <c r="CG12" s="455"/>
      <c r="CH12" s="455"/>
      <c r="CI12" s="455"/>
      <c r="CJ12" s="455"/>
      <c r="CK12" s="455">
        <f>((CK4+14.7)*(CK8*60))/(10.73*CK10*(460+CK5))</f>
        <v>0.99980339092408044</v>
      </c>
      <c r="CL12" s="455"/>
      <c r="CM12" s="455"/>
      <c r="CN12" s="455"/>
      <c r="CO12" s="455"/>
      <c r="CP12" s="455"/>
      <c r="CQ12" s="455">
        <f>((CQ4+14.7)*(CQ8*60))/(10.73*CQ10*(460+CQ5))</f>
        <v>0.99980339092408055</v>
      </c>
      <c r="CR12" s="455"/>
      <c r="CS12" s="455"/>
      <c r="CT12" s="455"/>
      <c r="CU12" s="455"/>
      <c r="CV12" s="455"/>
      <c r="CW12" s="455">
        <f>((CW4+14.7)*(CW8*60))/(10.73*CW10*(460+CW5))</f>
        <v>0.99980339092408044</v>
      </c>
      <c r="CX12" s="455"/>
      <c r="CY12" s="455"/>
      <c r="CZ12" s="455"/>
      <c r="DA12" s="455"/>
      <c r="DB12" s="455"/>
      <c r="DC12" s="455">
        <f>((DC4+14.7)*(DC8*60))/(10.73*DC10*(460+DC5))</f>
        <v>0.99980339092408022</v>
      </c>
      <c r="DD12" s="455"/>
      <c r="DE12" s="455"/>
      <c r="DF12" s="455"/>
      <c r="DG12" s="455"/>
      <c r="DH12" s="455"/>
      <c r="DI12" s="455">
        <f>((DI4+14.7)*(DI8*60))/(10.73*DI10*(460+DI5))</f>
        <v>0.99980339092408088</v>
      </c>
      <c r="DJ12" s="455"/>
      <c r="DK12" s="455"/>
      <c r="DL12" s="455"/>
      <c r="DM12" s="455"/>
      <c r="DN12" s="455"/>
    </row>
    <row r="13" spans="1:118" ht="15.75" customHeight="1" x14ac:dyDescent="0.35">
      <c r="B13" s="396"/>
      <c r="C13" s="178" t="s">
        <v>20</v>
      </c>
      <c r="D13" s="396" t="s">
        <v>21</v>
      </c>
      <c r="E13" s="476">
        <f>E11*(E4+14.7)/((1545/144)*(E5+460)*E12)</f>
        <v>0.37782375152342473</v>
      </c>
      <c r="F13" s="477"/>
      <c r="G13" s="477"/>
      <c r="H13" s="477"/>
      <c r="I13" s="477"/>
      <c r="J13" s="478"/>
      <c r="K13" s="456">
        <f>K11*(K4+14.7)/((1545/144)*(K5+460)*K12)</f>
        <v>0.36833812251189052</v>
      </c>
      <c r="L13" s="456"/>
      <c r="M13" s="456"/>
      <c r="N13" s="456"/>
      <c r="O13" s="456"/>
      <c r="P13" s="456"/>
      <c r="Q13" s="456">
        <f>Q11*(Q4+14.7)/((1545/144)*(Q5+460)*Q12)</f>
        <v>0.36596786432326828</v>
      </c>
      <c r="R13" s="456"/>
      <c r="S13" s="456"/>
      <c r="T13" s="456"/>
      <c r="U13" s="456"/>
      <c r="V13" s="456"/>
      <c r="W13" s="454">
        <f>W11*(W4+14.7)/((1545/144)*(W5+460)*W12)</f>
        <v>0.36326099452416938</v>
      </c>
      <c r="X13" s="454"/>
      <c r="Y13" s="454"/>
      <c r="Z13" s="454"/>
      <c r="AA13" s="454"/>
      <c r="AB13" s="454"/>
      <c r="AC13" s="456">
        <f>AC11*(AC4+14.7)/((1545/144)*(AC5+460)*AC12)</f>
        <v>0.79207328070924243</v>
      </c>
      <c r="AD13" s="456"/>
      <c r="AE13" s="456"/>
      <c r="AF13" s="456"/>
      <c r="AG13" s="456"/>
      <c r="AH13" s="456"/>
      <c r="AI13" s="456">
        <f>AI11*(AI4+14.7)/((1545/144)*(AI5+460)*AI12)</f>
        <v>0.97339889702108173</v>
      </c>
      <c r="AJ13" s="456"/>
      <c r="AK13" s="456"/>
      <c r="AL13" s="456"/>
      <c r="AM13" s="456"/>
      <c r="AN13" s="456"/>
      <c r="AO13" s="456">
        <f>AO11*(AO4+14.7)/((1545/144)*(AO5+460)*AO12)</f>
        <v>0.98435921262999948</v>
      </c>
      <c r="AP13" s="456"/>
      <c r="AQ13" s="456"/>
      <c r="AR13" s="456"/>
      <c r="AS13" s="456"/>
      <c r="AT13" s="456"/>
      <c r="AU13" s="456">
        <f>AU11*(AU4+14.7)/((1545/144)*(AU5+460)*AU12)</f>
        <v>1.1013923463941364</v>
      </c>
      <c r="AV13" s="456"/>
      <c r="AW13" s="456"/>
      <c r="AX13" s="456"/>
      <c r="AY13" s="456"/>
      <c r="AZ13" s="456"/>
      <c r="BA13" s="456">
        <f>BA11*(BA4+14.7)/((1545/144)*(BA5+460)*BA12)</f>
        <v>1.0746958208769557</v>
      </c>
      <c r="BB13" s="456"/>
      <c r="BC13" s="456"/>
      <c r="BD13" s="456"/>
      <c r="BE13" s="456"/>
      <c r="BF13" s="456"/>
      <c r="BG13" s="456">
        <f>BG11*(BG4+14.7)/((1545/144)*(BG5+460)*BG12)</f>
        <v>1.0695952237204445</v>
      </c>
      <c r="BH13" s="456"/>
      <c r="BI13" s="456"/>
      <c r="BJ13" s="456"/>
      <c r="BK13" s="456"/>
      <c r="BL13" s="456"/>
      <c r="BM13" s="456">
        <f>BM11*(BM4+14.7)/((1545/144)*(BM5+460)*BM12)</f>
        <v>0.12460515931899931</v>
      </c>
      <c r="BN13" s="456"/>
      <c r="BO13" s="456"/>
      <c r="BP13" s="456"/>
      <c r="BQ13" s="456"/>
      <c r="BR13" s="456"/>
      <c r="BS13" s="456">
        <f>BS11*(BS4+14.7)/((1545/144)*(BS5+460)*BS12)</f>
        <v>8.6807031745741434E-2</v>
      </c>
      <c r="BT13" s="456"/>
      <c r="BU13" s="456"/>
      <c r="BV13" s="456"/>
      <c r="BW13" s="456"/>
      <c r="BX13" s="456"/>
      <c r="BY13" s="456">
        <f>BY11*(BY4+14.7)/((1545/144)*(BY5+460)*BY12)</f>
        <v>0.30481867864576478</v>
      </c>
      <c r="BZ13" s="456"/>
      <c r="CA13" s="456"/>
      <c r="CB13" s="456"/>
      <c r="CC13" s="456"/>
      <c r="CD13" s="456"/>
      <c r="CE13" s="456">
        <f>CE11*(CE4+14.7)/((1545/144)*(CE5+460)*CE12)</f>
        <v>0.36377649039179044</v>
      </c>
      <c r="CF13" s="456"/>
      <c r="CG13" s="456"/>
      <c r="CH13" s="456"/>
      <c r="CI13" s="456"/>
      <c r="CJ13" s="456"/>
      <c r="CK13" s="456">
        <f>CK11*(CK4+14.7)/((1545/144)*(CK5+460)*CK12)</f>
        <v>0.48838979195022642</v>
      </c>
      <c r="CL13" s="456"/>
      <c r="CM13" s="456"/>
      <c r="CN13" s="456"/>
      <c r="CO13" s="456"/>
      <c r="CP13" s="456"/>
      <c r="CQ13" s="456">
        <f>CQ11*(CQ4+14.7)/((1545/144)*(CQ5+460)*CQ12)</f>
        <v>0.64669484707454861</v>
      </c>
      <c r="CR13" s="456"/>
      <c r="CS13" s="456"/>
      <c r="CT13" s="456"/>
      <c r="CU13" s="456"/>
      <c r="CV13" s="456"/>
      <c r="CW13" s="456">
        <f>CW11*(CW4+14.7)/((1545/144)*(CW5+460)*CW12)</f>
        <v>0.75123894831999527</v>
      </c>
      <c r="CX13" s="456"/>
      <c r="CY13" s="456"/>
      <c r="CZ13" s="456"/>
      <c r="DA13" s="456"/>
      <c r="DB13" s="456"/>
      <c r="DC13" s="456">
        <f>DC11*(DC4+14.7)/((1545/144)*(DC5+460)*DC12)</f>
        <v>0.76742832637051583</v>
      </c>
      <c r="DD13" s="456"/>
      <c r="DE13" s="456"/>
      <c r="DF13" s="456"/>
      <c r="DG13" s="456"/>
      <c r="DH13" s="456"/>
      <c r="DI13" s="456">
        <f>DI11*(DI4+14.7)/((1545/144)*(DI5+460)*DI12)</f>
        <v>0.76469434587044216</v>
      </c>
      <c r="DJ13" s="456"/>
      <c r="DK13" s="456"/>
      <c r="DL13" s="456"/>
      <c r="DM13" s="456"/>
      <c r="DN13" s="456"/>
    </row>
    <row r="14" spans="1:118" ht="15.75" customHeight="1" x14ac:dyDescent="0.35">
      <c r="B14" s="396"/>
      <c r="C14" s="178" t="s">
        <v>146</v>
      </c>
      <c r="D14" s="396" t="s">
        <v>148</v>
      </c>
      <c r="E14" s="476">
        <f>6.1121*EXP(17.502*E6/(240.97+E6))*0.1*0.145038</f>
        <v>0.36303494335651243</v>
      </c>
      <c r="F14" s="477"/>
      <c r="G14" s="477"/>
      <c r="H14" s="477"/>
      <c r="I14" s="477"/>
      <c r="J14" s="478"/>
      <c r="K14" s="456">
        <f>6.1121*EXP(17.502*K6/(240.97+K6))*0.1*0.145038</f>
        <v>0.36303494335651243</v>
      </c>
      <c r="L14" s="456"/>
      <c r="M14" s="456"/>
      <c r="N14" s="456"/>
      <c r="O14" s="456"/>
      <c r="P14" s="456"/>
      <c r="Q14" s="456">
        <f>6.1121*EXP(17.502*Q6/(240.97+Q6))*0.1*0.145038</f>
        <v>0.36303494335651243</v>
      </c>
      <c r="R14" s="456"/>
      <c r="S14" s="456"/>
      <c r="T14" s="456"/>
      <c r="U14" s="456"/>
      <c r="V14" s="456"/>
      <c r="W14" s="455">
        <f>6.1121*EXP(17.502*W6/(240.97+W6))*0.1*0.145038</f>
        <v>0.76092557937247018</v>
      </c>
      <c r="X14" s="455"/>
      <c r="Y14" s="455"/>
      <c r="Z14" s="455"/>
      <c r="AA14" s="455"/>
      <c r="AB14" s="455"/>
      <c r="AC14" s="456">
        <f>6.1121*EXP(17.502*AC6/(240.97+AC6))*0.1*0.145038</f>
        <v>28.248848429930408</v>
      </c>
      <c r="AD14" s="456"/>
      <c r="AE14" s="456"/>
      <c r="AF14" s="456"/>
      <c r="AG14" s="456"/>
      <c r="AH14" s="456"/>
      <c r="AI14" s="456">
        <f>6.1121*EXP(17.502*AI6/(240.97+AI6))*0.1*0.145038</f>
        <v>1.3145583193618415</v>
      </c>
      <c r="AJ14" s="456"/>
      <c r="AK14" s="456"/>
      <c r="AL14" s="456"/>
      <c r="AM14" s="456"/>
      <c r="AN14" s="456"/>
      <c r="AO14" s="456">
        <f>6.1121*EXP(17.502*AO6/(240.97+AO6))*0.1*0.145038</f>
        <v>1.009025316692022</v>
      </c>
      <c r="AP14" s="456"/>
      <c r="AQ14" s="456"/>
      <c r="AR14" s="456"/>
      <c r="AS14" s="456"/>
      <c r="AT14" s="456"/>
      <c r="AU14" s="456">
        <f>6.1121*EXP(17.502*AU6/(240.97+AU6))*0.1*0.145038</f>
        <v>0.12171004337503714</v>
      </c>
      <c r="AV14" s="456"/>
      <c r="AW14" s="456"/>
      <c r="AX14" s="456"/>
      <c r="AY14" s="456"/>
      <c r="AZ14" s="456"/>
      <c r="BA14" s="456">
        <f>6.1121*EXP(17.502*BA6/(240.97+BA6))*0.1*0.145038</f>
        <v>0.17804837538503848</v>
      </c>
      <c r="BB14" s="456"/>
      <c r="BC14" s="456"/>
      <c r="BD14" s="456"/>
      <c r="BE14" s="456"/>
      <c r="BF14" s="456"/>
      <c r="BG14" s="456">
        <f>6.1121*EXP(17.502*BG6/(240.97+BG6))*0.1*0.145038</f>
        <v>0.17804837538503848</v>
      </c>
      <c r="BH14" s="456"/>
      <c r="BI14" s="456"/>
      <c r="BJ14" s="456"/>
      <c r="BK14" s="456"/>
      <c r="BL14" s="456"/>
      <c r="BM14" s="456">
        <f>6.1121*EXP(17.502*BM6/(240.97+BM6))*0.1*0.145038</f>
        <v>0.17804837538503848</v>
      </c>
      <c r="BN14" s="456"/>
      <c r="BO14" s="456"/>
      <c r="BP14" s="456"/>
      <c r="BQ14" s="456"/>
      <c r="BR14" s="456"/>
      <c r="BS14" s="456">
        <f>6.1121*EXP(17.502*BS6/(240.97+BS6))*0.1*0.145038</f>
        <v>0.2789418004432403</v>
      </c>
      <c r="BT14" s="456"/>
      <c r="BU14" s="456"/>
      <c r="BV14" s="456"/>
      <c r="BW14" s="456"/>
      <c r="BX14" s="456"/>
      <c r="BY14" s="456">
        <f>6.1121*EXP(17.502*BY6/(240.97+BY6))*0.1*0.145038</f>
        <v>30.91069183974048</v>
      </c>
      <c r="BZ14" s="456"/>
      <c r="CA14" s="456"/>
      <c r="CB14" s="456"/>
      <c r="CC14" s="456"/>
      <c r="CD14" s="456"/>
      <c r="CE14" s="456">
        <f>6.1121*EXP(17.502*CE6/(240.97+CE6))*0.1*0.145038</f>
        <v>1.6970491530776135</v>
      </c>
      <c r="CF14" s="456"/>
      <c r="CG14" s="456"/>
      <c r="CH14" s="456"/>
      <c r="CI14" s="456"/>
      <c r="CJ14" s="456"/>
      <c r="CK14" s="456">
        <f>6.1121*EXP(17.502*CK6/(240.97+CK6))*0.1*0.145038</f>
        <v>0.18962661874980477</v>
      </c>
      <c r="CL14" s="456"/>
      <c r="CM14" s="456"/>
      <c r="CN14" s="456"/>
      <c r="CO14" s="456"/>
      <c r="CP14" s="456"/>
      <c r="CQ14" s="456">
        <f>6.1121*EXP(17.502*CQ6/(240.97+CQ6))*0.1*0.145038</f>
        <v>13.856947852927505</v>
      </c>
      <c r="CR14" s="456"/>
      <c r="CS14" s="456"/>
      <c r="CT14" s="456"/>
      <c r="CU14" s="456"/>
      <c r="CV14" s="456"/>
      <c r="CW14" s="456">
        <f>6.1121*EXP(17.502*CW6/(240.97+CW6))*0.1*0.145038</f>
        <v>1.3145583193618415</v>
      </c>
      <c r="CX14" s="456"/>
      <c r="CY14" s="456"/>
      <c r="CZ14" s="456"/>
      <c r="DA14" s="456"/>
      <c r="DB14" s="456"/>
      <c r="DC14" s="456">
        <f>6.1121*EXP(17.502*DC6/(240.97+DC6))*0.1*0.145038</f>
        <v>0.81597106133360509</v>
      </c>
      <c r="DD14" s="456"/>
      <c r="DE14" s="456"/>
      <c r="DF14" s="456"/>
      <c r="DG14" s="456"/>
      <c r="DH14" s="456"/>
      <c r="DI14" s="456">
        <f>6.1121*EXP(17.502*DI6/(240.97+DI6))*0.1*0.145038</f>
        <v>0.81597106133360509</v>
      </c>
      <c r="DJ14" s="456"/>
      <c r="DK14" s="456"/>
      <c r="DL14" s="456"/>
      <c r="DM14" s="456"/>
      <c r="DN14" s="456"/>
    </row>
    <row r="15" spans="1:118" ht="15" customHeight="1" x14ac:dyDescent="0.35">
      <c r="B15" s="396"/>
      <c r="C15" s="178" t="s">
        <v>147</v>
      </c>
      <c r="D15" s="396" t="s">
        <v>149</v>
      </c>
      <c r="E15" s="482">
        <f>(E23)*(E4+14.7)/E14</f>
        <v>27.877992746827747</v>
      </c>
      <c r="F15" s="483"/>
      <c r="G15" s="483"/>
      <c r="H15" s="483"/>
      <c r="I15" s="483"/>
      <c r="J15" s="484"/>
      <c r="K15" s="457">
        <f>(K23)*(K4+14.7)/K14</f>
        <v>27.179669630333201</v>
      </c>
      <c r="L15" s="457"/>
      <c r="M15" s="457"/>
      <c r="N15" s="457"/>
      <c r="O15" s="457"/>
      <c r="P15" s="457"/>
      <c r="Q15" s="457">
        <f>(Q23)*(Q4+14.7)/Q14</f>
        <v>27.004768281360661</v>
      </c>
      <c r="R15" s="457"/>
      <c r="S15" s="457"/>
      <c r="T15" s="457"/>
      <c r="U15" s="457"/>
      <c r="V15" s="457"/>
      <c r="W15" s="455">
        <f>(W23)*(W4+14.7)/W14</f>
        <v>10.364823864800691</v>
      </c>
      <c r="X15" s="455"/>
      <c r="Y15" s="455"/>
      <c r="Z15" s="455"/>
      <c r="AA15" s="455"/>
      <c r="AB15" s="455"/>
      <c r="AC15" s="457">
        <f>(AC23)*(AC4+14.7)/AC14</f>
        <v>0.77645824436943311</v>
      </c>
      <c r="AD15" s="457"/>
      <c r="AE15" s="457"/>
      <c r="AF15" s="457"/>
      <c r="AG15" s="457"/>
      <c r="AH15" s="457"/>
      <c r="AI15" s="457">
        <f>(AI23)*(AI4+14.7)/AI14</f>
        <v>16.607775814861359</v>
      </c>
      <c r="AJ15" s="457"/>
      <c r="AK15" s="457"/>
      <c r="AL15" s="457"/>
      <c r="AM15" s="457"/>
      <c r="AN15" s="457"/>
      <c r="AO15" s="457">
        <f>(AO23)*(AO4+14.7)/AO14</f>
        <v>21.535364980654098</v>
      </c>
      <c r="AP15" s="457"/>
      <c r="AQ15" s="457"/>
      <c r="AR15" s="457"/>
      <c r="AS15" s="457"/>
      <c r="AT15" s="457"/>
      <c r="AU15" s="457">
        <f>(AU23)*(AU4+14.7)/AU14</f>
        <v>99.998488405936072</v>
      </c>
      <c r="AV15" s="457"/>
      <c r="AW15" s="457"/>
      <c r="AX15" s="457"/>
      <c r="AY15" s="457"/>
      <c r="AZ15" s="457"/>
      <c r="BA15" s="457">
        <f>(BA23)*(BA4+14.7)/BA14</f>
        <v>68.033923084648833</v>
      </c>
      <c r="BB15" s="457"/>
      <c r="BC15" s="457"/>
      <c r="BD15" s="457"/>
      <c r="BE15" s="457"/>
      <c r="BF15" s="457"/>
      <c r="BG15" s="457">
        <f>(BG23)*(BG4+14.7)/BG14</f>
        <v>67.711028338162606</v>
      </c>
      <c r="BH15" s="457"/>
      <c r="BI15" s="457"/>
      <c r="BJ15" s="457"/>
      <c r="BK15" s="457"/>
      <c r="BL15" s="457"/>
      <c r="BM15" s="457">
        <f>(BM23)*(BM4+14.7)/BM14</f>
        <v>8.6923536019477936</v>
      </c>
      <c r="BN15" s="457"/>
      <c r="BO15" s="457"/>
      <c r="BP15" s="457"/>
      <c r="BQ15" s="457"/>
      <c r="BR15" s="457"/>
      <c r="BS15" s="457">
        <f>(BS23)*(BS4+14.7)/BS14</f>
        <v>4.1903941871606918</v>
      </c>
      <c r="BT15" s="457"/>
      <c r="BU15" s="457"/>
      <c r="BV15" s="457"/>
      <c r="BW15" s="457"/>
      <c r="BX15" s="457"/>
      <c r="BY15" s="457">
        <f>(BY23)*(BY4+14.7)/BY14</f>
        <v>0.18046858082636288</v>
      </c>
      <c r="BZ15" s="457"/>
      <c r="CA15" s="457"/>
      <c r="CB15" s="457"/>
      <c r="CC15" s="457"/>
      <c r="CD15" s="457"/>
      <c r="CE15" s="457">
        <f>(CE23)*(CE4+14.7)/CE14</f>
        <v>3.2046352442081587</v>
      </c>
      <c r="CF15" s="457"/>
      <c r="CG15" s="457"/>
      <c r="CH15" s="457"/>
      <c r="CI15" s="457"/>
      <c r="CJ15" s="457"/>
      <c r="CK15" s="457">
        <f>(CK23)*(CK4+14.7)/CK14</f>
        <v>12.94706190475819</v>
      </c>
      <c r="CL15" s="457"/>
      <c r="CM15" s="457"/>
      <c r="CN15" s="457"/>
      <c r="CO15" s="457"/>
      <c r="CP15" s="457"/>
      <c r="CQ15" s="457">
        <f>(CQ23)*(CQ4+14.7)/CQ14</f>
        <v>0.30626460695467417</v>
      </c>
      <c r="CR15" s="457"/>
      <c r="CS15" s="457"/>
      <c r="CT15" s="457"/>
      <c r="CU15" s="457"/>
      <c r="CV15" s="457"/>
      <c r="CW15" s="457">
        <f>(CW23)*(CW4+14.7)/CW14</f>
        <v>3.2056999985720882</v>
      </c>
      <c r="CX15" s="457"/>
      <c r="CY15" s="457"/>
      <c r="CZ15" s="457"/>
      <c r="DA15" s="457"/>
      <c r="DB15" s="457"/>
      <c r="DC15" s="457">
        <f>(DC23)*(DC4+14.7)/DC14</f>
        <v>5.1279594528700976</v>
      </c>
      <c r="DD15" s="457"/>
      <c r="DE15" s="457"/>
      <c r="DF15" s="457"/>
      <c r="DG15" s="457"/>
      <c r="DH15" s="457"/>
      <c r="DI15" s="457">
        <f>(DI23)*(DI4+14.7)/DI14</f>
        <v>5.109690983141312</v>
      </c>
      <c r="DJ15" s="457"/>
      <c r="DK15" s="457"/>
      <c r="DL15" s="457"/>
      <c r="DM15" s="457"/>
      <c r="DN15" s="457"/>
    </row>
    <row r="16" spans="1:118" ht="15" customHeight="1" x14ac:dyDescent="0.35">
      <c r="B16" s="396"/>
      <c r="C16" s="178" t="s">
        <v>159</v>
      </c>
      <c r="D16" s="396" t="s">
        <v>3</v>
      </c>
      <c r="E16" s="396"/>
      <c r="F16" s="396"/>
      <c r="G16" s="396"/>
      <c r="H16" s="396"/>
      <c r="I16" s="396"/>
      <c r="J16" s="13"/>
      <c r="K16" s="440" t="str">
        <f>IF((I23-O23)&gt;1,"Condensate Removed","")</f>
        <v/>
      </c>
      <c r="L16" s="440"/>
      <c r="M16" s="440"/>
      <c r="N16" s="396" t="str">
        <f>IF((I23-O23)&gt;1,+(I23-O23),"")</f>
        <v/>
      </c>
      <c r="O16" s="396" t="str">
        <f>IF((I23-O23)&gt;1,"lb/hr","")</f>
        <v/>
      </c>
      <c r="P16" s="13"/>
      <c r="Q16" s="440" t="str">
        <f>IF((O23-U23)&gt;1,"Condensate Removed","")</f>
        <v/>
      </c>
      <c r="R16" s="440"/>
      <c r="S16" s="440"/>
      <c r="T16" s="396" t="str">
        <f>IF((O23-U23)&gt;1,+(O23-U23),"")</f>
        <v/>
      </c>
      <c r="U16" s="396" t="str">
        <f>IF((O23-U23)&gt;1,"lb/hr","")</f>
        <v/>
      </c>
      <c r="V16" s="13"/>
      <c r="W16" s="440" t="str">
        <f>IF((O23-AA23)&gt;1,"Condensate Removed","")</f>
        <v/>
      </c>
      <c r="X16" s="440"/>
      <c r="Y16" s="440"/>
      <c r="Z16" s="396" t="str">
        <f>IF((O23-AA23)&gt;1,+(O23-AA23),"")</f>
        <v/>
      </c>
      <c r="AA16" s="396" t="str">
        <f>IF((O23-AA23)&gt;1,"lb/hr","")</f>
        <v/>
      </c>
      <c r="AB16" s="13"/>
      <c r="AC16" s="440" t="str">
        <f>IF((U23-AG23)&gt;1,"Condensate Removed","")</f>
        <v/>
      </c>
      <c r="AD16" s="440"/>
      <c r="AE16" s="440"/>
      <c r="AF16" s="396" t="str">
        <f>IF((U23-AG23)&gt;1,+(U23-AG23),"")</f>
        <v/>
      </c>
      <c r="AG16" s="396" t="str">
        <f>IF((U23-AG23)&gt;1,"lb/hr","")</f>
        <v/>
      </c>
      <c r="AH16" s="13"/>
      <c r="AI16" s="457" t="str">
        <f>IF((AG23-AM23)&gt;1,+(AG23-AM23),"")</f>
        <v/>
      </c>
      <c r="AJ16" s="457"/>
      <c r="AK16" s="396"/>
      <c r="AL16" s="396"/>
      <c r="AM16" s="396"/>
      <c r="AN16" s="13"/>
      <c r="AO16" s="457" t="str">
        <f>IF((AM23-AS23)&gt;1,+(AM23-AS23),"")</f>
        <v/>
      </c>
      <c r="AP16" s="457"/>
      <c r="AQ16" s="396"/>
      <c r="AR16" s="396"/>
      <c r="AS16" s="396"/>
      <c r="AT16" s="13"/>
      <c r="AU16" s="454">
        <f>IF((AS23-AY23)&gt;0.1,+(AS23-AY23),"")</f>
        <v>0.56412226851112102</v>
      </c>
      <c r="AV16" s="454"/>
      <c r="AW16" s="396"/>
      <c r="AX16" s="396"/>
      <c r="AY16" s="396"/>
      <c r="AZ16" s="13"/>
      <c r="BA16" s="454" t="str">
        <f>IF((AY23-BE23)&gt;0.1,+(AY23-BE23),"")</f>
        <v/>
      </c>
      <c r="BB16" s="454"/>
      <c r="BC16" s="396"/>
      <c r="BD16" s="396"/>
      <c r="BE16" s="396"/>
      <c r="BF16" s="13"/>
      <c r="BG16" s="457" t="str">
        <f>IF((BE23-BK23)&gt;1,+(BE23-BK23),"")</f>
        <v/>
      </c>
      <c r="BH16" s="457"/>
      <c r="BI16" s="396"/>
      <c r="BJ16" s="396"/>
      <c r="BK16" s="396"/>
      <c r="BL16" s="13"/>
      <c r="BM16" s="457" t="str">
        <f>IF((BQ23-BK23)&gt;1,+(BK23-BQ23),"")</f>
        <v/>
      </c>
      <c r="BN16" s="457"/>
      <c r="BO16" s="396"/>
      <c r="BP16" s="396"/>
      <c r="BQ16" s="396"/>
      <c r="BR16" s="13"/>
      <c r="BS16" s="457" t="str">
        <f>IF((CO23-BW23)&gt;1,+(CO23-BW23),"")</f>
        <v/>
      </c>
      <c r="BT16" s="457"/>
      <c r="BU16" s="396"/>
      <c r="BV16" s="396"/>
      <c r="BW16" s="396"/>
      <c r="BX16" s="13"/>
      <c r="BY16" s="457" t="str">
        <f>IF((CU23-CC23)&gt;1,+(CU23-CC23),"")</f>
        <v/>
      </c>
      <c r="BZ16" s="457"/>
      <c r="CA16" s="396"/>
      <c r="CB16" s="396"/>
      <c r="CC16" s="396"/>
      <c r="CD16" s="13"/>
      <c r="CE16" s="457" t="str">
        <f>IF((DA23-CI23)&gt;1,+(DA23-CI23),"")</f>
        <v/>
      </c>
      <c r="CF16" s="457"/>
      <c r="CG16" s="396"/>
      <c r="CH16" s="396"/>
      <c r="CI16" s="396"/>
      <c r="CJ16" s="13"/>
      <c r="CK16" s="457" t="str">
        <f>IF((DG23-CO23)&gt;1,+(DG23-CO23),"")</f>
        <v/>
      </c>
      <c r="CL16" s="457"/>
      <c r="CM16" s="396"/>
      <c r="CN16" s="396"/>
      <c r="CO16" s="396"/>
      <c r="CP16" s="13"/>
      <c r="CQ16" s="457" t="str">
        <f>IF((DM23-CU23)&gt;1,+(DM23-CU23),"")</f>
        <v/>
      </c>
      <c r="CR16" s="457"/>
      <c r="CS16" s="396"/>
      <c r="CT16" s="396"/>
      <c r="CU16" s="396"/>
      <c r="CV16" s="13"/>
      <c r="CW16" s="457" t="str">
        <f>IF((DS23-DA23)&gt;1,+(DS23-DA23),"")</f>
        <v/>
      </c>
      <c r="CX16" s="457"/>
      <c r="CY16" s="396"/>
      <c r="CZ16" s="396"/>
      <c r="DA16" s="396"/>
      <c r="DB16" s="13"/>
      <c r="DC16" s="457" t="str">
        <f>IF((DY23-DG23)&gt;1,+(DY23-DG23),"")</f>
        <v/>
      </c>
      <c r="DD16" s="457"/>
      <c r="DE16" s="396"/>
      <c r="DF16" s="396"/>
      <c r="DG16" s="396"/>
      <c r="DH16" s="13"/>
      <c r="DI16" s="457" t="str">
        <f>IF((EE23-DM23)&gt;1,+(EE23-DM23),"")</f>
        <v/>
      </c>
      <c r="DJ16" s="457"/>
      <c r="DK16" s="396"/>
      <c r="DL16" s="396"/>
      <c r="DM16" s="396"/>
      <c r="DN16" s="13"/>
    </row>
    <row r="17" spans="2:118" ht="43.5" x14ac:dyDescent="0.35">
      <c r="B17" s="396" t="s">
        <v>25</v>
      </c>
      <c r="C17" s="178" t="s">
        <v>24</v>
      </c>
      <c r="D17" s="396" t="s">
        <v>13</v>
      </c>
      <c r="E17" s="17" t="s">
        <v>139</v>
      </c>
      <c r="F17" s="181" t="s">
        <v>17</v>
      </c>
      <c r="G17" s="17" t="s">
        <v>15</v>
      </c>
      <c r="H17" s="17" t="s">
        <v>16</v>
      </c>
      <c r="I17" s="17" t="s">
        <v>17</v>
      </c>
      <c r="J17" s="182" t="s">
        <v>19</v>
      </c>
      <c r="K17" s="17" t="s">
        <v>139</v>
      </c>
      <c r="L17" s="181" t="s">
        <v>17</v>
      </c>
      <c r="M17" s="17" t="s">
        <v>15</v>
      </c>
      <c r="N17" s="17" t="s">
        <v>16</v>
      </c>
      <c r="O17" s="17" t="s">
        <v>17</v>
      </c>
      <c r="P17" s="182" t="s">
        <v>19</v>
      </c>
      <c r="Q17" s="17" t="s">
        <v>139</v>
      </c>
      <c r="R17" s="181" t="s">
        <v>15</v>
      </c>
      <c r="S17" s="17" t="s">
        <v>15</v>
      </c>
      <c r="T17" s="17" t="s">
        <v>16</v>
      </c>
      <c r="U17" s="17" t="s">
        <v>17</v>
      </c>
      <c r="V17" s="182" t="s">
        <v>19</v>
      </c>
      <c r="W17" s="17" t="s">
        <v>139</v>
      </c>
      <c r="X17" s="181" t="s">
        <v>15</v>
      </c>
      <c r="Y17" s="17" t="s">
        <v>15</v>
      </c>
      <c r="Z17" s="17" t="s">
        <v>16</v>
      </c>
      <c r="AA17" s="17" t="s">
        <v>17</v>
      </c>
      <c r="AB17" s="182" t="s">
        <v>19</v>
      </c>
      <c r="AC17" s="17" t="s">
        <v>139</v>
      </c>
      <c r="AD17" s="181" t="s">
        <v>15</v>
      </c>
      <c r="AE17" s="17" t="s">
        <v>15</v>
      </c>
      <c r="AF17" s="17" t="s">
        <v>16</v>
      </c>
      <c r="AG17" s="17" t="s">
        <v>17</v>
      </c>
      <c r="AH17" s="182" t="s">
        <v>19</v>
      </c>
      <c r="AI17" s="17" t="s">
        <v>139</v>
      </c>
      <c r="AJ17" s="181" t="s">
        <v>15</v>
      </c>
      <c r="AK17" s="17" t="s">
        <v>15</v>
      </c>
      <c r="AL17" s="17" t="s">
        <v>16</v>
      </c>
      <c r="AM17" s="17" t="s">
        <v>17</v>
      </c>
      <c r="AN17" s="182" t="s">
        <v>19</v>
      </c>
      <c r="AO17" s="17" t="s">
        <v>139</v>
      </c>
      <c r="AP17" s="181" t="s">
        <v>15</v>
      </c>
      <c r="AQ17" s="17" t="s">
        <v>15</v>
      </c>
      <c r="AR17" s="17" t="s">
        <v>16</v>
      </c>
      <c r="AS17" s="17" t="s">
        <v>17</v>
      </c>
      <c r="AT17" s="182" t="s">
        <v>19</v>
      </c>
      <c r="AU17" s="17" t="s">
        <v>139</v>
      </c>
      <c r="AV17" s="181" t="s">
        <v>15</v>
      </c>
      <c r="AW17" s="17" t="s">
        <v>15</v>
      </c>
      <c r="AX17" s="17" t="s">
        <v>16</v>
      </c>
      <c r="AY17" s="17" t="s">
        <v>17</v>
      </c>
      <c r="AZ17" s="182" t="s">
        <v>19</v>
      </c>
      <c r="BA17" s="17" t="s">
        <v>139</v>
      </c>
      <c r="BB17" s="181" t="s">
        <v>15</v>
      </c>
      <c r="BC17" s="17" t="s">
        <v>15</v>
      </c>
      <c r="BD17" s="17" t="s">
        <v>16</v>
      </c>
      <c r="BE17" s="17" t="s">
        <v>17</v>
      </c>
      <c r="BF17" s="182" t="s">
        <v>19</v>
      </c>
      <c r="BG17" s="17" t="s">
        <v>139</v>
      </c>
      <c r="BH17" s="181" t="s">
        <v>15</v>
      </c>
      <c r="BI17" s="17" t="s">
        <v>15</v>
      </c>
      <c r="BJ17" s="17" t="s">
        <v>16</v>
      </c>
      <c r="BK17" s="17" t="s">
        <v>17</v>
      </c>
      <c r="BL17" s="182" t="s">
        <v>19</v>
      </c>
      <c r="BM17" s="17" t="s">
        <v>139</v>
      </c>
      <c r="BN17" s="181" t="s">
        <v>17</v>
      </c>
      <c r="BO17" s="17" t="s">
        <v>15</v>
      </c>
      <c r="BP17" s="17" t="s">
        <v>16</v>
      </c>
      <c r="BQ17" s="17" t="s">
        <v>17</v>
      </c>
      <c r="BR17" s="182" t="s">
        <v>19</v>
      </c>
      <c r="BS17" s="17" t="s">
        <v>139</v>
      </c>
      <c r="BT17" s="181" t="s">
        <v>17</v>
      </c>
      <c r="BU17" s="17" t="s">
        <v>15</v>
      </c>
      <c r="BV17" s="17" t="s">
        <v>16</v>
      </c>
      <c r="BW17" s="17" t="s">
        <v>17</v>
      </c>
      <c r="BX17" s="182" t="s">
        <v>19</v>
      </c>
      <c r="BY17" s="17" t="s">
        <v>139</v>
      </c>
      <c r="BZ17" s="181" t="s">
        <v>17</v>
      </c>
      <c r="CA17" s="17" t="s">
        <v>15</v>
      </c>
      <c r="CB17" s="17" t="s">
        <v>16</v>
      </c>
      <c r="CC17" s="17" t="s">
        <v>17</v>
      </c>
      <c r="CD17" s="182" t="s">
        <v>19</v>
      </c>
      <c r="CE17" s="17" t="s">
        <v>139</v>
      </c>
      <c r="CF17" s="181" t="s">
        <v>17</v>
      </c>
      <c r="CG17" s="17" t="s">
        <v>15</v>
      </c>
      <c r="CH17" s="17" t="s">
        <v>16</v>
      </c>
      <c r="CI17" s="17" t="s">
        <v>17</v>
      </c>
      <c r="CJ17" s="182" t="s">
        <v>19</v>
      </c>
      <c r="CK17" s="17" t="s">
        <v>139</v>
      </c>
      <c r="CL17" s="181" t="s">
        <v>17</v>
      </c>
      <c r="CM17" s="17" t="s">
        <v>15</v>
      </c>
      <c r="CN17" s="17" t="s">
        <v>16</v>
      </c>
      <c r="CO17" s="17" t="s">
        <v>17</v>
      </c>
      <c r="CP17" s="182" t="s">
        <v>19</v>
      </c>
      <c r="CQ17" s="17" t="s">
        <v>139</v>
      </c>
      <c r="CR17" s="181" t="s">
        <v>15</v>
      </c>
      <c r="CS17" s="17" t="s">
        <v>15</v>
      </c>
      <c r="CT17" s="17" t="s">
        <v>16</v>
      </c>
      <c r="CU17" s="17" t="s">
        <v>17</v>
      </c>
      <c r="CV17" s="182" t="s">
        <v>19</v>
      </c>
      <c r="CW17" s="17" t="s">
        <v>139</v>
      </c>
      <c r="CX17" s="181" t="s">
        <v>15</v>
      </c>
      <c r="CY17" s="17" t="s">
        <v>15</v>
      </c>
      <c r="CZ17" s="17" t="s">
        <v>16</v>
      </c>
      <c r="DA17" s="17" t="s">
        <v>17</v>
      </c>
      <c r="DB17" s="182" t="s">
        <v>19</v>
      </c>
      <c r="DC17" s="17" t="s">
        <v>139</v>
      </c>
      <c r="DD17" s="181" t="s">
        <v>15</v>
      </c>
      <c r="DE17" s="17" t="s">
        <v>15</v>
      </c>
      <c r="DF17" s="17" t="s">
        <v>16</v>
      </c>
      <c r="DG17" s="17" t="s">
        <v>17</v>
      </c>
      <c r="DH17" s="182" t="s">
        <v>19</v>
      </c>
      <c r="DI17" s="17" t="s">
        <v>139</v>
      </c>
      <c r="DJ17" s="181" t="s">
        <v>15</v>
      </c>
      <c r="DK17" s="17" t="s">
        <v>15</v>
      </c>
      <c r="DL17" s="17" t="s">
        <v>16</v>
      </c>
      <c r="DM17" s="17" t="s">
        <v>17</v>
      </c>
      <c r="DN17" s="182" t="s">
        <v>19</v>
      </c>
    </row>
    <row r="18" spans="2:118" x14ac:dyDescent="0.35">
      <c r="B18" s="401">
        <v>1</v>
      </c>
      <c r="C18" s="178" t="str">
        <f>VLOOKUP(B18,'Input Sheet'!C$9:E$126,2,FALSE)</f>
        <v>Methane (CH4)</v>
      </c>
      <c r="D18" s="396">
        <f>VLOOKUP(B18,'Input Sheet'!C$9:E$126,3,FALSE)</f>
        <v>16.04</v>
      </c>
      <c r="E18" s="403">
        <f>G18*100/E$7</f>
        <v>60.132784065912098</v>
      </c>
      <c r="F18" s="403">
        <f>HLOOKUP(F$17,G$17:J$24,+($B18+1),FALSE)</f>
        <v>381.29289309336212</v>
      </c>
      <c r="G18" s="402">
        <f>I18*379.49/(60*$D18)</f>
        <v>150.35</v>
      </c>
      <c r="H18" s="402">
        <f>(14.7*G18)*(460+E$5)/((460+60)*(E$4+14.7))</f>
        <v>28.264087684586432</v>
      </c>
      <c r="I18" s="402">
        <f>'Input Sheet'!H10*'Input Sheet'!$H$4</f>
        <v>381.29289309336212</v>
      </c>
      <c r="J18" s="402">
        <f t="shared" ref="J18:J24" si="0">I18/$D18</f>
        <v>23.771377374897888</v>
      </c>
      <c r="K18" s="403">
        <f>M18*100/K$7</f>
        <v>60.135549940439354</v>
      </c>
      <c r="L18" s="403">
        <f t="shared" ref="L18:L24" si="1">HLOOKUP(L$17,M$17:P$24,+($B18+1),FALSE)</f>
        <v>381.29289309336212</v>
      </c>
      <c r="M18" s="402">
        <f>O18*379.49/(60*$D18)</f>
        <v>150.35</v>
      </c>
      <c r="N18" s="403">
        <f>(14.7*M18)*(460+K$5)/((460+60)*(K$4+14.7))</f>
        <v>28.99160602910603</v>
      </c>
      <c r="O18" s="402">
        <f>'Input Sheet'!V10*'Input Sheet'!$H$4</f>
        <v>381.29289309336212</v>
      </c>
      <c r="P18" s="402">
        <f>O18/$D18</f>
        <v>23.771377374897888</v>
      </c>
      <c r="Q18" s="403">
        <f>S18*100/Q$7</f>
        <v>60.135549940439354</v>
      </c>
      <c r="R18" s="403">
        <f t="shared" ref="R18:R24" si="2">HLOOKUP(R$17,S$17:V$24,+($B18+1),FALSE)</f>
        <v>150.35</v>
      </c>
      <c r="S18" s="402">
        <f>U18*379.49/(60*$D18)</f>
        <v>150.35</v>
      </c>
      <c r="T18" s="402">
        <f>(14.7*S18)*(460+Q$5)/((460+60)*(Q$4+14.7))</f>
        <v>29.179375498206458</v>
      </c>
      <c r="U18" s="402">
        <f t="shared" ref="U18:U24" si="3">O18</f>
        <v>381.29289309336212</v>
      </c>
      <c r="V18" s="402">
        <f>U18/$D18</f>
        <v>23.771377374897888</v>
      </c>
      <c r="W18" s="403">
        <f t="shared" ref="W18:W24" si="4">Y18*100/W$7</f>
        <v>56.510776844481704</v>
      </c>
      <c r="X18" s="403">
        <f t="shared" ref="X18:X24" si="5">HLOOKUP(X$17,Y$17:AB$24,+($B18+1),FALSE)</f>
        <v>250.3388020283073</v>
      </c>
      <c r="Y18" s="402">
        <f t="shared" ref="Y18:Y24" si="6">AA18*379.49/(60*$D18)</f>
        <v>250.3388020283073</v>
      </c>
      <c r="Z18" s="402">
        <f t="shared" ref="Z18:Z24" si="7">(14.7*Y18)*(460+W$5)/((460+60)*(W$4+14.7))</f>
        <v>50.669407861084821</v>
      </c>
      <c r="AA18" s="402">
        <f>U18+'Input Sheet'!R10*'Input Sheet'!$H$4</f>
        <v>634.8680151572978</v>
      </c>
      <c r="AB18" s="402">
        <f t="shared" ref="AB18:AB24" si="8">AA18/$D18</f>
        <v>39.580300196839019</v>
      </c>
      <c r="AC18" s="403">
        <f t="shared" ref="AC18:AC24" si="9">AE18*100/AC$7</f>
        <v>56.510776844481704</v>
      </c>
      <c r="AD18" s="403">
        <f t="shared" ref="AD18:AD24" si="10">HLOOKUP(AD$17,AE$17:AH$24,+($B18+1),FALSE)</f>
        <v>250.3388020283073</v>
      </c>
      <c r="AE18" s="402">
        <f t="shared" ref="AE18:AE24" si="11">AG18*379.49/(60*$D18)</f>
        <v>250.3388020283073</v>
      </c>
      <c r="AF18" s="402">
        <f t="shared" ref="AF18:AF24" si="12">(14.7*AE18)*(460+AC$5)/((460+60)*(AC$4+14.7))</f>
        <v>23.238026000683984</v>
      </c>
      <c r="AG18" s="402">
        <f>AA18</f>
        <v>634.8680151572978</v>
      </c>
      <c r="AH18" s="402">
        <f t="shared" ref="AH18:AH24" si="13">AG18/$D18</f>
        <v>39.580300196839019</v>
      </c>
      <c r="AI18" s="403">
        <f>AK18*100/AI$7</f>
        <v>56.510776844481704</v>
      </c>
      <c r="AJ18" s="403">
        <f t="shared" ref="AJ18:AJ24" si="14">HLOOKUP(AJ$17,AK$17:AN$24,+($B18+1),FALSE)</f>
        <v>250.3388020283073</v>
      </c>
      <c r="AK18" s="402">
        <f t="shared" ref="AK18:AK24" si="15">AM18*379.49/(60*$D18)</f>
        <v>250.3388020283073</v>
      </c>
      <c r="AL18" s="402">
        <f>(14.7*AK18)*(460+AI$5)/((460+60)*(AI$4+14.7))</f>
        <v>18.909225753077671</v>
      </c>
      <c r="AM18" s="402">
        <f>AG18</f>
        <v>634.8680151572978</v>
      </c>
      <c r="AN18" s="402">
        <f>AM18/$D18</f>
        <v>39.580300196839019</v>
      </c>
      <c r="AO18" s="403">
        <f>AQ18*100/AO$7</f>
        <v>56.510776844481704</v>
      </c>
      <c r="AP18" s="403">
        <f t="shared" ref="AP18:AP24" si="16">HLOOKUP(AP$17,AQ$17:AT$24,+($B18+1),FALSE)</f>
        <v>250.3388020283073</v>
      </c>
      <c r="AQ18" s="402">
        <f t="shared" ref="AQ18:AQ24" si="17">AS18*379.49/(60*$D18)</f>
        <v>250.3388020283073</v>
      </c>
      <c r="AR18" s="402">
        <f>(14.7*AQ18)*(460+AO$5)/((460+60)*(AO$4+14.7))</f>
        <v>18.698681594487162</v>
      </c>
      <c r="AS18" s="402">
        <f>AM18</f>
        <v>634.8680151572978</v>
      </c>
      <c r="AT18" s="402">
        <f>AS18/$D18</f>
        <v>39.580300196839019</v>
      </c>
      <c r="AU18" s="403">
        <f>AW18*100/AU$7</f>
        <v>56.536046311669011</v>
      </c>
      <c r="AV18" s="403">
        <f t="shared" ref="AV18:AV24" si="18">HLOOKUP(AV$17,AW$17:AZ$24,+($B18+1),FALSE)</f>
        <v>250.3388020283073</v>
      </c>
      <c r="AW18" s="402">
        <f t="shared" ref="AW18:AW24" si="19">AY18*379.49/(60*$D18)</f>
        <v>250.3388020283073</v>
      </c>
      <c r="AX18" s="402">
        <f>(14.7*AW18)*(460+AU$5)/((460+60)*(AU$4+14.7))</f>
        <v>16.714419851277739</v>
      </c>
      <c r="AY18" s="402">
        <f>AS18</f>
        <v>634.8680151572978</v>
      </c>
      <c r="AZ18" s="402">
        <f>AY18/$D18</f>
        <v>39.580300196839019</v>
      </c>
      <c r="BA18" s="403">
        <f>BC18*100/BA$7</f>
        <v>56.536046311669011</v>
      </c>
      <c r="BB18" s="403">
        <f t="shared" ref="BB18:BB24" si="20">HLOOKUP(BB$17,BC$17:BF$24,+($B18+1),FALSE)</f>
        <v>250.3388020283073</v>
      </c>
      <c r="BC18" s="402">
        <f t="shared" ref="BC18:BC24" si="21">BE18*379.49/(60*$D18)</f>
        <v>250.3388020283073</v>
      </c>
      <c r="BD18" s="402">
        <f>(14.7*BC18)*(460+BA$5)/((460+60)*(BA$4+14.7))</f>
        <v>17.129622857929792</v>
      </c>
      <c r="BE18" s="402">
        <f>AY18</f>
        <v>634.8680151572978</v>
      </c>
      <c r="BF18" s="402">
        <f>BE18/$D18</f>
        <v>39.580300196839019</v>
      </c>
      <c r="BG18" s="403">
        <f>BI18*100/BG$7</f>
        <v>56.536046311669011</v>
      </c>
      <c r="BH18" s="403">
        <f t="shared" ref="BH18:BH24" si="22">HLOOKUP(BH$17,BI$17:BL$24,+($B18+1),FALSE)</f>
        <v>250.3388020283073</v>
      </c>
      <c r="BI18" s="402">
        <f t="shared" ref="BI18:BI24" si="23">BK18*379.49/(60*$D18)</f>
        <v>250.3388020283073</v>
      </c>
      <c r="BJ18" s="402">
        <f>(14.7*BI18)*(460+BG$5)/((460+60)*(BG$4+14.7))</f>
        <v>17.211309185340046</v>
      </c>
      <c r="BK18" s="402">
        <f>BE18</f>
        <v>634.8680151572978</v>
      </c>
      <c r="BL18" s="402">
        <f>BK18/$D18</f>
        <v>39.580300196839019</v>
      </c>
      <c r="BM18" s="403">
        <f t="shared" ref="BM18:BM24" si="24">BO18*100/BM$7</f>
        <v>1.5292926262538402</v>
      </c>
      <c r="BN18" s="403">
        <f t="shared" ref="BN18:BN24" si="25">HLOOKUP(BN$17,BO$17:BR$24,+($B18+1),FALSE)</f>
        <v>3.8129289309337082</v>
      </c>
      <c r="BO18" s="402">
        <f t="shared" ref="BO18:BO24" si="26">BQ18*379.49/(60*$D18)</f>
        <v>1.5035000000000343</v>
      </c>
      <c r="BP18" s="402">
        <f t="shared" ref="BP18:BP24" si="27">(14.7*BO18)*(460+BM$5)/((460+60)*(BM$4+14.7))</f>
        <v>1.380663829005421</v>
      </c>
      <c r="BQ18" s="184">
        <f t="shared" ref="BQ18:BQ24" si="28">BK18-CO18-BW18</f>
        <v>3.8129289309337082</v>
      </c>
      <c r="BR18" s="402">
        <f t="shared" ref="BR18:BR24" si="29">BQ18/$D18</f>
        <v>0.23771377374898431</v>
      </c>
      <c r="BS18" s="403">
        <f t="shared" ref="BS18:BS24" si="30">BU18*100/BS$7</f>
        <v>51.814507662187815</v>
      </c>
      <c r="BT18" s="403">
        <f t="shared" ref="BT18:BT24" si="31">HLOOKUP(BT$17,BU$17:BX$24,+($B18+1),FALSE)</f>
        <v>253.57512206393562</v>
      </c>
      <c r="BU18" s="402">
        <f t="shared" ref="BU18:BU24" si="32">BW18*379.49/(60*$D18)</f>
        <v>99.98880202830729</v>
      </c>
      <c r="BV18" s="402">
        <f t="shared" ref="BV18:BV24" si="33">(14.7*BU18)*(460+BS$5)/((460+60)*(BS$4+14.7))</f>
        <v>88.420314099486362</v>
      </c>
      <c r="BW18" s="184">
        <f>'Input Sheet'!R10*'Input Sheet'!$H$4</f>
        <v>253.57512206393562</v>
      </c>
      <c r="BX18" s="402">
        <f t="shared" ref="BX18:BX24" si="34">BW18/$D18</f>
        <v>15.808922821941124</v>
      </c>
      <c r="BY18" s="403">
        <f t="shared" ref="BY18:BY24" si="35">CA18*100/BY$7</f>
        <v>51.814507662187815</v>
      </c>
      <c r="BZ18" s="403">
        <f t="shared" ref="BZ18:BZ24" si="36">HLOOKUP(BZ$17,CA$17:CD$24,+($B18+1),FALSE)</f>
        <v>253.57512206393562</v>
      </c>
      <c r="CA18" s="402">
        <f t="shared" ref="CA18:CA24" si="37">CC18*379.49/(60*$D18)</f>
        <v>99.98880202830729</v>
      </c>
      <c r="CB18" s="402">
        <f t="shared" ref="CB18:CB24" si="38">(14.7*CA18)*(460+BY$5)/((460+60)*(BY$4+14.7))</f>
        <v>25.180559954865437</v>
      </c>
      <c r="CC18" s="402">
        <f>BW18</f>
        <v>253.57512206393562</v>
      </c>
      <c r="CD18" s="402">
        <f t="shared" ref="CD18:CD24" si="39">CC18/$D18</f>
        <v>15.808922821941124</v>
      </c>
      <c r="CE18" s="403">
        <f t="shared" ref="CE18:CE24" si="40">CG18*100/CE$7</f>
        <v>51.814507662187815</v>
      </c>
      <c r="CF18" s="403">
        <f t="shared" ref="CF18:CF24" si="41">HLOOKUP(CF$17,CG$17:CJ$24,+($B18+1),FALSE)</f>
        <v>253.57512206393562</v>
      </c>
      <c r="CG18" s="402">
        <f t="shared" ref="CG18:CG24" si="42">CI18*379.49/(60*$D18)</f>
        <v>99.98880202830729</v>
      </c>
      <c r="CH18" s="402">
        <f t="shared" ref="CH18:CH24" si="43">(14.7*CG18)*(460+CE$5)/((460+60)*(CE$4+14.7))</f>
        <v>21.099508120318482</v>
      </c>
      <c r="CI18" s="402">
        <f>CC18</f>
        <v>253.57512206393562</v>
      </c>
      <c r="CJ18" s="402">
        <f t="shared" ref="CJ18:CJ24" si="44">CI18/$D18</f>
        <v>15.808922821941124</v>
      </c>
      <c r="CK18" s="403">
        <f t="shared" ref="CK18:CK24" si="45">CM18*100/CK$7</f>
        <v>98.243929242640988</v>
      </c>
      <c r="CL18" s="403">
        <f t="shared" ref="CL18:CL24" si="46">HLOOKUP(CL$17,CM$17:CP$24,+($B18+1),FALSE)</f>
        <v>377.47996416242847</v>
      </c>
      <c r="CM18" s="402">
        <f t="shared" ref="CM18:CM24" si="47">CO18*379.49/(60*$D18)</f>
        <v>148.84649999999999</v>
      </c>
      <c r="CN18" s="402">
        <f t="shared" ref="CN18:CN24" si="48">(14.7*CM18)*(460+CK$5)/((460+60)*(CK$4+14.7))</f>
        <v>13.072975159205548</v>
      </c>
      <c r="CO18" s="184">
        <f>'Input Sheet'!M10*'Input Sheet'!$H$4</f>
        <v>377.47996416242847</v>
      </c>
      <c r="CP18" s="402">
        <f t="shared" ref="CP18:CP24" si="49">CO18/$D18</f>
        <v>23.533663601148909</v>
      </c>
      <c r="CQ18" s="403">
        <f>CS18*100/CQ$7</f>
        <v>98.243929242640988</v>
      </c>
      <c r="CR18" s="403">
        <f t="shared" ref="CR18:CR24" si="50">HLOOKUP(CR$17,CS$17:CV$24,+($B18+1),FALSE)</f>
        <v>148.84649999999999</v>
      </c>
      <c r="CS18" s="402">
        <f t="shared" ref="CS18:CS24" si="51">CU18*379.49/(60*$D18)</f>
        <v>148.84649999999999</v>
      </c>
      <c r="CT18" s="402">
        <f>(14.7*CS18)*(460+CQ$5)/((460+60)*(CQ$4+14.7))</f>
        <v>9.8728289657128947</v>
      </c>
      <c r="CU18" s="402">
        <f t="shared" ref="CU18:CU24" si="52">CO18</f>
        <v>377.47996416242847</v>
      </c>
      <c r="CV18" s="402">
        <f>CU18/$D18</f>
        <v>23.533663601148909</v>
      </c>
      <c r="CW18" s="403">
        <f>CY18*100/CW$7</f>
        <v>98.243929242640988</v>
      </c>
      <c r="CX18" s="403">
        <f t="shared" ref="CX18:CX24" si="53">HLOOKUP(CX$17,CY$17:DB$24,+($B18+1),FALSE)</f>
        <v>148.84649999999999</v>
      </c>
      <c r="CY18" s="402">
        <f t="shared" ref="CY18:CY24" si="54">DA18*379.49/(60*$D18)</f>
        <v>148.84649999999999</v>
      </c>
      <c r="CZ18" s="402">
        <f>(14.7*CY18)*(460+CW$5)/((460+60)*(CW$4+14.7))</f>
        <v>8.4989038873091882</v>
      </c>
      <c r="DA18" s="402">
        <f t="shared" ref="DA18:DA24" si="55">CU18</f>
        <v>377.47996416242847</v>
      </c>
      <c r="DB18" s="402">
        <f>DA18/$D18</f>
        <v>23.533663601148909</v>
      </c>
      <c r="DC18" s="403">
        <f>DE18*100/DC$7</f>
        <v>98.243929242640988</v>
      </c>
      <c r="DD18" s="403">
        <f t="shared" ref="DD18:DD24" si="56">HLOOKUP(DD$17,DE$17:DH$24,+($B18+1),FALSE)</f>
        <v>148.84649999999999</v>
      </c>
      <c r="DE18" s="402">
        <f t="shared" ref="DE18:DE24" si="57">DG18*379.49/(60*$D18)</f>
        <v>148.84649999999999</v>
      </c>
      <c r="DF18" s="402">
        <f>(14.7*DE18)*(460+DC$5)/((460+60)*(DC$4+14.7))</f>
        <v>8.3196142216573943</v>
      </c>
      <c r="DG18" s="402">
        <f t="shared" ref="DG18:DG24" si="58">DA18</f>
        <v>377.47996416242847</v>
      </c>
      <c r="DH18" s="402">
        <f>DG18/$D18</f>
        <v>23.533663601148909</v>
      </c>
      <c r="DI18" s="403">
        <f>DK18*100/DI$7</f>
        <v>98.243929242640988</v>
      </c>
      <c r="DJ18" s="403">
        <f t="shared" ref="DJ18:DJ24" si="59">HLOOKUP(DJ$17,DK$17:DN$24,+($B18+1),FALSE)</f>
        <v>148.84649999999999</v>
      </c>
      <c r="DK18" s="402">
        <f t="shared" ref="DK18:DK24" si="60">DM18*379.49/(60*$D18)</f>
        <v>148.84649999999999</v>
      </c>
      <c r="DL18" s="402">
        <f>(14.7*DK18)*(460+DI$5)/((460+60)*(DI$4+14.7))</f>
        <v>8.349358998996177</v>
      </c>
      <c r="DM18" s="402">
        <f t="shared" ref="DM18:DM24" si="61">CU18</f>
        <v>377.47996416242847</v>
      </c>
      <c r="DN18" s="402">
        <f>DM18/$D18</f>
        <v>23.533663601148909</v>
      </c>
    </row>
    <row r="19" spans="2:118" x14ac:dyDescent="0.35">
      <c r="B19" s="401">
        <v>2</v>
      </c>
      <c r="C19" s="178" t="str">
        <f>VLOOKUP(B19,'Input Sheet'!C$9:E$126,2,FALSE)</f>
        <v>Carbon Dioxide (CO2)</v>
      </c>
      <c r="D19" s="396">
        <f>VLOOKUP(B19,'Input Sheet'!C$9:E$126,3,FALSE)</f>
        <v>44.01</v>
      </c>
      <c r="E19" s="403">
        <f t="shared" ref="E19:E24" si="62">G19*100/E$7</f>
        <v>38.335399752029758</v>
      </c>
      <c r="F19" s="403">
        <f t="shared" ref="F19:F24" si="63">HLOOKUP(F$17,G$17:J$24,+($B19+1),FALSE)</f>
        <v>666.9517246831274</v>
      </c>
      <c r="G19" s="402">
        <f t="shared" ref="G19:G24" si="64">I19*379.49/(60*$D19)</f>
        <v>95.850000000000009</v>
      </c>
      <c r="H19" s="402">
        <f t="shared" ref="H19:H24" si="65">(14.7*G19)*(460+E$5)/((460+60)*(E$4+14.7))</f>
        <v>18.018708377569734</v>
      </c>
      <c r="I19" s="402">
        <f>'Input Sheet'!H11*'Input Sheet'!$H$4</f>
        <v>666.9517246831274</v>
      </c>
      <c r="J19" s="402">
        <f t="shared" si="0"/>
        <v>15.15454952699676</v>
      </c>
      <c r="K19" s="403">
        <f t="shared" ref="K19:K24" si="66">M19*100/K$7</f>
        <v>38.337163031533834</v>
      </c>
      <c r="L19" s="403">
        <f t="shared" si="1"/>
        <v>666.9517246831274</v>
      </c>
      <c r="M19" s="402">
        <f t="shared" ref="M19:M24" si="67">O19*379.49/(60*$D19)</f>
        <v>95.850000000000009</v>
      </c>
      <c r="N19" s="403">
        <f>(14.7*M19)*(460+K$5)/((460+60)*(K$4+14.7))</f>
        <v>18.482510395010397</v>
      </c>
      <c r="O19" s="402">
        <f>'Input Sheet'!V11*'Input Sheet'!$H$4</f>
        <v>666.9517246831274</v>
      </c>
      <c r="P19" s="402">
        <f t="shared" ref="P19:P24" si="68">O19/$D19</f>
        <v>15.15454952699676</v>
      </c>
      <c r="Q19" s="403">
        <f t="shared" ref="Q19:Q24" si="69">S19*100/Q$7</f>
        <v>38.337163031533834</v>
      </c>
      <c r="R19" s="403">
        <f t="shared" si="2"/>
        <v>95.850000000000009</v>
      </c>
      <c r="S19" s="402">
        <f t="shared" ref="S19:S24" si="70">U19*379.49/(60*$D19)</f>
        <v>95.850000000000009</v>
      </c>
      <c r="T19" s="402">
        <f>(14.7*S19)*(460+Q$5)/((460+60)*(Q$4+14.7))</f>
        <v>18.602215773216422</v>
      </c>
      <c r="U19" s="402">
        <f t="shared" si="3"/>
        <v>666.9517246831274</v>
      </c>
      <c r="V19" s="402">
        <f t="shared" ref="V19:V24" si="71">U19/$D19</f>
        <v>15.15454952699676</v>
      </c>
      <c r="W19" s="403">
        <f t="shared" si="4"/>
        <v>41.429169310472346</v>
      </c>
      <c r="X19" s="403">
        <f t="shared" si="5"/>
        <v>183.52833199857744</v>
      </c>
      <c r="Y19" s="402">
        <f t="shared" si="6"/>
        <v>183.52833199857744</v>
      </c>
      <c r="Z19" s="402">
        <f t="shared" si="7"/>
        <v>37.146746060760414</v>
      </c>
      <c r="AA19" s="402">
        <f>U19+'Input Sheet'!R11*'Input Sheet'!$H$4</f>
        <v>1277.0426453277914</v>
      </c>
      <c r="AB19" s="402">
        <f t="shared" si="8"/>
        <v>29.01710168888415</v>
      </c>
      <c r="AC19" s="403">
        <f t="shared" si="9"/>
        <v>41.429169310472346</v>
      </c>
      <c r="AD19" s="403">
        <f t="shared" si="10"/>
        <v>183.52833199857744</v>
      </c>
      <c r="AE19" s="402">
        <f t="shared" si="11"/>
        <v>183.52833199857744</v>
      </c>
      <c r="AF19" s="402">
        <f t="shared" si="12"/>
        <v>17.036256929770136</v>
      </c>
      <c r="AG19" s="402">
        <f t="shared" ref="AG19:AG24" si="72">AA19</f>
        <v>1277.0426453277914</v>
      </c>
      <c r="AH19" s="402">
        <f t="shared" si="13"/>
        <v>29.01710168888415</v>
      </c>
      <c r="AI19" s="403">
        <f t="shared" ref="AI19:AI24" si="73">AK19*100/AI$7</f>
        <v>41.429169310472346</v>
      </c>
      <c r="AJ19" s="403">
        <f>HLOOKUP(AJ$17,AK$17:AN$24,+($B19+1),FALSE)</f>
        <v>183.52833199857744</v>
      </c>
      <c r="AK19" s="402">
        <f t="shared" si="15"/>
        <v>183.52833199857744</v>
      </c>
      <c r="AL19" s="402">
        <f>(14.7*AK19)*(460+AI$5)/((460+60)*(AI$4+14.7))</f>
        <v>13.862727766247252</v>
      </c>
      <c r="AM19" s="402">
        <f t="shared" ref="AM19:AM24" si="74">AG19</f>
        <v>1277.0426453277914</v>
      </c>
      <c r="AN19" s="402">
        <f t="shared" ref="AN19:AN24" si="75">AM19/$D19</f>
        <v>29.01710168888415</v>
      </c>
      <c r="AO19" s="403">
        <f t="shared" ref="AO19:AO24" si="76">AQ19*100/AO$7</f>
        <v>41.429169310472346</v>
      </c>
      <c r="AP19" s="403">
        <f t="shared" si="16"/>
        <v>183.52833199857744</v>
      </c>
      <c r="AQ19" s="402">
        <f t="shared" si="17"/>
        <v>183.52833199857744</v>
      </c>
      <c r="AR19" s="402">
        <f>(14.7*AQ19)*(460+AO$5)/((460+60)*(AO$4+14.7))</f>
        <v>13.708373675211094</v>
      </c>
      <c r="AS19" s="402">
        <f>AM19</f>
        <v>1277.0426453277914</v>
      </c>
      <c r="AT19" s="402">
        <f t="shared" ref="AT19:AT24" si="77">AS19/$D19</f>
        <v>29.01710168888415</v>
      </c>
      <c r="AU19" s="403">
        <f t="shared" ref="AU19:AU24" si="78">AW19*100/AU$7</f>
        <v>41.447694857154701</v>
      </c>
      <c r="AV19" s="403">
        <f t="shared" si="18"/>
        <v>183.52833199857744</v>
      </c>
      <c r="AW19" s="402">
        <f t="shared" si="19"/>
        <v>183.52833199857744</v>
      </c>
      <c r="AX19" s="402">
        <f>(14.7*AW19)*(460+AU$5)/((460+60)*(AU$4+14.7))</f>
        <v>12.253672106659861</v>
      </c>
      <c r="AY19" s="402">
        <f t="shared" ref="AY19:AY24" si="79">AS19</f>
        <v>1277.0426453277914</v>
      </c>
      <c r="AZ19" s="402">
        <f t="shared" ref="AZ19:AZ24" si="80">AY19/$D19</f>
        <v>29.01710168888415</v>
      </c>
      <c r="BA19" s="403">
        <f t="shared" ref="BA19:BA24" si="81">BC19*100/BA$7</f>
        <v>41.447694857154701</v>
      </c>
      <c r="BB19" s="403">
        <f t="shared" si="20"/>
        <v>183.52833199857744</v>
      </c>
      <c r="BC19" s="402">
        <f t="shared" si="21"/>
        <v>183.52833199857744</v>
      </c>
      <c r="BD19" s="402">
        <f>(14.7*BC19)*(460+BA$5)/((460+60)*(BA$4+14.7))</f>
        <v>12.558065651065451</v>
      </c>
      <c r="BE19" s="402">
        <f t="shared" ref="BE19:BE24" si="82">AY19</f>
        <v>1277.0426453277914</v>
      </c>
      <c r="BF19" s="402">
        <f t="shared" ref="BF19:BF24" si="83">BE19/$D19</f>
        <v>29.01710168888415</v>
      </c>
      <c r="BG19" s="403">
        <f t="shared" ref="BG19:BG24" si="84">BI19*100/BG$7</f>
        <v>41.447694857154701</v>
      </c>
      <c r="BH19" s="403">
        <f t="shared" si="22"/>
        <v>183.52833199857744</v>
      </c>
      <c r="BI19" s="402">
        <f t="shared" si="23"/>
        <v>183.52833199857744</v>
      </c>
      <c r="BJ19" s="402">
        <f>(14.7*BI19)*(460+BG$5)/((460+60)*(BG$4+14.7))</f>
        <v>12.617951514923655</v>
      </c>
      <c r="BK19" s="402">
        <f t="shared" ref="BK19:BK24" si="85">BE19</f>
        <v>1277.0426453277914</v>
      </c>
      <c r="BL19" s="402">
        <f t="shared" ref="BL19:BL24" si="86">BK19/$D19</f>
        <v>29.01710168888415</v>
      </c>
      <c r="BM19" s="403">
        <f t="shared" si="24"/>
        <v>97.263051311258664</v>
      </c>
      <c r="BN19" s="403">
        <f t="shared" si="25"/>
        <v>665.36968598226622</v>
      </c>
      <c r="BO19" s="402">
        <f t="shared" si="26"/>
        <v>95.622639602139742</v>
      </c>
      <c r="BP19" s="402">
        <f t="shared" si="27"/>
        <v>87.810255891381871</v>
      </c>
      <c r="BQ19" s="184">
        <f t="shared" si="28"/>
        <v>665.36968598226622</v>
      </c>
      <c r="BR19" s="402">
        <f t="shared" si="29"/>
        <v>15.118602271807912</v>
      </c>
      <c r="BS19" s="403">
        <f t="shared" si="30"/>
        <v>45.435183870509725</v>
      </c>
      <c r="BT19" s="403">
        <f t="shared" si="31"/>
        <v>610.09092064466404</v>
      </c>
      <c r="BU19" s="402">
        <f t="shared" si="32"/>
        <v>87.678331998577434</v>
      </c>
      <c r="BV19" s="402">
        <f t="shared" si="33"/>
        <v>77.534138801247778</v>
      </c>
      <c r="BW19" s="184">
        <f>'Input Sheet'!R11*'Input Sheet'!$H$4</f>
        <v>610.09092064466404</v>
      </c>
      <c r="BX19" s="402">
        <f t="shared" si="34"/>
        <v>13.862552161887391</v>
      </c>
      <c r="BY19" s="403">
        <f t="shared" si="35"/>
        <v>45.435183870509725</v>
      </c>
      <c r="BZ19" s="403">
        <f t="shared" si="36"/>
        <v>610.09092064466404</v>
      </c>
      <c r="CA19" s="402">
        <f t="shared" si="37"/>
        <v>87.678331998577434</v>
      </c>
      <c r="CB19" s="402">
        <f t="shared" si="38"/>
        <v>22.080367509631134</v>
      </c>
      <c r="CC19" s="402">
        <f t="shared" ref="CC19:CC24" si="87">BW19</f>
        <v>610.09092064466404</v>
      </c>
      <c r="CD19" s="402">
        <f t="shared" si="39"/>
        <v>13.862552161887391</v>
      </c>
      <c r="CE19" s="403">
        <f t="shared" si="40"/>
        <v>45.435183870509725</v>
      </c>
      <c r="CF19" s="403">
        <f t="shared" si="41"/>
        <v>610.09092064466404</v>
      </c>
      <c r="CG19" s="402">
        <f t="shared" si="42"/>
        <v>87.678331998577434</v>
      </c>
      <c r="CH19" s="402">
        <f t="shared" si="43"/>
        <v>18.501768602610415</v>
      </c>
      <c r="CI19" s="402">
        <f t="shared" ref="CI19:CI24" si="88">CC19</f>
        <v>610.09092064466404</v>
      </c>
      <c r="CJ19" s="402">
        <f t="shared" si="44"/>
        <v>13.862552161887391</v>
      </c>
      <c r="CK19" s="403">
        <f t="shared" si="45"/>
        <v>0.15006586543830167</v>
      </c>
      <c r="CL19" s="403">
        <f t="shared" si="46"/>
        <v>1.5820387008611683</v>
      </c>
      <c r="CM19" s="402">
        <f t="shared" si="47"/>
        <v>0.22736039786026083</v>
      </c>
      <c r="CN19" s="402">
        <f t="shared" si="48"/>
        <v>1.9968738488404362E-2</v>
      </c>
      <c r="CO19" s="184">
        <f>'Input Sheet'!M11*'Input Sheet'!$H$4</f>
        <v>1.5820387008611683</v>
      </c>
      <c r="CP19" s="402">
        <f t="shared" si="49"/>
        <v>3.5947255188847269E-2</v>
      </c>
      <c r="CQ19" s="403">
        <f t="shared" ref="CQ19:CQ24" si="89">CS19*100/CQ$7</f>
        <v>0.15006586543830167</v>
      </c>
      <c r="CR19" s="403">
        <f t="shared" si="50"/>
        <v>0.22736039786026083</v>
      </c>
      <c r="CS19" s="402">
        <f t="shared" si="51"/>
        <v>0.22736039786026083</v>
      </c>
      <c r="CT19" s="402">
        <f>(14.7*CS19)*(460+CQ$5)/((460+60)*(CQ$4+14.7))</f>
        <v>1.5080571741027107E-2</v>
      </c>
      <c r="CU19" s="402">
        <f t="shared" si="52"/>
        <v>1.5820387008611683</v>
      </c>
      <c r="CV19" s="402">
        <f t="shared" ref="CV19:CV24" si="90">CU19/$D19</f>
        <v>3.5947255188847269E-2</v>
      </c>
      <c r="CW19" s="403">
        <f t="shared" ref="CW19:CW24" si="91">CY19*100/CW$7</f>
        <v>0.15006586543830167</v>
      </c>
      <c r="CX19" s="403">
        <f t="shared" si="53"/>
        <v>0.22736039786026083</v>
      </c>
      <c r="CY19" s="402">
        <f t="shared" si="54"/>
        <v>0.22736039786026083</v>
      </c>
      <c r="CZ19" s="402">
        <f>(14.7*CY19)*(460+CW$5)/((460+60)*(CW$4+14.7))</f>
        <v>1.2981925468148291E-2</v>
      </c>
      <c r="DA19" s="402">
        <f t="shared" si="55"/>
        <v>1.5820387008611683</v>
      </c>
      <c r="DB19" s="402">
        <f t="shared" ref="DB19:DB24" si="92">DA19/$D19</f>
        <v>3.5947255188847269E-2</v>
      </c>
      <c r="DC19" s="403">
        <f t="shared" ref="DC19:DC24" si="93">DE19*100/DC$7</f>
        <v>0.15006586543830167</v>
      </c>
      <c r="DD19" s="403">
        <f t="shared" si="56"/>
        <v>0.22736039786026083</v>
      </c>
      <c r="DE19" s="402">
        <f t="shared" si="57"/>
        <v>0.22736039786026083</v>
      </c>
      <c r="DF19" s="402">
        <f>(14.7*DE19)*(460+DC$5)/((460+60)*(DC$4+14.7))</f>
        <v>1.2708063672843564E-2</v>
      </c>
      <c r="DG19" s="402">
        <f t="shared" si="58"/>
        <v>1.5820387008611683</v>
      </c>
      <c r="DH19" s="402">
        <f t="shared" ref="DH19:DH24" si="94">DG19/$D19</f>
        <v>3.5947255188847269E-2</v>
      </c>
      <c r="DI19" s="403">
        <f t="shared" ref="DI19:DI24" si="95">DK19*100/DI$7</f>
        <v>0.15006586543830167</v>
      </c>
      <c r="DJ19" s="403">
        <f t="shared" si="59"/>
        <v>0.22736039786026083</v>
      </c>
      <c r="DK19" s="402">
        <f t="shared" si="60"/>
        <v>0.22736039786026083</v>
      </c>
      <c r="DL19" s="402">
        <f>(14.7*DK19)*(460+DI$5)/((460+60)*(DI$4+14.7))</f>
        <v>1.2753498294484049E-2</v>
      </c>
      <c r="DM19" s="402">
        <f t="shared" si="61"/>
        <v>1.5820387008611683</v>
      </c>
      <c r="DN19" s="402">
        <f t="shared" ref="DN19:DN24" si="96">DM19/$D19</f>
        <v>3.5947255188847269E-2</v>
      </c>
    </row>
    <row r="20" spans="2:118" x14ac:dyDescent="0.35">
      <c r="B20" s="401">
        <v>3</v>
      </c>
      <c r="C20" s="178" t="str">
        <f>VLOOKUP(B20,'Input Sheet'!C$9:E$126,2,FALSE)</f>
        <v>Nitrogen (N2)</v>
      </c>
      <c r="D20" s="396">
        <f>VLOOKUP(B20,'Input Sheet'!C$9:E$126,3,FALSE)</f>
        <v>28.013999999999999</v>
      </c>
      <c r="E20" s="403">
        <f t="shared" si="62"/>
        <v>0.93988721353437599</v>
      </c>
      <c r="F20" s="403">
        <f t="shared" si="63"/>
        <v>10.408637908772299</v>
      </c>
      <c r="G20" s="402">
        <f t="shared" si="64"/>
        <v>2.35</v>
      </c>
      <c r="H20" s="402">
        <f t="shared" si="65"/>
        <v>0.44177323617411451</v>
      </c>
      <c r="I20" s="402">
        <f>'Input Sheet'!H12*'Input Sheet'!$H$4</f>
        <v>10.408637908772299</v>
      </c>
      <c r="J20" s="402">
        <f t="shared" si="0"/>
        <v>0.37155129252417718</v>
      </c>
      <c r="K20" s="403">
        <f t="shared" si="66"/>
        <v>0.93993044469592602</v>
      </c>
      <c r="L20" s="403">
        <f t="shared" si="1"/>
        <v>10.408637908772299</v>
      </c>
      <c r="M20" s="402">
        <f t="shared" si="67"/>
        <v>2.35</v>
      </c>
      <c r="N20" s="403">
        <f t="shared" ref="N20:N24" si="97">(14.7*M20)*(460+K$5)/((460+60)*(K$4+14.7))</f>
        <v>0.45314449064449069</v>
      </c>
      <c r="O20" s="402">
        <f>'Input Sheet'!V12*'Input Sheet'!$H$4</f>
        <v>10.408637908772299</v>
      </c>
      <c r="P20" s="402">
        <f t="shared" si="68"/>
        <v>0.37155129252417718</v>
      </c>
      <c r="Q20" s="403">
        <f t="shared" si="69"/>
        <v>0.93993044469592602</v>
      </c>
      <c r="R20" s="403">
        <f t="shared" si="2"/>
        <v>2.35</v>
      </c>
      <c r="S20" s="402">
        <f t="shared" si="70"/>
        <v>2.35</v>
      </c>
      <c r="T20" s="404">
        <f t="shared" ref="T20:T24" si="98">(14.7*S20)*(460+Q$5)/((460+60)*(Q$4+14.7))</f>
        <v>0.45607936428856122</v>
      </c>
      <c r="U20" s="402">
        <f t="shared" si="3"/>
        <v>10.408637908772299</v>
      </c>
      <c r="V20" s="402">
        <f t="shared" si="71"/>
        <v>0.37155129252417718</v>
      </c>
      <c r="W20" s="403">
        <f t="shared" si="4"/>
        <v>1.061876692432371</v>
      </c>
      <c r="X20" s="403">
        <f t="shared" si="5"/>
        <v>4.7040397235533558</v>
      </c>
      <c r="Y20" s="402">
        <f t="shared" si="6"/>
        <v>4.7040397235533558</v>
      </c>
      <c r="Z20" s="404">
        <f t="shared" si="7"/>
        <v>0.95211331769702212</v>
      </c>
      <c r="AA20" s="402">
        <f>U20+'Input Sheet'!R12*'Input Sheet'!$H$4</f>
        <v>20.83516859189286</v>
      </c>
      <c r="AB20" s="402">
        <f t="shared" si="8"/>
        <v>0.74374129334949879</v>
      </c>
      <c r="AC20" s="403">
        <f t="shared" si="9"/>
        <v>1.061876692432371</v>
      </c>
      <c r="AD20" s="403">
        <f t="shared" si="10"/>
        <v>4.7040397235533558</v>
      </c>
      <c r="AE20" s="402">
        <f t="shared" si="11"/>
        <v>4.7040397235533558</v>
      </c>
      <c r="AF20" s="404">
        <f t="shared" si="12"/>
        <v>0.43665862630365448</v>
      </c>
      <c r="AG20" s="402">
        <f t="shared" si="72"/>
        <v>20.83516859189286</v>
      </c>
      <c r="AH20" s="402">
        <f t="shared" si="13"/>
        <v>0.74374129334949879</v>
      </c>
      <c r="AI20" s="403">
        <f t="shared" si="73"/>
        <v>1.061876692432371</v>
      </c>
      <c r="AJ20" s="403">
        <f t="shared" si="14"/>
        <v>4.7040397235533558</v>
      </c>
      <c r="AK20" s="402">
        <f t="shared" si="15"/>
        <v>4.7040397235533558</v>
      </c>
      <c r="AL20" s="404">
        <f t="shared" ref="AL20:AL24" si="99">(14.7*AK20)*(460+AI$5)/((460+60)*(AI$4+14.7))</f>
        <v>0.35531746722211044</v>
      </c>
      <c r="AM20" s="402">
        <f t="shared" si="74"/>
        <v>20.83516859189286</v>
      </c>
      <c r="AN20" s="402">
        <f t="shared" si="75"/>
        <v>0.74374129334949879</v>
      </c>
      <c r="AO20" s="403">
        <f t="shared" si="76"/>
        <v>1.061876692432371</v>
      </c>
      <c r="AP20" s="403">
        <f t="shared" si="16"/>
        <v>4.7040397235533558</v>
      </c>
      <c r="AQ20" s="402">
        <f t="shared" si="17"/>
        <v>4.7040397235533558</v>
      </c>
      <c r="AR20" s="404">
        <f t="shared" ref="AR20:AR24" si="100">(14.7*AQ20)*(460+AO$5)/((460+60)*(AO$4+14.7))</f>
        <v>0.35136119645007136</v>
      </c>
      <c r="AS20" s="402">
        <f t="shared" ref="AS20:AS24" si="101">AM20</f>
        <v>20.83516859189286</v>
      </c>
      <c r="AT20" s="402">
        <f t="shared" si="77"/>
        <v>0.74374129334949879</v>
      </c>
      <c r="AU20" s="403">
        <f t="shared" si="78"/>
        <v>1.0623515232475664</v>
      </c>
      <c r="AV20" s="403">
        <f t="shared" si="18"/>
        <v>4.7040397235533558</v>
      </c>
      <c r="AW20" s="402">
        <f t="shared" si="19"/>
        <v>4.7040397235533558</v>
      </c>
      <c r="AX20" s="404">
        <f t="shared" ref="AX20:AX24" si="102">(14.7*AW20)*(460+AU$5)/((460+60)*(AU$4+14.7))</f>
        <v>0.31407554202351989</v>
      </c>
      <c r="AY20" s="402">
        <f t="shared" si="79"/>
        <v>20.83516859189286</v>
      </c>
      <c r="AZ20" s="402">
        <f t="shared" si="80"/>
        <v>0.74374129334949879</v>
      </c>
      <c r="BA20" s="403">
        <f t="shared" si="81"/>
        <v>1.0623515232475664</v>
      </c>
      <c r="BB20" s="403">
        <f t="shared" si="20"/>
        <v>4.7040397235533558</v>
      </c>
      <c r="BC20" s="402">
        <f t="shared" si="21"/>
        <v>4.7040397235533558</v>
      </c>
      <c r="BD20" s="404">
        <f t="shared" ref="BD20:BD24" si="103">(14.7*BC20)*(460+BA$5)/((460+60)*(BA$4+14.7))</f>
        <v>0.32187749450074393</v>
      </c>
      <c r="BE20" s="402">
        <f t="shared" si="82"/>
        <v>20.83516859189286</v>
      </c>
      <c r="BF20" s="402">
        <f t="shared" si="83"/>
        <v>0.74374129334949879</v>
      </c>
      <c r="BG20" s="403">
        <f t="shared" si="84"/>
        <v>1.0623515232475664</v>
      </c>
      <c r="BH20" s="403">
        <f t="shared" si="22"/>
        <v>4.7040397235533558</v>
      </c>
      <c r="BI20" s="402">
        <f t="shared" si="23"/>
        <v>4.7040397235533558</v>
      </c>
      <c r="BJ20" s="404">
        <f t="shared" ref="BJ20:BJ24" si="104">(14.7*BI20)*(460+BG$5)/((460+60)*(BG$4+14.7))</f>
        <v>0.32341243724991298</v>
      </c>
      <c r="BK20" s="402">
        <f t="shared" si="85"/>
        <v>20.83516859189286</v>
      </c>
      <c r="BL20" s="402">
        <f t="shared" si="86"/>
        <v>0.74374129334949879</v>
      </c>
      <c r="BM20" s="403">
        <f t="shared" si="24"/>
        <v>9.3123984610229513E-2</v>
      </c>
      <c r="BN20" s="403">
        <f t="shared" si="25"/>
        <v>0.40550893395931453</v>
      </c>
      <c r="BO20" s="402">
        <f t="shared" si="26"/>
        <v>9.1553381254741842E-2</v>
      </c>
      <c r="BP20" s="404">
        <f t="shared" si="27"/>
        <v>8.4073456549093525E-2</v>
      </c>
      <c r="BQ20" s="184">
        <f t="shared" si="28"/>
        <v>0.40550893395931453</v>
      </c>
      <c r="BR20" s="402">
        <f t="shared" si="29"/>
        <v>1.4475224314960896E-2</v>
      </c>
      <c r="BS20" s="403">
        <f t="shared" si="30"/>
        <v>1.2198706937064672</v>
      </c>
      <c r="BT20" s="403">
        <f t="shared" si="31"/>
        <v>10.426530683120562</v>
      </c>
      <c r="BU20" s="402">
        <f t="shared" si="32"/>
        <v>2.3540397235533557</v>
      </c>
      <c r="BV20" s="404">
        <f t="shared" si="33"/>
        <v>2.0816824238011069</v>
      </c>
      <c r="BW20" s="184">
        <f>'Input Sheet'!R12*'Input Sheet'!$H$4</f>
        <v>10.426530683120562</v>
      </c>
      <c r="BX20" s="402">
        <f t="shared" si="34"/>
        <v>0.37219000082532172</v>
      </c>
      <c r="BY20" s="403">
        <f t="shared" si="35"/>
        <v>1.2198706937064672</v>
      </c>
      <c r="BZ20" s="403">
        <f t="shared" si="36"/>
        <v>10.426530683120562</v>
      </c>
      <c r="CA20" s="402">
        <f t="shared" si="37"/>
        <v>2.3540397235533557</v>
      </c>
      <c r="CB20" s="404">
        <f t="shared" si="38"/>
        <v>0.59282676852442751</v>
      </c>
      <c r="CC20" s="402">
        <f t="shared" si="87"/>
        <v>10.426530683120562</v>
      </c>
      <c r="CD20" s="402">
        <f t="shared" si="39"/>
        <v>0.37219000082532172</v>
      </c>
      <c r="CE20" s="403">
        <f t="shared" si="40"/>
        <v>1.2198706937064672</v>
      </c>
      <c r="CF20" s="403">
        <f t="shared" si="41"/>
        <v>10.426530683120562</v>
      </c>
      <c r="CG20" s="402">
        <f t="shared" si="42"/>
        <v>2.3540397235533557</v>
      </c>
      <c r="CH20" s="404">
        <f t="shared" si="43"/>
        <v>0.49674642815107189</v>
      </c>
      <c r="CI20" s="402">
        <f t="shared" si="88"/>
        <v>10.426530683120562</v>
      </c>
      <c r="CJ20" s="402">
        <f t="shared" si="44"/>
        <v>0.37219000082532172</v>
      </c>
      <c r="CK20" s="403">
        <f t="shared" si="45"/>
        <v>1.4906542633537969</v>
      </c>
      <c r="CL20" s="403">
        <f t="shared" si="46"/>
        <v>10.003128974812983</v>
      </c>
      <c r="CM20" s="402">
        <f t="shared" si="47"/>
        <v>2.2584466187452579</v>
      </c>
      <c r="CN20" s="404">
        <f t="shared" si="48"/>
        <v>0.19835613565148336</v>
      </c>
      <c r="CO20" s="184">
        <f>'Input Sheet'!M12*'Input Sheet'!$H$4</f>
        <v>10.003128974812983</v>
      </c>
      <c r="CP20" s="402">
        <f t="shared" si="49"/>
        <v>0.35707606820921622</v>
      </c>
      <c r="CQ20" s="403">
        <f t="shared" si="89"/>
        <v>1.4906542633537969</v>
      </c>
      <c r="CR20" s="403">
        <f t="shared" si="50"/>
        <v>2.2584466187452579</v>
      </c>
      <c r="CS20" s="402">
        <f t="shared" si="51"/>
        <v>2.2584466187452579</v>
      </c>
      <c r="CT20" s="404">
        <f t="shared" ref="CT20:CT24" si="105">(14.7*CS20)*(460+CQ$5)/((460+60)*(CQ$4+14.7))</f>
        <v>0.1498003459608693</v>
      </c>
      <c r="CU20" s="402">
        <f t="shared" si="52"/>
        <v>10.003128974812983</v>
      </c>
      <c r="CV20" s="402">
        <f t="shared" si="90"/>
        <v>0.35707606820921622</v>
      </c>
      <c r="CW20" s="403">
        <f t="shared" si="91"/>
        <v>1.4906542633537969</v>
      </c>
      <c r="CX20" s="403">
        <f t="shared" si="53"/>
        <v>2.2584466187452579</v>
      </c>
      <c r="CY20" s="402">
        <f t="shared" si="54"/>
        <v>2.2584466187452579</v>
      </c>
      <c r="CZ20" s="404">
        <f t="shared" ref="CZ20:CZ24" si="106">(14.7*CY20)*(460+CW$5)/((460+60)*(CW$4+14.7))</f>
        <v>0.12895379298360637</v>
      </c>
      <c r="DA20" s="402">
        <f t="shared" si="55"/>
        <v>10.003128974812983</v>
      </c>
      <c r="DB20" s="402">
        <f t="shared" si="92"/>
        <v>0.35707606820921622</v>
      </c>
      <c r="DC20" s="403">
        <f t="shared" si="93"/>
        <v>1.4906542633537969</v>
      </c>
      <c r="DD20" s="403">
        <f t="shared" si="56"/>
        <v>2.2584466187452579</v>
      </c>
      <c r="DE20" s="402">
        <f t="shared" si="57"/>
        <v>2.2584466187452579</v>
      </c>
      <c r="DF20" s="404">
        <f t="shared" ref="DF20:DF24" si="107">(14.7*DE20)*(460+DC$5)/((460+60)*(DC$4+14.7))</f>
        <v>0.12623343248357941</v>
      </c>
      <c r="DG20" s="402">
        <f t="shared" si="58"/>
        <v>10.003128974812983</v>
      </c>
      <c r="DH20" s="402">
        <f t="shared" si="94"/>
        <v>0.35707606820921622</v>
      </c>
      <c r="DI20" s="403">
        <f t="shared" si="95"/>
        <v>1.4906542633537969</v>
      </c>
      <c r="DJ20" s="403">
        <f t="shared" si="59"/>
        <v>2.2584466187452579</v>
      </c>
      <c r="DK20" s="402">
        <f t="shared" si="60"/>
        <v>2.2584466187452579</v>
      </c>
      <c r="DL20" s="404">
        <f t="shared" ref="DL20:DL24" si="108">(14.7*DK20)*(460+DI$5)/((460+60)*(DI$4+14.7))</f>
        <v>0.12668474972520821</v>
      </c>
      <c r="DM20" s="402">
        <f t="shared" si="61"/>
        <v>10.003128974812983</v>
      </c>
      <c r="DN20" s="402">
        <f t="shared" si="96"/>
        <v>0.35707606820921622</v>
      </c>
    </row>
    <row r="21" spans="2:118" x14ac:dyDescent="0.35">
      <c r="B21" s="401">
        <v>4</v>
      </c>
      <c r="C21" s="178" t="str">
        <f>VLOOKUP(B21,'Input Sheet'!C$9:E$126,2,FALSE)</f>
        <v>Oxygen (O2)</v>
      </c>
      <c r="D21" s="396">
        <f>VLOOKUP(B21,'Input Sheet'!C$9:E$126,3,FALSE)</f>
        <v>32</v>
      </c>
      <c r="E21" s="403">
        <f t="shared" si="62"/>
        <v>0.45994480662320519</v>
      </c>
      <c r="F21" s="403">
        <f t="shared" si="63"/>
        <v>5.8183351339956255</v>
      </c>
      <c r="G21" s="402">
        <f t="shared" si="64"/>
        <v>1.1499999999999999</v>
      </c>
      <c r="H21" s="402">
        <f t="shared" si="65"/>
        <v>0.21618690280860917</v>
      </c>
      <c r="I21" s="402">
        <f>'Input Sheet'!H13*'Input Sheet'!$H$4</f>
        <v>5.8183351339956255</v>
      </c>
      <c r="J21" s="402">
        <f t="shared" si="0"/>
        <v>0.1818229729373633</v>
      </c>
      <c r="K21" s="403">
        <f t="shared" si="66"/>
        <v>0.45996596229800629</v>
      </c>
      <c r="L21" s="403">
        <f t="shared" si="1"/>
        <v>5.8183351339956255</v>
      </c>
      <c r="M21" s="402">
        <f t="shared" si="67"/>
        <v>1.1499999999999999</v>
      </c>
      <c r="N21" s="403">
        <f t="shared" si="97"/>
        <v>0.2217515592515592</v>
      </c>
      <c r="O21" s="402">
        <f>'Input Sheet'!V13*'Input Sheet'!$H$4</f>
        <v>5.8183351339956255</v>
      </c>
      <c r="P21" s="402">
        <f t="shared" si="68"/>
        <v>0.1818229729373633</v>
      </c>
      <c r="Q21" s="403">
        <f t="shared" si="69"/>
        <v>0.45996596229800629</v>
      </c>
      <c r="R21" s="403">
        <f t="shared" si="2"/>
        <v>1.1499999999999999</v>
      </c>
      <c r="S21" s="402">
        <f t="shared" si="70"/>
        <v>1.1499999999999999</v>
      </c>
      <c r="T21" s="404">
        <f t="shared" si="98"/>
        <v>0.22318777401355117</v>
      </c>
      <c r="U21" s="402">
        <f>O21</f>
        <v>5.8183351339956255</v>
      </c>
      <c r="V21" s="402">
        <f t="shared" si="71"/>
        <v>0.1818229729373633</v>
      </c>
      <c r="W21" s="403">
        <f t="shared" si="4"/>
        <v>0.89552865303797269</v>
      </c>
      <c r="X21" s="403">
        <f t="shared" si="5"/>
        <v>3.9671295052359827</v>
      </c>
      <c r="Y21" s="402">
        <f t="shared" si="6"/>
        <v>3.9671295052359827</v>
      </c>
      <c r="Z21" s="404">
        <f t="shared" si="7"/>
        <v>0.80296023353110069</v>
      </c>
      <c r="AA21" s="402">
        <f>U21+'Input Sheet'!R13*'Input Sheet'!$H$4</f>
        <v>20.071381722978437</v>
      </c>
      <c r="AB21" s="402">
        <f t="shared" si="8"/>
        <v>0.62723067884307615</v>
      </c>
      <c r="AC21" s="403">
        <f t="shared" si="9"/>
        <v>0.89552865303797269</v>
      </c>
      <c r="AD21" s="403">
        <f t="shared" si="10"/>
        <v>3.9671295052359827</v>
      </c>
      <c r="AE21" s="402">
        <f t="shared" si="11"/>
        <v>3.9671295052359827</v>
      </c>
      <c r="AF21" s="404">
        <f t="shared" si="12"/>
        <v>0.368253973590279</v>
      </c>
      <c r="AG21" s="402">
        <f t="shared" si="72"/>
        <v>20.071381722978437</v>
      </c>
      <c r="AH21" s="402">
        <f t="shared" si="13"/>
        <v>0.62723067884307615</v>
      </c>
      <c r="AI21" s="403">
        <f t="shared" si="73"/>
        <v>0.89552865303797269</v>
      </c>
      <c r="AJ21" s="403">
        <f t="shared" si="14"/>
        <v>3.9671295052359827</v>
      </c>
      <c r="AK21" s="402">
        <f t="shared" si="15"/>
        <v>3.9671295052359827</v>
      </c>
      <c r="AL21" s="404">
        <f t="shared" si="99"/>
        <v>0.2996552943387501</v>
      </c>
      <c r="AM21" s="402">
        <f t="shared" si="74"/>
        <v>20.071381722978437</v>
      </c>
      <c r="AN21" s="402">
        <f t="shared" si="75"/>
        <v>0.62723067884307615</v>
      </c>
      <c r="AO21" s="403">
        <f t="shared" si="76"/>
        <v>0.89552865303797269</v>
      </c>
      <c r="AP21" s="403">
        <f t="shared" si="16"/>
        <v>3.9671295052359827</v>
      </c>
      <c r="AQ21" s="402">
        <f t="shared" si="17"/>
        <v>3.9671295052359827</v>
      </c>
      <c r="AR21" s="404">
        <f t="shared" si="100"/>
        <v>0.296318792218695</v>
      </c>
      <c r="AS21" s="402">
        <f t="shared" si="101"/>
        <v>20.071381722978437</v>
      </c>
      <c r="AT21" s="402">
        <f t="shared" si="77"/>
        <v>0.62723067884307615</v>
      </c>
      <c r="AU21" s="403">
        <f t="shared" si="78"/>
        <v>0.89592909934532949</v>
      </c>
      <c r="AV21" s="403">
        <f t="shared" si="18"/>
        <v>3.9671295052359827</v>
      </c>
      <c r="AW21" s="402">
        <f t="shared" si="19"/>
        <v>3.9671295052359827</v>
      </c>
      <c r="AX21" s="404">
        <f t="shared" si="102"/>
        <v>0.26487411307260339</v>
      </c>
      <c r="AY21" s="402">
        <f t="shared" si="79"/>
        <v>20.071381722978437</v>
      </c>
      <c r="AZ21" s="402">
        <f t="shared" si="80"/>
        <v>0.62723067884307615</v>
      </c>
      <c r="BA21" s="403">
        <f t="shared" si="81"/>
        <v>0.89592909934532949</v>
      </c>
      <c r="BB21" s="403">
        <f t="shared" si="20"/>
        <v>3.9671295052359827</v>
      </c>
      <c r="BC21" s="402">
        <f t="shared" si="21"/>
        <v>3.9671295052359827</v>
      </c>
      <c r="BD21" s="404">
        <f t="shared" si="103"/>
        <v>0.27145385254968929</v>
      </c>
      <c r="BE21" s="402">
        <f t="shared" si="82"/>
        <v>20.071381722978437</v>
      </c>
      <c r="BF21" s="402">
        <f t="shared" si="83"/>
        <v>0.62723067884307615</v>
      </c>
      <c r="BG21" s="403">
        <f t="shared" si="84"/>
        <v>0.89592909934532949</v>
      </c>
      <c r="BH21" s="403">
        <f t="shared" si="22"/>
        <v>3.9671295052359827</v>
      </c>
      <c r="BI21" s="402">
        <f t="shared" si="23"/>
        <v>3.9671295052359827</v>
      </c>
      <c r="BJ21" s="404">
        <f t="shared" si="104"/>
        <v>0.27274833920943986</v>
      </c>
      <c r="BK21" s="402">
        <f t="shared" si="85"/>
        <v>20.071381722978437</v>
      </c>
      <c r="BL21" s="402">
        <f t="shared" si="86"/>
        <v>0.62723067884307615</v>
      </c>
      <c r="BM21" s="403">
        <f t="shared" si="24"/>
        <v>1.0155544619611949</v>
      </c>
      <c r="BN21" s="403">
        <f t="shared" si="25"/>
        <v>5.0514603566335481</v>
      </c>
      <c r="BO21" s="402">
        <f t="shared" si="26"/>
        <v>0.9984264014264923</v>
      </c>
      <c r="BP21" s="404">
        <f t="shared" si="27"/>
        <v>0.91685481767447485</v>
      </c>
      <c r="BQ21" s="184">
        <f t="shared" si="28"/>
        <v>5.0514603566335481</v>
      </c>
      <c r="BR21" s="402">
        <f t="shared" si="29"/>
        <v>0.15785813614479838</v>
      </c>
      <c r="BS21" s="403">
        <f t="shared" si="30"/>
        <v>1.4598452564028215</v>
      </c>
      <c r="BT21" s="403">
        <f t="shared" si="31"/>
        <v>14.253046588982812</v>
      </c>
      <c r="BU21" s="402">
        <f t="shared" si="32"/>
        <v>2.8171295052359828</v>
      </c>
      <c r="BV21" s="404">
        <f t="shared" si="33"/>
        <v>2.4911937202865704</v>
      </c>
      <c r="BW21" s="184">
        <f>'Input Sheet'!R13*'Input Sheet'!$H$4</f>
        <v>14.253046588982812</v>
      </c>
      <c r="BX21" s="402">
        <f t="shared" si="34"/>
        <v>0.44540770590571288</v>
      </c>
      <c r="BY21" s="403">
        <f t="shared" si="35"/>
        <v>1.4598452564028215</v>
      </c>
      <c r="BZ21" s="403">
        <f t="shared" si="36"/>
        <v>14.253046588982812</v>
      </c>
      <c r="CA21" s="402">
        <f t="shared" si="37"/>
        <v>2.8171295052359828</v>
      </c>
      <c r="CB21" s="404">
        <f t="shared" si="38"/>
        <v>0.70944842790628204</v>
      </c>
      <c r="CC21" s="402">
        <f t="shared" si="87"/>
        <v>14.253046588982812</v>
      </c>
      <c r="CD21" s="402">
        <f t="shared" si="39"/>
        <v>0.44540770590571288</v>
      </c>
      <c r="CE21" s="403">
        <f t="shared" si="40"/>
        <v>1.4598452564028215</v>
      </c>
      <c r="CF21" s="403">
        <f t="shared" si="41"/>
        <v>14.253046588982812</v>
      </c>
      <c r="CG21" s="402">
        <f t="shared" si="42"/>
        <v>2.8171295052359828</v>
      </c>
      <c r="CH21" s="404">
        <f t="shared" si="43"/>
        <v>0.59446703696767622</v>
      </c>
      <c r="CI21" s="402">
        <f>CC21</f>
        <v>14.253046588982812</v>
      </c>
      <c r="CJ21" s="402">
        <f t="shared" si="44"/>
        <v>0.44540770590571288</v>
      </c>
      <c r="CK21" s="403">
        <f t="shared" si="45"/>
        <v>0.10004391029220111</v>
      </c>
      <c r="CL21" s="403">
        <f t="shared" si="46"/>
        <v>0.76687477736207499</v>
      </c>
      <c r="CM21" s="402">
        <f t="shared" si="47"/>
        <v>0.15157359857350722</v>
      </c>
      <c r="CN21" s="404">
        <f t="shared" si="48"/>
        <v>1.331249232560291E-2</v>
      </c>
      <c r="CO21" s="184">
        <f>'Input Sheet'!M13*'Input Sheet'!$H$4</f>
        <v>0.76687477736207499</v>
      </c>
      <c r="CP21" s="402">
        <f t="shared" si="49"/>
        <v>2.3964836792564843E-2</v>
      </c>
      <c r="CQ21" s="403">
        <f t="shared" si="89"/>
        <v>0.10004391029220111</v>
      </c>
      <c r="CR21" s="403">
        <f t="shared" si="50"/>
        <v>0.15157359857350722</v>
      </c>
      <c r="CS21" s="402">
        <f t="shared" si="51"/>
        <v>0.15157359857350722</v>
      </c>
      <c r="CT21" s="404">
        <f t="shared" si="105"/>
        <v>1.0053714494018071E-2</v>
      </c>
      <c r="CU21" s="402">
        <f t="shared" si="52"/>
        <v>0.76687477736207499</v>
      </c>
      <c r="CV21" s="402">
        <f t="shared" si="90"/>
        <v>2.3964836792564843E-2</v>
      </c>
      <c r="CW21" s="403">
        <f t="shared" si="91"/>
        <v>0.10004391029220111</v>
      </c>
      <c r="CX21" s="403">
        <f t="shared" si="53"/>
        <v>0.15157359857350722</v>
      </c>
      <c r="CY21" s="402">
        <f t="shared" si="54"/>
        <v>0.15157359857350722</v>
      </c>
      <c r="CZ21" s="404">
        <f t="shared" si="106"/>
        <v>8.6546169787655274E-3</v>
      </c>
      <c r="DA21" s="402">
        <f t="shared" si="55"/>
        <v>0.76687477736207499</v>
      </c>
      <c r="DB21" s="402">
        <f t="shared" si="92"/>
        <v>2.3964836792564843E-2</v>
      </c>
      <c r="DC21" s="403">
        <f t="shared" si="93"/>
        <v>0.10004391029220111</v>
      </c>
      <c r="DD21" s="403">
        <f t="shared" si="56"/>
        <v>0.15157359857350722</v>
      </c>
      <c r="DE21" s="402">
        <f t="shared" si="57"/>
        <v>0.15157359857350722</v>
      </c>
      <c r="DF21" s="404">
        <f t="shared" si="107"/>
        <v>8.4720424485623756E-3</v>
      </c>
      <c r="DG21" s="402">
        <f>DA21</f>
        <v>0.76687477736207499</v>
      </c>
      <c r="DH21" s="402">
        <f t="shared" si="94"/>
        <v>2.3964836792564843E-2</v>
      </c>
      <c r="DI21" s="403">
        <f t="shared" si="95"/>
        <v>0.10004391029220111</v>
      </c>
      <c r="DJ21" s="403">
        <f t="shared" si="59"/>
        <v>0.15157359857350722</v>
      </c>
      <c r="DK21" s="402">
        <f t="shared" si="60"/>
        <v>0.15157359857350722</v>
      </c>
      <c r="DL21" s="404">
        <f t="shared" si="108"/>
        <v>8.502332196322699E-3</v>
      </c>
      <c r="DM21" s="402">
        <f>CU21</f>
        <v>0.76687477736207499</v>
      </c>
      <c r="DN21" s="402">
        <f t="shared" si="96"/>
        <v>2.3964836792564843E-2</v>
      </c>
    </row>
    <row r="22" spans="2:118" x14ac:dyDescent="0.35">
      <c r="B22" s="401">
        <v>5</v>
      </c>
      <c r="C22" s="178" t="str">
        <f>VLOOKUP(B22,'Input Sheet'!C$9:E$126,2,FALSE)</f>
        <v>Hydrogen Sulfide (H2S)</v>
      </c>
      <c r="D22" s="396">
        <f>VLOOKUP(B22,'Input Sheet'!C$9:E$126,3,FALSE)</f>
        <v>34.08</v>
      </c>
      <c r="E22" s="403">
        <f t="shared" si="62"/>
        <v>4.9994000719913619E-3</v>
      </c>
      <c r="F22" s="403">
        <f t="shared" si="63"/>
        <v>6.7353553453318921E-2</v>
      </c>
      <c r="G22" s="402">
        <f t="shared" si="64"/>
        <v>1.2499999999999999E-2</v>
      </c>
      <c r="H22" s="402">
        <f t="shared" si="65"/>
        <v>2.349857639224013E-3</v>
      </c>
      <c r="I22" s="402">
        <f>'Input Sheet'!H14*'Input Sheet'!$H$4</f>
        <v>6.7353553453318921E-2</v>
      </c>
      <c r="J22" s="402">
        <f t="shared" si="0"/>
        <v>1.9763366623626443E-3</v>
      </c>
      <c r="K22" s="403">
        <f t="shared" si="66"/>
        <v>4.0001839844650596E-4</v>
      </c>
      <c r="L22" s="403">
        <f t="shared" si="1"/>
        <v>5.3889308703786642E-3</v>
      </c>
      <c r="M22" s="402">
        <f t="shared" si="67"/>
        <v>1.0001199999999995E-3</v>
      </c>
      <c r="N22" s="403">
        <f t="shared" si="97"/>
        <v>1.9285058212058202E-4</v>
      </c>
      <c r="O22" s="402">
        <f>'Input Sheet'!V14*'Input Sheet'!$H$4</f>
        <v>5.3889308703786642E-3</v>
      </c>
      <c r="P22" s="402">
        <f t="shared" si="68"/>
        <v>1.5812590582097021E-4</v>
      </c>
      <c r="Q22" s="403">
        <f t="shared" si="69"/>
        <v>4.0001839844650596E-4</v>
      </c>
      <c r="R22" s="403">
        <f t="shared" si="2"/>
        <v>1.0001199999999995E-3</v>
      </c>
      <c r="S22" s="402">
        <f t="shared" si="70"/>
        <v>1.0001199999999995E-3</v>
      </c>
      <c r="T22" s="404">
        <f t="shared" si="98"/>
        <v>1.9409961438820235E-4</v>
      </c>
      <c r="U22" s="402">
        <f t="shared" si="3"/>
        <v>5.3889308703786642E-3</v>
      </c>
      <c r="V22" s="402">
        <f t="shared" si="71"/>
        <v>1.5812590582097021E-4</v>
      </c>
      <c r="W22" s="403">
        <f t="shared" si="4"/>
        <v>4.8710573602162217E-4</v>
      </c>
      <c r="X22" s="403">
        <f t="shared" si="5"/>
        <v>2.1578444542065681E-3</v>
      </c>
      <c r="Y22" s="402">
        <f t="shared" si="6"/>
        <v>2.1578444542065681E-3</v>
      </c>
      <c r="Z22" s="404">
        <f t="shared" si="7"/>
        <v>4.3675490920743967E-4</v>
      </c>
      <c r="AA22" s="402">
        <f>U22+'Input Sheet'!R14*'Input Sheet'!$H$4</f>
        <v>1.162707934322799E-2</v>
      </c>
      <c r="AB22" s="402">
        <f t="shared" si="8"/>
        <v>3.4117016852194809E-4</v>
      </c>
      <c r="AC22" s="403">
        <f t="shared" si="9"/>
        <v>4.8710573602162217E-4</v>
      </c>
      <c r="AD22" s="403">
        <f t="shared" si="10"/>
        <v>2.1578444542065681E-3</v>
      </c>
      <c r="AE22" s="402">
        <f t="shared" si="11"/>
        <v>2.1578444542065681E-3</v>
      </c>
      <c r="AF22" s="404">
        <f t="shared" si="12"/>
        <v>2.003047275372592E-4</v>
      </c>
      <c r="AG22" s="402">
        <f t="shared" si="72"/>
        <v>1.162707934322799E-2</v>
      </c>
      <c r="AH22" s="402">
        <f t="shared" si="13"/>
        <v>3.4117016852194809E-4</v>
      </c>
      <c r="AI22" s="403">
        <f t="shared" si="73"/>
        <v>4.8710573602162217E-4</v>
      </c>
      <c r="AJ22" s="403">
        <f t="shared" si="14"/>
        <v>2.1578444542065681E-3</v>
      </c>
      <c r="AK22" s="402">
        <f t="shared" si="15"/>
        <v>2.1578444542065681E-3</v>
      </c>
      <c r="AL22" s="404">
        <f t="shared" si="99"/>
        <v>1.629917839105294E-4</v>
      </c>
      <c r="AM22" s="402">
        <f t="shared" si="74"/>
        <v>1.162707934322799E-2</v>
      </c>
      <c r="AN22" s="402">
        <f t="shared" si="75"/>
        <v>3.4117016852194809E-4</v>
      </c>
      <c r="AO22" s="403">
        <f t="shared" si="76"/>
        <v>4.8710573602162217E-4</v>
      </c>
      <c r="AP22" s="403">
        <f t="shared" si="16"/>
        <v>2.1578444542065681E-3</v>
      </c>
      <c r="AQ22" s="402">
        <f t="shared" si="17"/>
        <v>2.1578444542065681E-3</v>
      </c>
      <c r="AR22" s="404">
        <f t="shared" si="100"/>
        <v>1.611769571984932E-4</v>
      </c>
      <c r="AS22" s="402">
        <f t="shared" si="101"/>
        <v>1.162707934322799E-2</v>
      </c>
      <c r="AT22" s="402">
        <f t="shared" si="77"/>
        <v>3.4117016852194809E-4</v>
      </c>
      <c r="AU22" s="403">
        <f t="shared" si="78"/>
        <v>4.8732355115530939E-4</v>
      </c>
      <c r="AV22" s="403">
        <f t="shared" si="18"/>
        <v>2.1578444542065681E-3</v>
      </c>
      <c r="AW22" s="402">
        <f t="shared" si="19"/>
        <v>2.1578444542065681E-3</v>
      </c>
      <c r="AX22" s="404">
        <f t="shared" si="102"/>
        <v>1.4407322352402052E-4</v>
      </c>
      <c r="AY22" s="402">
        <f t="shared" si="79"/>
        <v>1.162707934322799E-2</v>
      </c>
      <c r="AZ22" s="402">
        <f t="shared" si="80"/>
        <v>3.4117016852194809E-4</v>
      </c>
      <c r="BA22" s="403">
        <f t="shared" si="81"/>
        <v>4.8732355115530939E-4</v>
      </c>
      <c r="BB22" s="403">
        <f t="shared" si="20"/>
        <v>2.1578444542065681E-3</v>
      </c>
      <c r="BC22" s="402">
        <f t="shared" si="21"/>
        <v>2.1578444542065681E-3</v>
      </c>
      <c r="BD22" s="404">
        <f t="shared" si="103"/>
        <v>1.476521473584995E-4</v>
      </c>
      <c r="BE22" s="402">
        <f t="shared" si="82"/>
        <v>1.162707934322799E-2</v>
      </c>
      <c r="BF22" s="402">
        <f t="shared" si="83"/>
        <v>3.4117016852194809E-4</v>
      </c>
      <c r="BG22" s="403">
        <f t="shared" si="84"/>
        <v>4.8732355115530939E-4</v>
      </c>
      <c r="BH22" s="403">
        <f t="shared" si="22"/>
        <v>2.1578444542065681E-3</v>
      </c>
      <c r="BI22" s="402">
        <f t="shared" si="23"/>
        <v>2.1578444542065681E-3</v>
      </c>
      <c r="BJ22" s="404">
        <f t="shared" si="104"/>
        <v>1.483562586954499E-4</v>
      </c>
      <c r="BK22" s="402">
        <f t="shared" si="85"/>
        <v>1.162707934322799E-2</v>
      </c>
      <c r="BL22" s="402">
        <f t="shared" si="86"/>
        <v>3.4117016852194809E-4</v>
      </c>
      <c r="BM22" s="403">
        <f t="shared" si="24"/>
        <v>4.0058170591026254E-4</v>
      </c>
      <c r="BN22" s="403">
        <f t="shared" si="25"/>
        <v>2.1220443188162243E-3</v>
      </c>
      <c r="BO22" s="402">
        <f t="shared" si="26"/>
        <v>3.9382560570597078E-4</v>
      </c>
      <c r="BP22" s="404">
        <f t="shared" si="27"/>
        <v>3.6164999583263876E-4</v>
      </c>
      <c r="BQ22" s="184">
        <f t="shared" si="28"/>
        <v>2.1220443188162243E-3</v>
      </c>
      <c r="BR22" s="402">
        <f t="shared" si="29"/>
        <v>6.2266558650710805E-5</v>
      </c>
      <c r="BS22" s="403">
        <f t="shared" si="30"/>
        <v>5.9993640674088546E-4</v>
      </c>
      <c r="BT22" s="403">
        <f t="shared" si="31"/>
        <v>6.2381484728493255E-3</v>
      </c>
      <c r="BU22" s="402">
        <f t="shared" si="32"/>
        <v>1.1577244542065681E-3</v>
      </c>
      <c r="BV22" s="404">
        <f t="shared" si="33"/>
        <v>1.0237782412136588E-3</v>
      </c>
      <c r="BW22" s="184">
        <f>'Input Sheet'!R14*'Input Sheet'!$H$4</f>
        <v>6.2381484728493255E-3</v>
      </c>
      <c r="BX22" s="402">
        <f t="shared" si="34"/>
        <v>1.8304426270097788E-4</v>
      </c>
      <c r="BY22" s="403">
        <f t="shared" si="35"/>
        <v>5.9993640674088546E-4</v>
      </c>
      <c r="BZ22" s="403">
        <f t="shared" si="36"/>
        <v>6.2381484728493255E-3</v>
      </c>
      <c r="CA22" s="402">
        <f t="shared" si="37"/>
        <v>1.1577244542065681E-3</v>
      </c>
      <c r="CB22" s="404">
        <f t="shared" si="38"/>
        <v>2.9155414845463641E-4</v>
      </c>
      <c r="CC22" s="402">
        <f t="shared" si="87"/>
        <v>6.2381484728493255E-3</v>
      </c>
      <c r="CD22" s="402">
        <f t="shared" si="39"/>
        <v>1.8304426270097788E-4</v>
      </c>
      <c r="CE22" s="403">
        <f t="shared" si="40"/>
        <v>5.9993640674088546E-4</v>
      </c>
      <c r="CF22" s="403">
        <f t="shared" si="41"/>
        <v>6.2381484728493255E-3</v>
      </c>
      <c r="CG22" s="402">
        <f t="shared" si="42"/>
        <v>1.1577244542065681E-3</v>
      </c>
      <c r="CH22" s="404">
        <f t="shared" si="43"/>
        <v>2.4430152204151071E-4</v>
      </c>
      <c r="CI22" s="402">
        <f t="shared" si="88"/>
        <v>6.2381484728493255E-3</v>
      </c>
      <c r="CJ22" s="402">
        <f t="shared" si="44"/>
        <v>1.8304426270097788E-4</v>
      </c>
      <c r="CK22" s="403">
        <f t="shared" si="45"/>
        <v>4.0017564116880442E-4</v>
      </c>
      <c r="CL22" s="403">
        <f t="shared" si="46"/>
        <v>3.2668865515624395E-3</v>
      </c>
      <c r="CM22" s="402">
        <f t="shared" si="47"/>
        <v>6.062943942940288E-4</v>
      </c>
      <c r="CN22" s="404">
        <f t="shared" si="48"/>
        <v>5.3249969302411628E-5</v>
      </c>
      <c r="CO22" s="184">
        <f>'Input Sheet'!M14*'Input Sheet'!$H$4</f>
        <v>3.2668865515624395E-3</v>
      </c>
      <c r="CP22" s="402">
        <f t="shared" si="49"/>
        <v>9.5859347170259383E-5</v>
      </c>
      <c r="CQ22" s="403">
        <f t="shared" si="89"/>
        <v>4.0017564116880442E-4</v>
      </c>
      <c r="CR22" s="403">
        <f t="shared" si="50"/>
        <v>6.062943942940288E-4</v>
      </c>
      <c r="CS22" s="402">
        <f t="shared" si="51"/>
        <v>6.062943942940288E-4</v>
      </c>
      <c r="CT22" s="404">
        <f t="shared" si="105"/>
        <v>4.021485797607228E-5</v>
      </c>
      <c r="CU22" s="402">
        <f t="shared" si="52"/>
        <v>3.2668865515624395E-3</v>
      </c>
      <c r="CV22" s="402">
        <f t="shared" si="90"/>
        <v>9.5859347170259383E-5</v>
      </c>
      <c r="CW22" s="403">
        <f t="shared" si="91"/>
        <v>4.0017564116880442E-4</v>
      </c>
      <c r="CX22" s="403">
        <f t="shared" si="53"/>
        <v>6.062943942940288E-4</v>
      </c>
      <c r="CY22" s="402">
        <f t="shared" si="54"/>
        <v>6.062943942940288E-4</v>
      </c>
      <c r="CZ22" s="404">
        <f t="shared" si="106"/>
        <v>3.4618467915062097E-5</v>
      </c>
      <c r="DA22" s="402">
        <f t="shared" si="55"/>
        <v>3.2668865515624395E-3</v>
      </c>
      <c r="DB22" s="402">
        <f t="shared" si="92"/>
        <v>9.5859347170259383E-5</v>
      </c>
      <c r="DC22" s="403">
        <f t="shared" si="93"/>
        <v>4.0017564116880442E-4</v>
      </c>
      <c r="DD22" s="403">
        <f t="shared" si="56"/>
        <v>6.062943942940288E-4</v>
      </c>
      <c r="DE22" s="402">
        <f t="shared" si="57"/>
        <v>6.062943942940288E-4</v>
      </c>
      <c r="DF22" s="404">
        <f t="shared" si="107"/>
        <v>3.38881697942495E-5</v>
      </c>
      <c r="DG22" s="402">
        <f t="shared" si="58"/>
        <v>3.2668865515624395E-3</v>
      </c>
      <c r="DH22" s="402">
        <f t="shared" si="94"/>
        <v>9.5859347170259383E-5</v>
      </c>
      <c r="DI22" s="403">
        <f t="shared" si="95"/>
        <v>4.0017564116880442E-4</v>
      </c>
      <c r="DJ22" s="403">
        <f t="shared" si="59"/>
        <v>6.062943942940288E-4</v>
      </c>
      <c r="DK22" s="402">
        <f t="shared" si="60"/>
        <v>6.062943942940288E-4</v>
      </c>
      <c r="DL22" s="404">
        <f t="shared" si="108"/>
        <v>3.4009328785290788E-5</v>
      </c>
      <c r="DM22" s="402">
        <f t="shared" si="61"/>
        <v>3.2668865515624395E-3</v>
      </c>
      <c r="DN22" s="402">
        <f t="shared" si="96"/>
        <v>9.5859347170259383E-5</v>
      </c>
    </row>
    <row r="23" spans="2:118" x14ac:dyDescent="0.35">
      <c r="B23" s="401">
        <v>6</v>
      </c>
      <c r="C23" s="178" t="str">
        <f>VLOOKUP(B23,'Input Sheet'!C$9:E$126,2,FALSE)</f>
        <v>Water (H2O)</v>
      </c>
      <c r="D23" s="396">
        <f>VLOOKUP(B23,'Input Sheet'!C$9:E$126,3,FALSE)</f>
        <v>18.02</v>
      </c>
      <c r="E23" s="403">
        <f t="shared" si="62"/>
        <v>0.12698476182858062</v>
      </c>
      <c r="F23" s="403">
        <f t="shared" si="63"/>
        <v>0.90458510105668144</v>
      </c>
      <c r="G23" s="402">
        <f t="shared" si="64"/>
        <v>0.31750000000000006</v>
      </c>
      <c r="H23" s="402">
        <f t="shared" si="65"/>
        <v>5.9686384036289945E-2</v>
      </c>
      <c r="I23" s="402">
        <f>'Input Sheet'!H15*'Input Sheet'!$H$4</f>
        <v>0.90458510105668144</v>
      </c>
      <c r="J23" s="402">
        <f t="shared" si="0"/>
        <v>5.0198951224011183E-2</v>
      </c>
      <c r="K23" s="403">
        <f t="shared" si="66"/>
        <v>0.12699060263444961</v>
      </c>
      <c r="L23" s="403">
        <f t="shared" si="1"/>
        <v>0.90458510105668144</v>
      </c>
      <c r="M23" s="402">
        <f t="shared" si="67"/>
        <v>0.31750000000000006</v>
      </c>
      <c r="N23" s="403">
        <f t="shared" si="97"/>
        <v>6.1222713097713106E-2</v>
      </c>
      <c r="O23" s="402">
        <f>'Input Sheet'!V15*'Input Sheet'!$H$4</f>
        <v>0.90458510105668144</v>
      </c>
      <c r="P23" s="402">
        <f t="shared" si="68"/>
        <v>5.0198951224011183E-2</v>
      </c>
      <c r="Q23" s="403">
        <f t="shared" si="69"/>
        <v>0.12699060263444961</v>
      </c>
      <c r="R23" s="403">
        <f t="shared" si="2"/>
        <v>0.31750000000000006</v>
      </c>
      <c r="S23" s="402">
        <f t="shared" si="70"/>
        <v>0.31750000000000006</v>
      </c>
      <c r="T23" s="404">
        <f t="shared" si="98"/>
        <v>6.1619233260263064E-2</v>
      </c>
      <c r="U23" s="402">
        <f t="shared" si="3"/>
        <v>0.90458510105668144</v>
      </c>
      <c r="V23" s="402">
        <f t="shared" si="71"/>
        <v>5.0198951224011183E-2</v>
      </c>
      <c r="W23" s="403">
        <f t="shared" si="4"/>
        <v>0.10216139383959937</v>
      </c>
      <c r="X23" s="403">
        <f t="shared" si="5"/>
        <v>0.45256785299076635</v>
      </c>
      <c r="Y23" s="402">
        <f t="shared" si="6"/>
        <v>0.45256785299076635</v>
      </c>
      <c r="Z23" s="404">
        <f t="shared" si="7"/>
        <v>9.1601241765995309E-2</v>
      </c>
      <c r="AA23" s="402">
        <f>U23+'Input Sheet'!R15*'Input Sheet'!$H$4</f>
        <v>1.2894051560083706</v>
      </c>
      <c r="AB23" s="402">
        <f t="shared" si="8"/>
        <v>7.1554115205791927E-2</v>
      </c>
      <c r="AC23" s="403">
        <f t="shared" si="9"/>
        <v>0.10216139383959937</v>
      </c>
      <c r="AD23" s="403">
        <f t="shared" si="10"/>
        <v>0.45256785299076635</v>
      </c>
      <c r="AE23" s="402">
        <f t="shared" si="11"/>
        <v>0.45256785299076635</v>
      </c>
      <c r="AF23" s="404">
        <f t="shared" si="12"/>
        <v>4.2010201573481842E-2</v>
      </c>
      <c r="AG23" s="402">
        <f t="shared" si="72"/>
        <v>1.2894051560083706</v>
      </c>
      <c r="AH23" s="402">
        <f t="shared" si="13"/>
        <v>7.1554115205791927E-2</v>
      </c>
      <c r="AI23" s="403">
        <f t="shared" si="73"/>
        <v>0.10216139383959937</v>
      </c>
      <c r="AJ23" s="403">
        <f t="shared" si="14"/>
        <v>0.45256785299076635</v>
      </c>
      <c r="AK23" s="402">
        <f t="shared" si="15"/>
        <v>0.45256785299076635</v>
      </c>
      <c r="AL23" s="404">
        <f t="shared" si="99"/>
        <v>3.4184503686409733E-2</v>
      </c>
      <c r="AM23" s="402">
        <f t="shared" si="74"/>
        <v>1.2894051560083706</v>
      </c>
      <c r="AN23" s="402">
        <f t="shared" si="75"/>
        <v>7.1554115205791927E-2</v>
      </c>
      <c r="AO23" s="403">
        <f t="shared" si="76"/>
        <v>0.10216139383959937</v>
      </c>
      <c r="AP23" s="403">
        <f t="shared" si="16"/>
        <v>0.45256785299076635</v>
      </c>
      <c r="AQ23" s="402">
        <f t="shared" si="17"/>
        <v>0.45256785299076635</v>
      </c>
      <c r="AR23" s="404">
        <f t="shared" si="100"/>
        <v>3.3803877442930785E-2</v>
      </c>
      <c r="AS23" s="402">
        <f>AM23</f>
        <v>1.2894051560083706</v>
      </c>
      <c r="AT23" s="402">
        <f t="shared" si="77"/>
        <v>7.1554115205791927E-2</v>
      </c>
      <c r="AU23" s="403">
        <f t="shared" si="78"/>
        <v>5.749088503223726E-2</v>
      </c>
      <c r="AV23" s="403">
        <f t="shared" si="18"/>
        <v>0.25456678040726161</v>
      </c>
      <c r="AW23" s="402">
        <f t="shared" si="19"/>
        <v>0.25456678040726161</v>
      </c>
      <c r="AX23" s="404">
        <f t="shared" si="102"/>
        <v>1.6996710112217695E-2</v>
      </c>
      <c r="AY23" s="402">
        <v>0.72528288749724956</v>
      </c>
      <c r="AZ23" s="402">
        <f t="shared" si="80"/>
        <v>4.024877289107933E-2</v>
      </c>
      <c r="BA23" s="403">
        <f t="shared" si="81"/>
        <v>5.749088503223726E-2</v>
      </c>
      <c r="BB23" s="403">
        <f t="shared" si="20"/>
        <v>0.25456678040726161</v>
      </c>
      <c r="BC23" s="402">
        <f t="shared" si="21"/>
        <v>0.25456678040726161</v>
      </c>
      <c r="BD23" s="404">
        <f t="shared" si="103"/>
        <v>1.7418925492983465E-2</v>
      </c>
      <c r="BE23" s="402">
        <f t="shared" si="82"/>
        <v>0.72528288749724956</v>
      </c>
      <c r="BF23" s="402">
        <f t="shared" si="83"/>
        <v>4.024877289107933E-2</v>
      </c>
      <c r="BG23" s="403">
        <f t="shared" si="84"/>
        <v>5.749088503223726E-2</v>
      </c>
      <c r="BH23" s="403">
        <f t="shared" si="22"/>
        <v>0.25456678040726161</v>
      </c>
      <c r="BI23" s="402">
        <f t="shared" si="23"/>
        <v>0.25456678040726161</v>
      </c>
      <c r="BJ23" s="404">
        <f t="shared" si="104"/>
        <v>1.7501991422849861E-2</v>
      </c>
      <c r="BK23" s="402">
        <f t="shared" si="85"/>
        <v>0.72528288749724956</v>
      </c>
      <c r="BL23" s="402">
        <f t="shared" si="86"/>
        <v>4.024877289107933E-2</v>
      </c>
      <c r="BM23" s="403">
        <f t="shared" si="24"/>
        <v>9.8577034210133266E-2</v>
      </c>
      <c r="BN23" s="403">
        <f t="shared" si="25"/>
        <v>0.27611772505425969</v>
      </c>
      <c r="BO23" s="402">
        <f t="shared" si="26"/>
        <v>9.6914461229042737E-2</v>
      </c>
      <c r="BP23" s="404">
        <f t="shared" si="27"/>
        <v>8.8996535501486215E-2</v>
      </c>
      <c r="BQ23" s="184">
        <f t="shared" si="28"/>
        <v>0.27611772505425969</v>
      </c>
      <c r="BR23" s="402">
        <f t="shared" si="29"/>
        <v>1.532284822720642E-2</v>
      </c>
      <c r="BS23" s="403">
        <f t="shared" si="30"/>
        <v>6.9992580786436637E-2</v>
      </c>
      <c r="BT23" s="403">
        <f t="shared" si="31"/>
        <v>0.38482005495168914</v>
      </c>
      <c r="BU23" s="402">
        <f t="shared" si="32"/>
        <v>0.13506785299076629</v>
      </c>
      <c r="BV23" s="404">
        <f t="shared" si="33"/>
        <v>0.1194407948082602</v>
      </c>
      <c r="BW23" s="184">
        <f>'Input Sheet'!R15*'Input Sheet'!$H$4</f>
        <v>0.38482005495168914</v>
      </c>
      <c r="BX23" s="402">
        <f t="shared" si="34"/>
        <v>2.135516398178075E-2</v>
      </c>
      <c r="BY23" s="403">
        <f t="shared" si="35"/>
        <v>6.9992580786436637E-2</v>
      </c>
      <c r="BZ23" s="403">
        <f t="shared" si="36"/>
        <v>0.38482005495168914</v>
      </c>
      <c r="CA23" s="402">
        <f t="shared" si="37"/>
        <v>0.13506785299076629</v>
      </c>
      <c r="CB23" s="404">
        <f t="shared" si="38"/>
        <v>3.4014650653040913E-2</v>
      </c>
      <c r="CC23" s="402">
        <f t="shared" si="87"/>
        <v>0.38482005495168914</v>
      </c>
      <c r="CD23" s="402">
        <f t="shared" si="39"/>
        <v>2.135516398178075E-2</v>
      </c>
      <c r="CE23" s="403">
        <f t="shared" si="40"/>
        <v>6.9992580786436637E-2</v>
      </c>
      <c r="CF23" s="403">
        <f t="shared" si="41"/>
        <v>0.38482005495168914</v>
      </c>
      <c r="CG23" s="402">
        <f t="shared" si="42"/>
        <v>0.13506785299076629</v>
      </c>
      <c r="CH23" s="404">
        <f t="shared" si="43"/>
        <v>2.8501844238176255E-2</v>
      </c>
      <c r="CI23" s="402">
        <f t="shared" si="88"/>
        <v>0.38482005495168914</v>
      </c>
      <c r="CJ23" s="402">
        <f t="shared" si="44"/>
        <v>2.135516398178075E-2</v>
      </c>
      <c r="CK23" s="403">
        <f t="shared" si="45"/>
        <v>1.4906542633537965E-2</v>
      </c>
      <c r="CL23" s="403">
        <f t="shared" si="46"/>
        <v>6.4345107491300763E-2</v>
      </c>
      <c r="CM23" s="402">
        <f t="shared" si="47"/>
        <v>2.2584466187452575E-2</v>
      </c>
      <c r="CN23" s="404">
        <f t="shared" si="48"/>
        <v>1.9835613565148333E-3</v>
      </c>
      <c r="CO23" s="184">
        <f>'Input Sheet'!M15*'Input Sheet'!$H$4</f>
        <v>6.4345107491300763E-2</v>
      </c>
      <c r="CP23" s="402">
        <f t="shared" si="49"/>
        <v>3.5707606820921623E-3</v>
      </c>
      <c r="CQ23" s="403">
        <f t="shared" si="89"/>
        <v>1.4906542633537965E-2</v>
      </c>
      <c r="CR23" s="403">
        <f t="shared" si="50"/>
        <v>2.2584466187452575E-2</v>
      </c>
      <c r="CS23" s="402">
        <f t="shared" si="51"/>
        <v>2.2584466187452575E-2</v>
      </c>
      <c r="CT23" s="404">
        <f t="shared" si="105"/>
        <v>1.4980034596086926E-3</v>
      </c>
      <c r="CU23" s="402">
        <f t="shared" si="52"/>
        <v>6.4345107491300763E-2</v>
      </c>
      <c r="CV23" s="402">
        <f t="shared" si="90"/>
        <v>3.5707606820921623E-3</v>
      </c>
      <c r="CW23" s="403">
        <f t="shared" si="91"/>
        <v>1.4906542633537965E-2</v>
      </c>
      <c r="CX23" s="403">
        <f t="shared" si="53"/>
        <v>2.2584466187452575E-2</v>
      </c>
      <c r="CY23" s="402">
        <f t="shared" si="54"/>
        <v>2.2584466187452575E-2</v>
      </c>
      <c r="CZ23" s="404">
        <f t="shared" si="106"/>
        <v>1.2895379298360635E-3</v>
      </c>
      <c r="DA23" s="402">
        <f t="shared" si="55"/>
        <v>6.4345107491300763E-2</v>
      </c>
      <c r="DB23" s="402">
        <f t="shared" si="92"/>
        <v>3.5707606820921623E-3</v>
      </c>
      <c r="DC23" s="403">
        <f t="shared" si="93"/>
        <v>1.4906542633537965E-2</v>
      </c>
      <c r="DD23" s="403">
        <f t="shared" si="56"/>
        <v>2.2584466187452575E-2</v>
      </c>
      <c r="DE23" s="402">
        <f t="shared" si="57"/>
        <v>2.2584466187452575E-2</v>
      </c>
      <c r="DF23" s="404">
        <f t="shared" si="107"/>
        <v>1.2623343248357938E-3</v>
      </c>
      <c r="DG23" s="402">
        <f t="shared" si="58"/>
        <v>6.4345107491300763E-2</v>
      </c>
      <c r="DH23" s="402">
        <f t="shared" si="94"/>
        <v>3.5707606820921623E-3</v>
      </c>
      <c r="DI23" s="403">
        <f t="shared" si="95"/>
        <v>1.4906542633537965E-2</v>
      </c>
      <c r="DJ23" s="403">
        <f t="shared" si="59"/>
        <v>2.2584466187452575E-2</v>
      </c>
      <c r="DK23" s="402">
        <f t="shared" si="60"/>
        <v>2.2584466187452575E-2</v>
      </c>
      <c r="DL23" s="404">
        <f t="shared" si="108"/>
        <v>1.2668474972520822E-3</v>
      </c>
      <c r="DM23" s="402">
        <f t="shared" si="61"/>
        <v>6.4345107491300763E-2</v>
      </c>
      <c r="DN23" s="402">
        <f t="shared" si="96"/>
        <v>3.5707606820921623E-3</v>
      </c>
    </row>
    <row r="24" spans="2:118" x14ac:dyDescent="0.35">
      <c r="B24" s="401">
        <v>7</v>
      </c>
      <c r="C24" s="178" t="str">
        <f>VLOOKUP(B24,'Input Sheet'!C$9:E$126,2,FALSE)</f>
        <v>Hydrogen (H2)</v>
      </c>
      <c r="D24" s="396">
        <f>VLOOKUP(B24,'Input Sheet'!C$9:E$126,3,FALSE)</f>
        <v>2</v>
      </c>
      <c r="E24" s="403">
        <f t="shared" si="62"/>
        <v>0</v>
      </c>
      <c r="F24" s="403">
        <f t="shared" si="63"/>
        <v>0</v>
      </c>
      <c r="G24" s="402">
        <f t="shared" si="64"/>
        <v>0</v>
      </c>
      <c r="H24" s="402">
        <f t="shared" si="65"/>
        <v>0</v>
      </c>
      <c r="I24" s="402">
        <f>'Input Sheet'!H16*'Input Sheet'!$H$4</f>
        <v>0</v>
      </c>
      <c r="J24" s="402">
        <f t="shared" si="0"/>
        <v>0</v>
      </c>
      <c r="K24" s="403">
        <f t="shared" si="66"/>
        <v>0</v>
      </c>
      <c r="L24" s="403">
        <f t="shared" si="1"/>
        <v>0</v>
      </c>
      <c r="M24" s="402">
        <f t="shared" si="67"/>
        <v>0</v>
      </c>
      <c r="N24" s="403">
        <f t="shared" si="97"/>
        <v>0</v>
      </c>
      <c r="O24" s="402">
        <f>'Input Sheet'!V16*'Input Sheet'!$H$4</f>
        <v>0</v>
      </c>
      <c r="P24" s="402">
        <f t="shared" si="68"/>
        <v>0</v>
      </c>
      <c r="Q24" s="403">
        <f t="shared" si="69"/>
        <v>0</v>
      </c>
      <c r="R24" s="403">
        <f t="shared" si="2"/>
        <v>0</v>
      </c>
      <c r="S24" s="402">
        <f t="shared" si="70"/>
        <v>0</v>
      </c>
      <c r="T24" s="404">
        <f t="shared" si="98"/>
        <v>0</v>
      </c>
      <c r="U24" s="402">
        <f t="shared" si="3"/>
        <v>0</v>
      </c>
      <c r="V24" s="402">
        <f t="shared" si="71"/>
        <v>0</v>
      </c>
      <c r="W24" s="403">
        <f t="shared" si="4"/>
        <v>0</v>
      </c>
      <c r="X24" s="403">
        <f t="shared" si="5"/>
        <v>0</v>
      </c>
      <c r="Y24" s="402">
        <f t="shared" si="6"/>
        <v>0</v>
      </c>
      <c r="Z24" s="404">
        <f t="shared" si="7"/>
        <v>0</v>
      </c>
      <c r="AA24" s="402">
        <f>U24+'Input Sheet'!R16*'Input Sheet'!$H$4</f>
        <v>0</v>
      </c>
      <c r="AB24" s="402">
        <f t="shared" si="8"/>
        <v>0</v>
      </c>
      <c r="AC24" s="403">
        <f t="shared" si="9"/>
        <v>0</v>
      </c>
      <c r="AD24" s="403">
        <f t="shared" si="10"/>
        <v>0</v>
      </c>
      <c r="AE24" s="402">
        <f t="shared" si="11"/>
        <v>0</v>
      </c>
      <c r="AF24" s="404">
        <f t="shared" si="12"/>
        <v>0</v>
      </c>
      <c r="AG24" s="402">
        <f t="shared" si="72"/>
        <v>0</v>
      </c>
      <c r="AH24" s="402">
        <f t="shared" si="13"/>
        <v>0</v>
      </c>
      <c r="AI24" s="403">
        <f t="shared" si="73"/>
        <v>0</v>
      </c>
      <c r="AJ24" s="403">
        <f t="shared" si="14"/>
        <v>0</v>
      </c>
      <c r="AK24" s="402">
        <f t="shared" si="15"/>
        <v>0</v>
      </c>
      <c r="AL24" s="404">
        <f t="shared" si="99"/>
        <v>0</v>
      </c>
      <c r="AM24" s="402">
        <f t="shared" si="74"/>
        <v>0</v>
      </c>
      <c r="AN24" s="402">
        <f t="shared" si="75"/>
        <v>0</v>
      </c>
      <c r="AO24" s="403">
        <f t="shared" si="76"/>
        <v>0</v>
      </c>
      <c r="AP24" s="403">
        <f t="shared" si="16"/>
        <v>0</v>
      </c>
      <c r="AQ24" s="402">
        <f t="shared" si="17"/>
        <v>0</v>
      </c>
      <c r="AR24" s="404">
        <f t="shared" si="100"/>
        <v>0</v>
      </c>
      <c r="AS24" s="402">
        <f t="shared" si="101"/>
        <v>0</v>
      </c>
      <c r="AT24" s="402">
        <f t="shared" si="77"/>
        <v>0</v>
      </c>
      <c r="AU24" s="403">
        <f t="shared" si="78"/>
        <v>0</v>
      </c>
      <c r="AV24" s="403">
        <f t="shared" si="18"/>
        <v>0</v>
      </c>
      <c r="AW24" s="402">
        <f t="shared" si="19"/>
        <v>0</v>
      </c>
      <c r="AX24" s="404">
        <f t="shared" si="102"/>
        <v>0</v>
      </c>
      <c r="AY24" s="402">
        <f t="shared" si="79"/>
        <v>0</v>
      </c>
      <c r="AZ24" s="402">
        <f t="shared" si="80"/>
        <v>0</v>
      </c>
      <c r="BA24" s="403">
        <f t="shared" si="81"/>
        <v>0</v>
      </c>
      <c r="BB24" s="403">
        <f t="shared" si="20"/>
        <v>0</v>
      </c>
      <c r="BC24" s="402">
        <f t="shared" si="21"/>
        <v>0</v>
      </c>
      <c r="BD24" s="404">
        <f t="shared" si="103"/>
        <v>0</v>
      </c>
      <c r="BE24" s="402">
        <f t="shared" si="82"/>
        <v>0</v>
      </c>
      <c r="BF24" s="402">
        <f t="shared" si="83"/>
        <v>0</v>
      </c>
      <c r="BG24" s="403">
        <f t="shared" si="84"/>
        <v>0</v>
      </c>
      <c r="BH24" s="403">
        <f t="shared" si="22"/>
        <v>0</v>
      </c>
      <c r="BI24" s="402">
        <f t="shared" si="23"/>
        <v>0</v>
      </c>
      <c r="BJ24" s="404">
        <f t="shared" si="104"/>
        <v>0</v>
      </c>
      <c r="BK24" s="402">
        <f t="shared" si="85"/>
        <v>0</v>
      </c>
      <c r="BL24" s="402">
        <f t="shared" si="86"/>
        <v>0</v>
      </c>
      <c r="BM24" s="403">
        <f t="shared" si="24"/>
        <v>0</v>
      </c>
      <c r="BN24" s="403">
        <f t="shared" si="25"/>
        <v>0</v>
      </c>
      <c r="BO24" s="402">
        <f t="shared" si="26"/>
        <v>0</v>
      </c>
      <c r="BP24" s="404">
        <f t="shared" si="27"/>
        <v>0</v>
      </c>
      <c r="BQ24" s="184">
        <f t="shared" si="28"/>
        <v>0</v>
      </c>
      <c r="BR24" s="402">
        <f t="shared" si="29"/>
        <v>0</v>
      </c>
      <c r="BS24" s="403">
        <f t="shared" si="30"/>
        <v>0</v>
      </c>
      <c r="BT24" s="403">
        <f t="shared" si="31"/>
        <v>0</v>
      </c>
      <c r="BU24" s="402">
        <f t="shared" si="32"/>
        <v>0</v>
      </c>
      <c r="BV24" s="404">
        <f t="shared" si="33"/>
        <v>0</v>
      </c>
      <c r="BW24" s="184">
        <f>'Input Sheet'!R16*'Input Sheet'!$H$4</f>
        <v>0</v>
      </c>
      <c r="BX24" s="402">
        <f t="shared" si="34"/>
        <v>0</v>
      </c>
      <c r="BY24" s="403">
        <f t="shared" si="35"/>
        <v>0</v>
      </c>
      <c r="BZ24" s="403">
        <f t="shared" si="36"/>
        <v>0</v>
      </c>
      <c r="CA24" s="402">
        <f t="shared" si="37"/>
        <v>0</v>
      </c>
      <c r="CB24" s="404">
        <f t="shared" si="38"/>
        <v>0</v>
      </c>
      <c r="CC24" s="402">
        <f t="shared" si="87"/>
        <v>0</v>
      </c>
      <c r="CD24" s="402">
        <f t="shared" si="39"/>
        <v>0</v>
      </c>
      <c r="CE24" s="403">
        <f t="shared" si="40"/>
        <v>0</v>
      </c>
      <c r="CF24" s="403">
        <f t="shared" si="41"/>
        <v>0</v>
      </c>
      <c r="CG24" s="402">
        <f t="shared" si="42"/>
        <v>0</v>
      </c>
      <c r="CH24" s="404">
        <f t="shared" si="43"/>
        <v>0</v>
      </c>
      <c r="CI24" s="402">
        <f t="shared" si="88"/>
        <v>0</v>
      </c>
      <c r="CJ24" s="402">
        <f t="shared" si="44"/>
        <v>0</v>
      </c>
      <c r="CK24" s="403">
        <f t="shared" si="45"/>
        <v>0</v>
      </c>
      <c r="CL24" s="403">
        <f t="shared" si="46"/>
        <v>0</v>
      </c>
      <c r="CM24" s="402">
        <f t="shared" si="47"/>
        <v>0</v>
      </c>
      <c r="CN24" s="404">
        <f t="shared" si="48"/>
        <v>0</v>
      </c>
      <c r="CO24" s="184">
        <f>'Input Sheet'!M16*'Input Sheet'!$H$4</f>
        <v>0</v>
      </c>
      <c r="CP24" s="402">
        <f t="shared" si="49"/>
        <v>0</v>
      </c>
      <c r="CQ24" s="403">
        <f t="shared" si="89"/>
        <v>0</v>
      </c>
      <c r="CR24" s="403">
        <f t="shared" si="50"/>
        <v>0</v>
      </c>
      <c r="CS24" s="402">
        <f t="shared" si="51"/>
        <v>0</v>
      </c>
      <c r="CT24" s="404">
        <f t="shared" si="105"/>
        <v>0</v>
      </c>
      <c r="CU24" s="402">
        <f t="shared" si="52"/>
        <v>0</v>
      </c>
      <c r="CV24" s="402">
        <f t="shared" si="90"/>
        <v>0</v>
      </c>
      <c r="CW24" s="403">
        <f t="shared" si="91"/>
        <v>0</v>
      </c>
      <c r="CX24" s="403">
        <f t="shared" si="53"/>
        <v>0</v>
      </c>
      <c r="CY24" s="402">
        <f t="shared" si="54"/>
        <v>0</v>
      </c>
      <c r="CZ24" s="404">
        <f t="shared" si="106"/>
        <v>0</v>
      </c>
      <c r="DA24" s="402">
        <f t="shared" si="55"/>
        <v>0</v>
      </c>
      <c r="DB24" s="402">
        <f t="shared" si="92"/>
        <v>0</v>
      </c>
      <c r="DC24" s="403">
        <f t="shared" si="93"/>
        <v>0</v>
      </c>
      <c r="DD24" s="403">
        <f t="shared" si="56"/>
        <v>0</v>
      </c>
      <c r="DE24" s="402">
        <f t="shared" si="57"/>
        <v>0</v>
      </c>
      <c r="DF24" s="404">
        <f t="shared" si="107"/>
        <v>0</v>
      </c>
      <c r="DG24" s="402">
        <f t="shared" si="58"/>
        <v>0</v>
      </c>
      <c r="DH24" s="402">
        <f t="shared" si="94"/>
        <v>0</v>
      </c>
      <c r="DI24" s="403">
        <f t="shared" si="95"/>
        <v>0</v>
      </c>
      <c r="DJ24" s="403">
        <f t="shared" si="59"/>
        <v>0</v>
      </c>
      <c r="DK24" s="402">
        <f t="shared" si="60"/>
        <v>0</v>
      </c>
      <c r="DL24" s="404">
        <f t="shared" si="108"/>
        <v>0</v>
      </c>
      <c r="DM24" s="402">
        <f t="shared" si="61"/>
        <v>0</v>
      </c>
      <c r="DN24" s="402">
        <f t="shared" si="96"/>
        <v>0</v>
      </c>
    </row>
    <row r="25" spans="2:118" x14ac:dyDescent="0.35">
      <c r="B25" s="400"/>
      <c r="C25" s="178"/>
      <c r="D25" s="396"/>
      <c r="E25" s="186"/>
      <c r="F25" s="186"/>
      <c r="G25" s="402"/>
      <c r="H25" s="404"/>
      <c r="I25" s="402"/>
      <c r="J25" s="402"/>
      <c r="K25" s="186"/>
      <c r="L25" s="186"/>
      <c r="M25" s="402"/>
      <c r="N25" s="404"/>
      <c r="O25" s="402"/>
      <c r="P25" s="402"/>
      <c r="Q25" s="186"/>
      <c r="R25" s="186"/>
      <c r="S25" s="402"/>
      <c r="T25" s="404"/>
      <c r="U25" s="402"/>
      <c r="V25" s="402"/>
      <c r="W25" s="186"/>
      <c r="X25" s="186"/>
      <c r="Y25" s="402"/>
      <c r="Z25" s="404"/>
      <c r="AA25" s="402"/>
      <c r="AB25" s="402"/>
      <c r="AC25" s="186"/>
      <c r="AD25" s="186"/>
      <c r="AE25" s="402"/>
      <c r="AF25" s="404"/>
      <c r="AG25" s="402"/>
      <c r="AH25" s="402"/>
      <c r="AI25" s="186"/>
      <c r="AJ25" s="186"/>
      <c r="AK25" s="402"/>
      <c r="AL25" s="404"/>
      <c r="AM25" s="402"/>
      <c r="AN25" s="402"/>
      <c r="AO25" s="186"/>
      <c r="AP25" s="186"/>
      <c r="AQ25" s="402"/>
      <c r="AR25" s="404"/>
      <c r="AS25" s="402"/>
      <c r="AT25" s="402"/>
      <c r="AU25" s="186"/>
      <c r="AV25" s="186"/>
      <c r="AW25" s="402"/>
      <c r="AX25" s="404"/>
      <c r="AY25" s="402"/>
      <c r="AZ25" s="402"/>
      <c r="BA25" s="186"/>
      <c r="BB25" s="186"/>
      <c r="BC25" s="402"/>
      <c r="BD25" s="404"/>
      <c r="BE25" s="402"/>
      <c r="BF25" s="402"/>
      <c r="BG25" s="186"/>
      <c r="BH25" s="186"/>
      <c r="BI25" s="402"/>
      <c r="BJ25" s="404"/>
      <c r="BK25" s="402"/>
      <c r="BL25" s="402"/>
      <c r="BM25" s="186"/>
      <c r="BN25" s="186"/>
      <c r="BO25" s="402"/>
      <c r="BP25" s="404"/>
      <c r="BQ25" s="402"/>
      <c r="BR25" s="402"/>
      <c r="BS25" s="186"/>
      <c r="BT25" s="186"/>
      <c r="BU25" s="402"/>
      <c r="BV25" s="404"/>
      <c r="BW25" s="402"/>
      <c r="BX25" s="402"/>
      <c r="BY25" s="186"/>
      <c r="BZ25" s="186"/>
      <c r="CA25" s="402"/>
      <c r="CB25" s="404"/>
      <c r="CC25" s="402"/>
      <c r="CD25" s="402"/>
      <c r="CE25" s="186"/>
      <c r="CF25" s="186"/>
      <c r="CG25" s="402"/>
      <c r="CH25" s="404"/>
      <c r="CI25" s="402"/>
      <c r="CJ25" s="402"/>
      <c r="CK25" s="186"/>
      <c r="CL25" s="186"/>
      <c r="CM25" s="402"/>
      <c r="CN25" s="404"/>
      <c r="CO25" s="402"/>
      <c r="CP25" s="402"/>
      <c r="CQ25" s="186"/>
      <c r="CR25" s="186"/>
      <c r="CS25" s="402"/>
      <c r="CT25" s="404"/>
      <c r="CU25" s="402"/>
      <c r="CV25" s="402"/>
      <c r="CW25" s="186"/>
      <c r="CX25" s="186"/>
      <c r="CY25" s="402"/>
      <c r="CZ25" s="404"/>
      <c r="DA25" s="402"/>
      <c r="DB25" s="402"/>
      <c r="DC25" s="186"/>
      <c r="DD25" s="186"/>
      <c r="DE25" s="402"/>
      <c r="DF25" s="404"/>
      <c r="DG25" s="402"/>
      <c r="DH25" s="402"/>
      <c r="DI25" s="186"/>
      <c r="DJ25" s="186"/>
      <c r="DK25" s="402"/>
      <c r="DL25" s="404"/>
      <c r="DM25" s="402"/>
      <c r="DN25" s="402"/>
    </row>
    <row r="26" spans="2:118" x14ac:dyDescent="0.35">
      <c r="B26" s="400"/>
      <c r="C26" s="178" t="s">
        <v>503</v>
      </c>
      <c r="D26" s="396"/>
      <c r="E26" s="186"/>
      <c r="F26" s="186"/>
      <c r="G26" s="402"/>
      <c r="H26" s="404"/>
      <c r="I26" s="402"/>
      <c r="J26" s="402"/>
      <c r="K26" s="186"/>
      <c r="L26" s="186"/>
      <c r="M26" s="402"/>
      <c r="N26" s="404"/>
      <c r="O26" s="402"/>
      <c r="P26" s="402"/>
      <c r="Q26" s="186"/>
      <c r="R26" s="186"/>
      <c r="S26" s="402"/>
      <c r="T26" s="404"/>
      <c r="U26" s="402"/>
      <c r="V26" s="402"/>
      <c r="W26" s="186"/>
      <c r="X26" s="186"/>
      <c r="Y26" s="402"/>
      <c r="Z26" s="404"/>
      <c r="AA26" s="402"/>
      <c r="AB26" s="402"/>
      <c r="AC26" s="186"/>
      <c r="AD26" s="186"/>
      <c r="AE26" s="402"/>
      <c r="AF26" s="404"/>
      <c r="AG26" s="402"/>
      <c r="AH26" s="402"/>
      <c r="AI26" s="186"/>
      <c r="AJ26" s="186"/>
      <c r="AK26" s="402"/>
      <c r="AL26" s="404"/>
      <c r="AM26" s="402"/>
      <c r="AN26" s="402"/>
      <c r="AO26" s="186"/>
      <c r="AP26" s="186"/>
      <c r="AQ26" s="402"/>
      <c r="AR26" s="404"/>
      <c r="AS26" s="402"/>
      <c r="AT26" s="402"/>
      <c r="AU26" s="186"/>
      <c r="AV26" s="186"/>
      <c r="AW26" s="402"/>
      <c r="AX26" s="404"/>
      <c r="AY26" s="402"/>
      <c r="AZ26" s="402"/>
      <c r="BA26" s="186"/>
      <c r="BB26" s="186"/>
      <c r="BC26" s="402"/>
      <c r="BD26" s="404"/>
      <c r="BE26" s="402"/>
      <c r="BF26" s="402"/>
      <c r="BG26" s="186"/>
      <c r="BH26" s="186"/>
      <c r="BI26" s="402"/>
      <c r="BJ26" s="404"/>
      <c r="BK26" s="402"/>
      <c r="BL26" s="402"/>
      <c r="BM26" s="186"/>
      <c r="BN26" s="186"/>
      <c r="BO26" s="402"/>
      <c r="BP26" s="404"/>
      <c r="BQ26" s="402"/>
      <c r="BR26" s="402"/>
      <c r="BS26" s="186"/>
      <c r="BT26" s="186"/>
      <c r="BU26" s="402"/>
      <c r="BV26" s="404"/>
      <c r="BW26" s="402"/>
      <c r="BX26" s="402"/>
      <c r="BY26" s="186"/>
      <c r="BZ26" s="186"/>
      <c r="CA26" s="402"/>
      <c r="CB26" s="404"/>
      <c r="CC26" s="402"/>
      <c r="CD26" s="402"/>
      <c r="CE26" s="186"/>
      <c r="CF26" s="186"/>
      <c r="CG26" s="402"/>
      <c r="CH26" s="404"/>
      <c r="CI26" s="402"/>
      <c r="CJ26" s="402"/>
      <c r="CK26" s="186"/>
      <c r="CL26" s="186"/>
      <c r="CM26" s="402"/>
      <c r="CN26" s="404"/>
      <c r="CO26" s="402"/>
      <c r="CP26" s="402"/>
      <c r="CQ26" s="186"/>
      <c r="CR26" s="186"/>
      <c r="CS26" s="402"/>
      <c r="CT26" s="404"/>
      <c r="CU26" s="402"/>
      <c r="CV26" s="402"/>
      <c r="CW26" s="186"/>
      <c r="CX26" s="186"/>
      <c r="CY26" s="402"/>
      <c r="CZ26" s="404"/>
      <c r="DA26" s="402"/>
      <c r="DB26" s="402"/>
      <c r="DC26" s="186"/>
      <c r="DD26" s="186"/>
      <c r="DE26" s="402"/>
      <c r="DF26" s="404"/>
      <c r="DG26" s="402"/>
      <c r="DH26" s="402"/>
      <c r="DI26" s="186"/>
      <c r="DJ26" s="186"/>
      <c r="DK26" s="402"/>
      <c r="DL26" s="404"/>
      <c r="DM26" s="402"/>
      <c r="DN26" s="402"/>
    </row>
    <row r="27" spans="2:118" x14ac:dyDescent="0.35">
      <c r="B27" s="400"/>
      <c r="C27" s="187" t="s">
        <v>61</v>
      </c>
      <c r="D27" s="396"/>
      <c r="E27" s="396"/>
      <c r="F27" s="396"/>
      <c r="G27" s="402"/>
      <c r="H27" s="404"/>
      <c r="I27" s="402"/>
      <c r="J27" s="402"/>
      <c r="K27" s="396"/>
      <c r="L27" s="396"/>
      <c r="M27" s="402"/>
      <c r="N27" s="404"/>
      <c r="O27" s="402"/>
      <c r="P27" s="402"/>
      <c r="Q27" s="396"/>
      <c r="R27" s="396"/>
      <c r="S27" s="402"/>
      <c r="T27" s="404"/>
      <c r="U27" s="402"/>
      <c r="V27" s="402"/>
      <c r="W27" s="396"/>
      <c r="X27" s="396"/>
      <c r="Y27" s="402"/>
      <c r="Z27" s="404"/>
      <c r="AA27" s="402"/>
      <c r="AB27" s="402"/>
      <c r="AC27" s="396"/>
      <c r="AD27" s="396"/>
      <c r="AE27" s="402"/>
      <c r="AF27" s="404"/>
      <c r="AG27" s="402"/>
      <c r="AH27" s="402"/>
      <c r="AI27" s="396"/>
      <c r="AJ27" s="396"/>
      <c r="AK27" s="402"/>
      <c r="AL27" s="404"/>
      <c r="AM27" s="402"/>
      <c r="AN27" s="402"/>
      <c r="AO27" s="396"/>
      <c r="AP27" s="396"/>
      <c r="AQ27" s="402"/>
      <c r="AR27" s="404"/>
      <c r="AS27" s="402"/>
      <c r="AT27" s="402"/>
      <c r="AU27" s="396"/>
      <c r="AV27" s="396"/>
      <c r="AW27" s="402"/>
      <c r="AX27" s="404"/>
      <c r="AY27" s="402"/>
      <c r="AZ27" s="402"/>
      <c r="BA27" s="396"/>
      <c r="BB27" s="396"/>
      <c r="BC27" s="402"/>
      <c r="BD27" s="404"/>
      <c r="BE27" s="402"/>
      <c r="BF27" s="402"/>
      <c r="BG27" s="396"/>
      <c r="BH27" s="396"/>
      <c r="BI27" s="402"/>
      <c r="BJ27" s="404"/>
      <c r="BK27" s="402"/>
      <c r="BL27" s="402"/>
      <c r="BM27" s="396"/>
      <c r="BN27" s="396"/>
      <c r="BO27" s="402"/>
      <c r="BP27" s="404"/>
      <c r="BQ27" s="402"/>
      <c r="BR27" s="402"/>
      <c r="BS27" s="396"/>
      <c r="BT27" s="396"/>
      <c r="BU27" s="402"/>
      <c r="BV27" s="404"/>
      <c r="BW27" s="402"/>
      <c r="BX27" s="402"/>
      <c r="BY27" s="396"/>
      <c r="BZ27" s="396"/>
      <c r="CA27" s="402"/>
      <c r="CB27" s="404"/>
      <c r="CC27" s="402"/>
      <c r="CD27" s="402"/>
      <c r="CE27" s="396"/>
      <c r="CF27" s="396"/>
      <c r="CG27" s="402"/>
      <c r="CH27" s="404"/>
      <c r="CI27" s="402"/>
      <c r="CJ27" s="402"/>
      <c r="CK27" s="396"/>
      <c r="CL27" s="396"/>
      <c r="CM27" s="402"/>
      <c r="CN27" s="404"/>
      <c r="CO27" s="402"/>
      <c r="CP27" s="402"/>
      <c r="CQ27" s="396"/>
      <c r="CR27" s="396"/>
      <c r="CS27" s="402"/>
      <c r="CT27" s="404"/>
      <c r="CU27" s="402"/>
      <c r="CV27" s="402"/>
      <c r="CW27" s="396"/>
      <c r="CX27" s="396"/>
      <c r="CY27" s="402"/>
      <c r="CZ27" s="404"/>
      <c r="DA27" s="402"/>
      <c r="DB27" s="402"/>
      <c r="DC27" s="396"/>
      <c r="DD27" s="396"/>
      <c r="DE27" s="402"/>
      <c r="DF27" s="404"/>
      <c r="DG27" s="402"/>
      <c r="DH27" s="402"/>
      <c r="DI27" s="396"/>
      <c r="DJ27" s="396"/>
      <c r="DK27" s="402"/>
      <c r="DL27" s="404"/>
      <c r="DM27" s="402"/>
      <c r="DN27" s="402"/>
    </row>
    <row r="28" spans="2:118" x14ac:dyDescent="0.35">
      <c r="B28" s="400"/>
      <c r="C28" s="178" t="s">
        <v>73</v>
      </c>
      <c r="D28" s="188" t="s">
        <v>84</v>
      </c>
      <c r="E28" s="485">
        <v>6</v>
      </c>
      <c r="F28" s="486"/>
      <c r="G28" s="486"/>
      <c r="H28" s="486"/>
      <c r="I28" s="486"/>
      <c r="J28" s="487"/>
      <c r="K28" s="446">
        <v>6</v>
      </c>
      <c r="L28" s="446"/>
      <c r="M28" s="446"/>
      <c r="N28" s="446"/>
      <c r="O28" s="446"/>
      <c r="P28" s="446"/>
      <c r="Q28" s="446">
        <v>6</v>
      </c>
      <c r="R28" s="446"/>
      <c r="S28" s="446"/>
      <c r="T28" s="446"/>
      <c r="U28" s="446"/>
      <c r="V28" s="446"/>
      <c r="W28" s="446">
        <v>6</v>
      </c>
      <c r="X28" s="446"/>
      <c r="Y28" s="446"/>
      <c r="Z28" s="446"/>
      <c r="AA28" s="446"/>
      <c r="AB28" s="446"/>
      <c r="AC28" s="446">
        <v>4</v>
      </c>
      <c r="AD28" s="446"/>
      <c r="AE28" s="446"/>
      <c r="AF28" s="446"/>
      <c r="AG28" s="446"/>
      <c r="AH28" s="446"/>
      <c r="AI28" s="446">
        <v>4</v>
      </c>
      <c r="AJ28" s="446"/>
      <c r="AK28" s="446"/>
      <c r="AL28" s="446"/>
      <c r="AM28" s="446"/>
      <c r="AN28" s="446"/>
      <c r="AO28" s="446">
        <v>4</v>
      </c>
      <c r="AP28" s="446"/>
      <c r="AQ28" s="446"/>
      <c r="AR28" s="446"/>
      <c r="AS28" s="446"/>
      <c r="AT28" s="446"/>
      <c r="AU28" s="446">
        <v>4</v>
      </c>
      <c r="AV28" s="446"/>
      <c r="AW28" s="446"/>
      <c r="AX28" s="446"/>
      <c r="AY28" s="446"/>
      <c r="AZ28" s="446"/>
      <c r="BA28" s="446">
        <v>4</v>
      </c>
      <c r="BB28" s="446"/>
      <c r="BC28" s="446"/>
      <c r="BD28" s="446"/>
      <c r="BE28" s="446"/>
      <c r="BF28" s="446"/>
      <c r="BG28" s="446">
        <v>4</v>
      </c>
      <c r="BH28" s="446"/>
      <c r="BI28" s="446"/>
      <c r="BJ28" s="446"/>
      <c r="BK28" s="446"/>
      <c r="BL28" s="446"/>
      <c r="BM28" s="446">
        <v>8</v>
      </c>
      <c r="BN28" s="446"/>
      <c r="BO28" s="446"/>
      <c r="BP28" s="446"/>
      <c r="BQ28" s="446"/>
      <c r="BR28" s="446"/>
      <c r="BS28" s="446">
        <v>8</v>
      </c>
      <c r="BT28" s="446"/>
      <c r="BU28" s="446"/>
      <c r="BV28" s="446"/>
      <c r="BW28" s="446"/>
      <c r="BX28" s="446"/>
      <c r="BY28" s="446">
        <v>4</v>
      </c>
      <c r="BZ28" s="446"/>
      <c r="CA28" s="446"/>
      <c r="CB28" s="446"/>
      <c r="CC28" s="446"/>
      <c r="CD28" s="446"/>
      <c r="CE28" s="446">
        <v>4</v>
      </c>
      <c r="CF28" s="446"/>
      <c r="CG28" s="446"/>
      <c r="CH28" s="446"/>
      <c r="CI28" s="446"/>
      <c r="CJ28" s="446"/>
      <c r="CK28" s="446">
        <v>3</v>
      </c>
      <c r="CL28" s="446"/>
      <c r="CM28" s="446"/>
      <c r="CN28" s="446"/>
      <c r="CO28" s="446"/>
      <c r="CP28" s="446"/>
      <c r="CQ28" s="446">
        <v>3</v>
      </c>
      <c r="CR28" s="446"/>
      <c r="CS28" s="446"/>
      <c r="CT28" s="446"/>
      <c r="CU28" s="446"/>
      <c r="CV28" s="446"/>
      <c r="CW28" s="446">
        <v>3</v>
      </c>
      <c r="CX28" s="446"/>
      <c r="CY28" s="446"/>
      <c r="CZ28" s="446"/>
      <c r="DA28" s="446"/>
      <c r="DB28" s="446"/>
      <c r="DC28" s="446">
        <v>3</v>
      </c>
      <c r="DD28" s="446"/>
      <c r="DE28" s="446"/>
      <c r="DF28" s="446"/>
      <c r="DG28" s="446"/>
      <c r="DH28" s="446"/>
      <c r="DI28" s="446">
        <v>3</v>
      </c>
      <c r="DJ28" s="446"/>
      <c r="DK28" s="446"/>
      <c r="DL28" s="446"/>
      <c r="DM28" s="446"/>
      <c r="DN28" s="446"/>
    </row>
    <row r="29" spans="2:118" x14ac:dyDescent="0.35">
      <c r="B29" s="400"/>
      <c r="C29" s="178" t="s">
        <v>74</v>
      </c>
      <c r="D29" s="188"/>
      <c r="E29" s="485">
        <v>40</v>
      </c>
      <c r="F29" s="486"/>
      <c r="G29" s="486"/>
      <c r="H29" s="486"/>
      <c r="I29" s="486"/>
      <c r="J29" s="487"/>
      <c r="K29" s="446">
        <v>40</v>
      </c>
      <c r="L29" s="446"/>
      <c r="M29" s="446"/>
      <c r="N29" s="446"/>
      <c r="O29" s="446"/>
      <c r="P29" s="446"/>
      <c r="Q29" s="446">
        <v>40</v>
      </c>
      <c r="R29" s="446"/>
      <c r="S29" s="446"/>
      <c r="T29" s="446"/>
      <c r="U29" s="446"/>
      <c r="V29" s="446"/>
      <c r="W29" s="446">
        <v>40</v>
      </c>
      <c r="X29" s="446"/>
      <c r="Y29" s="446"/>
      <c r="Z29" s="446"/>
      <c r="AA29" s="446"/>
      <c r="AB29" s="446"/>
      <c r="AC29" s="446">
        <v>40</v>
      </c>
      <c r="AD29" s="446"/>
      <c r="AE29" s="446"/>
      <c r="AF29" s="446"/>
      <c r="AG29" s="446"/>
      <c r="AH29" s="446"/>
      <c r="AI29" s="446">
        <v>40</v>
      </c>
      <c r="AJ29" s="446"/>
      <c r="AK29" s="446"/>
      <c r="AL29" s="446"/>
      <c r="AM29" s="446"/>
      <c r="AN29" s="446"/>
      <c r="AO29" s="446">
        <v>40</v>
      </c>
      <c r="AP29" s="446"/>
      <c r="AQ29" s="446"/>
      <c r="AR29" s="446"/>
      <c r="AS29" s="446"/>
      <c r="AT29" s="446"/>
      <c r="AU29" s="446">
        <v>40</v>
      </c>
      <c r="AV29" s="446"/>
      <c r="AW29" s="446"/>
      <c r="AX29" s="446"/>
      <c r="AY29" s="446"/>
      <c r="AZ29" s="446"/>
      <c r="BA29" s="446">
        <v>40</v>
      </c>
      <c r="BB29" s="446"/>
      <c r="BC29" s="446"/>
      <c r="BD29" s="446"/>
      <c r="BE29" s="446"/>
      <c r="BF29" s="446"/>
      <c r="BG29" s="446">
        <v>40</v>
      </c>
      <c r="BH29" s="446"/>
      <c r="BI29" s="446"/>
      <c r="BJ29" s="446"/>
      <c r="BK29" s="446"/>
      <c r="BL29" s="446"/>
      <c r="BM29" s="446">
        <v>40</v>
      </c>
      <c r="BN29" s="446"/>
      <c r="BO29" s="446"/>
      <c r="BP29" s="446"/>
      <c r="BQ29" s="446"/>
      <c r="BR29" s="446"/>
      <c r="BS29" s="446">
        <v>40</v>
      </c>
      <c r="BT29" s="446"/>
      <c r="BU29" s="446"/>
      <c r="BV29" s="446"/>
      <c r="BW29" s="446"/>
      <c r="BX29" s="446"/>
      <c r="BY29" s="446">
        <v>40</v>
      </c>
      <c r="BZ29" s="446"/>
      <c r="CA29" s="446"/>
      <c r="CB29" s="446"/>
      <c r="CC29" s="446"/>
      <c r="CD29" s="446"/>
      <c r="CE29" s="446">
        <v>40</v>
      </c>
      <c r="CF29" s="446"/>
      <c r="CG29" s="446"/>
      <c r="CH29" s="446"/>
      <c r="CI29" s="446"/>
      <c r="CJ29" s="446"/>
      <c r="CK29" s="446">
        <v>80</v>
      </c>
      <c r="CL29" s="446"/>
      <c r="CM29" s="446"/>
      <c r="CN29" s="446"/>
      <c r="CO29" s="446"/>
      <c r="CP29" s="446"/>
      <c r="CQ29" s="446">
        <v>80</v>
      </c>
      <c r="CR29" s="446"/>
      <c r="CS29" s="446"/>
      <c r="CT29" s="446"/>
      <c r="CU29" s="446"/>
      <c r="CV29" s="446"/>
      <c r="CW29" s="446">
        <v>80</v>
      </c>
      <c r="CX29" s="446"/>
      <c r="CY29" s="446"/>
      <c r="CZ29" s="446"/>
      <c r="DA29" s="446"/>
      <c r="DB29" s="446"/>
      <c r="DC29" s="446">
        <v>80</v>
      </c>
      <c r="DD29" s="446"/>
      <c r="DE29" s="446"/>
      <c r="DF29" s="446"/>
      <c r="DG29" s="446"/>
      <c r="DH29" s="446"/>
      <c r="DI29" s="446">
        <v>80</v>
      </c>
      <c r="DJ29" s="446"/>
      <c r="DK29" s="446"/>
      <c r="DL29" s="446"/>
      <c r="DM29" s="446"/>
      <c r="DN29" s="446"/>
    </row>
    <row r="30" spans="2:118" x14ac:dyDescent="0.35">
      <c r="B30" s="400"/>
      <c r="C30" s="405" t="s">
        <v>60</v>
      </c>
      <c r="D30" s="188" t="s">
        <v>84</v>
      </c>
      <c r="E30" s="488">
        <f>VLOOKUP(E28,'Calculation Basis'!$F$4:$T$47,MATCH(E29,'Calculation Basis'!$F$3:$T$3,0),0)</f>
        <v>6.0650000000000004</v>
      </c>
      <c r="F30" s="489"/>
      <c r="G30" s="489"/>
      <c r="H30" s="489"/>
      <c r="I30" s="489"/>
      <c r="J30" s="490"/>
      <c r="K30" s="447">
        <f>VLOOKUP(K28,'Calculation Basis'!$F$4:$T$47,MATCH(K29,'Calculation Basis'!$F$3:$T$3,0),0)</f>
        <v>6.0650000000000004</v>
      </c>
      <c r="L30" s="447"/>
      <c r="M30" s="447"/>
      <c r="N30" s="447"/>
      <c r="O30" s="447"/>
      <c r="P30" s="447"/>
      <c r="Q30" s="447">
        <f>VLOOKUP(Q28,'Calculation Basis'!$F$4:$T$47,MATCH(Q29,'Calculation Basis'!$F$3:$T$3,0),0)</f>
        <v>6.0650000000000004</v>
      </c>
      <c r="R30" s="447"/>
      <c r="S30" s="447"/>
      <c r="T30" s="447"/>
      <c r="U30" s="447"/>
      <c r="V30" s="447"/>
      <c r="W30" s="447">
        <f>VLOOKUP(W28,'Calculation Basis'!$F$4:$T$47,MATCH(W29,'Calculation Basis'!$F$3:$T$3,0),0)</f>
        <v>6.0650000000000004</v>
      </c>
      <c r="X30" s="447"/>
      <c r="Y30" s="447"/>
      <c r="Z30" s="447"/>
      <c r="AA30" s="447"/>
      <c r="AB30" s="447"/>
      <c r="AC30" s="447">
        <f>VLOOKUP(AC28,'Calculation Basis'!$F$4:$T$47,MATCH(AC29,'Calculation Basis'!$F$3:$T$3,0),0)</f>
        <v>4.0259999999999998</v>
      </c>
      <c r="AD30" s="447"/>
      <c r="AE30" s="447"/>
      <c r="AF30" s="447"/>
      <c r="AG30" s="447"/>
      <c r="AH30" s="447"/>
      <c r="AI30" s="447">
        <f>VLOOKUP(AI28,'Calculation Basis'!$F$4:$T$47,MATCH(AI29,'Calculation Basis'!$F$3:$T$3,0),0)</f>
        <v>4.0259999999999998</v>
      </c>
      <c r="AJ30" s="447"/>
      <c r="AK30" s="447"/>
      <c r="AL30" s="447"/>
      <c r="AM30" s="447"/>
      <c r="AN30" s="447"/>
      <c r="AO30" s="447">
        <f>VLOOKUP(AO28,'Calculation Basis'!$F$4:$T$47,MATCH(AO29,'Calculation Basis'!$F$3:$T$3,0),0)</f>
        <v>4.0259999999999998</v>
      </c>
      <c r="AP30" s="447"/>
      <c r="AQ30" s="447"/>
      <c r="AR30" s="447"/>
      <c r="AS30" s="447"/>
      <c r="AT30" s="447"/>
      <c r="AU30" s="447">
        <f>VLOOKUP(AU28,'Calculation Basis'!$F$4:$T$47,MATCH(AU29,'Calculation Basis'!$F$3:$T$3,0),0)</f>
        <v>4.0259999999999998</v>
      </c>
      <c r="AV30" s="447"/>
      <c r="AW30" s="447"/>
      <c r="AX30" s="447"/>
      <c r="AY30" s="447"/>
      <c r="AZ30" s="447"/>
      <c r="BA30" s="447">
        <f>VLOOKUP(BA28,'Calculation Basis'!$F$4:$T$47,MATCH(BA29,'Calculation Basis'!$F$3:$T$3,0),0)</f>
        <v>4.0259999999999998</v>
      </c>
      <c r="BB30" s="447"/>
      <c r="BC30" s="447"/>
      <c r="BD30" s="447"/>
      <c r="BE30" s="447"/>
      <c r="BF30" s="447"/>
      <c r="BG30" s="447">
        <f>VLOOKUP(BG28,'Calculation Basis'!$F$4:$T$47,MATCH(BG29,'Calculation Basis'!$F$3:$T$3,0),0)</f>
        <v>4.0259999999999998</v>
      </c>
      <c r="BH30" s="447"/>
      <c r="BI30" s="447"/>
      <c r="BJ30" s="447"/>
      <c r="BK30" s="447"/>
      <c r="BL30" s="447"/>
      <c r="BM30" s="447">
        <f>VLOOKUP(BM28,'Calculation Basis'!$F$4:$T$47,MATCH(BM29,'Calculation Basis'!$F$3:$T$3,0),0)</f>
        <v>7.9809999999999999</v>
      </c>
      <c r="BN30" s="447"/>
      <c r="BO30" s="447"/>
      <c r="BP30" s="447"/>
      <c r="BQ30" s="447"/>
      <c r="BR30" s="447"/>
      <c r="BS30" s="447">
        <f>VLOOKUP(BS28,'Calculation Basis'!$F$4:$T$47,MATCH(BS29,'Calculation Basis'!$F$3:$T$3,0),0)</f>
        <v>7.9809999999999999</v>
      </c>
      <c r="BT30" s="447"/>
      <c r="BU30" s="447"/>
      <c r="BV30" s="447"/>
      <c r="BW30" s="447"/>
      <c r="BX30" s="447"/>
      <c r="BY30" s="447">
        <f>VLOOKUP(BY28,'Calculation Basis'!$F$4:$T$47,MATCH(BY29,'Calculation Basis'!$F$3:$T$3,0),0)</f>
        <v>4.0259999999999998</v>
      </c>
      <c r="BZ30" s="447"/>
      <c r="CA30" s="447"/>
      <c r="CB30" s="447"/>
      <c r="CC30" s="447"/>
      <c r="CD30" s="447"/>
      <c r="CE30" s="447">
        <f>VLOOKUP(CE28,'Calculation Basis'!$F$4:$T$47,MATCH(CE29,'Calculation Basis'!$F$3:$T$3,0),0)</f>
        <v>4.0259999999999998</v>
      </c>
      <c r="CF30" s="447"/>
      <c r="CG30" s="447"/>
      <c r="CH30" s="447"/>
      <c r="CI30" s="447"/>
      <c r="CJ30" s="447"/>
      <c r="CK30" s="447">
        <f>VLOOKUP(CK28,'Calculation Basis'!$F$4:$T$47,MATCH(CK29,'Calculation Basis'!$F$3:$T$3,0),0)</f>
        <v>2.9</v>
      </c>
      <c r="CL30" s="447"/>
      <c r="CM30" s="447"/>
      <c r="CN30" s="447"/>
      <c r="CO30" s="447"/>
      <c r="CP30" s="447"/>
      <c r="CQ30" s="447">
        <f>VLOOKUP(CQ28,'Calculation Basis'!$F$4:$T$47,MATCH(CQ29,'Calculation Basis'!$F$3:$T$3,0),0)</f>
        <v>2.9</v>
      </c>
      <c r="CR30" s="447"/>
      <c r="CS30" s="447"/>
      <c r="CT30" s="447"/>
      <c r="CU30" s="447"/>
      <c r="CV30" s="447"/>
      <c r="CW30" s="447">
        <f>VLOOKUP(CW28,'Calculation Basis'!$F$4:$T$47,MATCH(CW29,'Calculation Basis'!$F$3:$T$3,0),0)</f>
        <v>2.9</v>
      </c>
      <c r="CX30" s="447"/>
      <c r="CY30" s="447"/>
      <c r="CZ30" s="447"/>
      <c r="DA30" s="447"/>
      <c r="DB30" s="447"/>
      <c r="DC30" s="447">
        <f>VLOOKUP(DC28,'Calculation Basis'!$F$4:$T$47,MATCH(DC29,'Calculation Basis'!$F$3:$T$3,0),0)</f>
        <v>2.9</v>
      </c>
      <c r="DD30" s="447"/>
      <c r="DE30" s="447"/>
      <c r="DF30" s="447"/>
      <c r="DG30" s="447"/>
      <c r="DH30" s="447"/>
      <c r="DI30" s="447">
        <f>VLOOKUP(DI28,'Calculation Basis'!$F$4:$T$47,MATCH(DI29,'Calculation Basis'!$F$3:$T$3,0),0)</f>
        <v>2.9</v>
      </c>
      <c r="DJ30" s="447"/>
      <c r="DK30" s="447"/>
      <c r="DL30" s="447"/>
      <c r="DM30" s="447"/>
      <c r="DN30" s="447"/>
    </row>
    <row r="31" spans="2:118" ht="14.5" customHeight="1" x14ac:dyDescent="0.35">
      <c r="B31" s="400"/>
      <c r="C31" s="178" t="s">
        <v>75</v>
      </c>
      <c r="D31" s="188"/>
      <c r="E31" s="485" t="s">
        <v>82</v>
      </c>
      <c r="F31" s="486"/>
      <c r="G31" s="486"/>
      <c r="H31" s="486"/>
      <c r="I31" s="486"/>
      <c r="J31" s="487"/>
      <c r="K31" s="446" t="s">
        <v>82</v>
      </c>
      <c r="L31" s="446"/>
      <c r="M31" s="446"/>
      <c r="N31" s="446"/>
      <c r="O31" s="446"/>
      <c r="P31" s="446"/>
      <c r="Q31" s="446" t="s">
        <v>82</v>
      </c>
      <c r="R31" s="446"/>
      <c r="S31" s="446"/>
      <c r="T31" s="446"/>
      <c r="U31" s="446"/>
      <c r="V31" s="446"/>
      <c r="W31" s="446" t="s">
        <v>82</v>
      </c>
      <c r="X31" s="446"/>
      <c r="Y31" s="446"/>
      <c r="Z31" s="446"/>
      <c r="AA31" s="446"/>
      <c r="AB31" s="446"/>
      <c r="AC31" s="446" t="s">
        <v>82</v>
      </c>
      <c r="AD31" s="446"/>
      <c r="AE31" s="446"/>
      <c r="AF31" s="446"/>
      <c r="AG31" s="446"/>
      <c r="AH31" s="446"/>
      <c r="AI31" s="446" t="s">
        <v>82</v>
      </c>
      <c r="AJ31" s="446"/>
      <c r="AK31" s="446"/>
      <c r="AL31" s="446"/>
      <c r="AM31" s="446"/>
      <c r="AN31" s="446"/>
      <c r="AO31" s="446" t="s">
        <v>82</v>
      </c>
      <c r="AP31" s="446"/>
      <c r="AQ31" s="446"/>
      <c r="AR31" s="446"/>
      <c r="AS31" s="446"/>
      <c r="AT31" s="446"/>
      <c r="AU31" s="446" t="s">
        <v>82</v>
      </c>
      <c r="AV31" s="446"/>
      <c r="AW31" s="446"/>
      <c r="AX31" s="446"/>
      <c r="AY31" s="446"/>
      <c r="AZ31" s="446"/>
      <c r="BA31" s="446" t="s">
        <v>82</v>
      </c>
      <c r="BB31" s="446"/>
      <c r="BC31" s="446"/>
      <c r="BD31" s="446"/>
      <c r="BE31" s="446"/>
      <c r="BF31" s="446"/>
      <c r="BG31" s="446" t="s">
        <v>82</v>
      </c>
      <c r="BH31" s="446"/>
      <c r="BI31" s="446"/>
      <c r="BJ31" s="446"/>
      <c r="BK31" s="446"/>
      <c r="BL31" s="446"/>
      <c r="BM31" s="446" t="s">
        <v>82</v>
      </c>
      <c r="BN31" s="446"/>
      <c r="BO31" s="446"/>
      <c r="BP31" s="446"/>
      <c r="BQ31" s="446"/>
      <c r="BR31" s="446"/>
      <c r="BS31" s="446" t="s">
        <v>82</v>
      </c>
      <c r="BT31" s="446"/>
      <c r="BU31" s="446"/>
      <c r="BV31" s="446"/>
      <c r="BW31" s="446"/>
      <c r="BX31" s="446"/>
      <c r="BY31" s="446" t="s">
        <v>82</v>
      </c>
      <c r="BZ31" s="446"/>
      <c r="CA31" s="446"/>
      <c r="CB31" s="446"/>
      <c r="CC31" s="446"/>
      <c r="CD31" s="446"/>
      <c r="CE31" s="446" t="s">
        <v>82</v>
      </c>
      <c r="CF31" s="446"/>
      <c r="CG31" s="446"/>
      <c r="CH31" s="446"/>
      <c r="CI31" s="446"/>
      <c r="CJ31" s="446"/>
      <c r="CK31" s="446" t="s">
        <v>82</v>
      </c>
      <c r="CL31" s="446"/>
      <c r="CM31" s="446"/>
      <c r="CN31" s="446"/>
      <c r="CO31" s="446"/>
      <c r="CP31" s="446"/>
      <c r="CQ31" s="446" t="s">
        <v>82</v>
      </c>
      <c r="CR31" s="446"/>
      <c r="CS31" s="446"/>
      <c r="CT31" s="446"/>
      <c r="CU31" s="446"/>
      <c r="CV31" s="446"/>
      <c r="CW31" s="446" t="s">
        <v>82</v>
      </c>
      <c r="CX31" s="446"/>
      <c r="CY31" s="446"/>
      <c r="CZ31" s="446"/>
      <c r="DA31" s="446"/>
      <c r="DB31" s="446"/>
      <c r="DC31" s="446" t="s">
        <v>82</v>
      </c>
      <c r="DD31" s="446"/>
      <c r="DE31" s="446"/>
      <c r="DF31" s="446"/>
      <c r="DG31" s="446"/>
      <c r="DH31" s="446"/>
      <c r="DI31" s="446" t="s">
        <v>82</v>
      </c>
      <c r="DJ31" s="446"/>
      <c r="DK31" s="446"/>
      <c r="DL31" s="446"/>
      <c r="DM31" s="446"/>
      <c r="DN31" s="446"/>
    </row>
    <row r="32" spans="2:118" x14ac:dyDescent="0.35">
      <c r="B32" s="400"/>
      <c r="C32" s="178" t="s">
        <v>83</v>
      </c>
      <c r="D32" s="188" t="s">
        <v>84</v>
      </c>
      <c r="E32" s="488">
        <f>VLOOKUP(E31,'Calculation Basis'!$X$4:$Y$9,2,FALSE)</f>
        <v>1.8E-3</v>
      </c>
      <c r="F32" s="489"/>
      <c r="G32" s="489"/>
      <c r="H32" s="489"/>
      <c r="I32" s="489"/>
      <c r="J32" s="490"/>
      <c r="K32" s="447">
        <f>VLOOKUP(K31,'Calculation Basis'!$X$4:$Y$9,2,FALSE)</f>
        <v>1.8E-3</v>
      </c>
      <c r="L32" s="447"/>
      <c r="M32" s="447"/>
      <c r="N32" s="447"/>
      <c r="O32" s="447"/>
      <c r="P32" s="447"/>
      <c r="Q32" s="447">
        <f>VLOOKUP(Q31,'Calculation Basis'!$X$4:$Y$9,2,FALSE)</f>
        <v>1.8E-3</v>
      </c>
      <c r="R32" s="447"/>
      <c r="S32" s="447"/>
      <c r="T32" s="447"/>
      <c r="U32" s="447"/>
      <c r="V32" s="447"/>
      <c r="W32" s="447">
        <f>VLOOKUP(W31,'Calculation Basis'!$X$4:$Y$9,2,FALSE)</f>
        <v>1.8E-3</v>
      </c>
      <c r="X32" s="447"/>
      <c r="Y32" s="447"/>
      <c r="Z32" s="447"/>
      <c r="AA32" s="447"/>
      <c r="AB32" s="447"/>
      <c r="AC32" s="447">
        <f>VLOOKUP(AC31,'Calculation Basis'!$X$4:$Y$9,2,FALSE)</f>
        <v>1.8E-3</v>
      </c>
      <c r="AD32" s="447"/>
      <c r="AE32" s="447"/>
      <c r="AF32" s="447"/>
      <c r="AG32" s="447"/>
      <c r="AH32" s="447"/>
      <c r="AI32" s="447">
        <f>VLOOKUP(AI31,'Calculation Basis'!$X$4:$Y$9,2,FALSE)</f>
        <v>1.8E-3</v>
      </c>
      <c r="AJ32" s="447"/>
      <c r="AK32" s="447"/>
      <c r="AL32" s="447"/>
      <c r="AM32" s="447"/>
      <c r="AN32" s="447"/>
      <c r="AO32" s="447">
        <f>VLOOKUP(AO31,'Calculation Basis'!$X$4:$Y$9,2,FALSE)</f>
        <v>1.8E-3</v>
      </c>
      <c r="AP32" s="447"/>
      <c r="AQ32" s="447"/>
      <c r="AR32" s="447"/>
      <c r="AS32" s="447"/>
      <c r="AT32" s="447"/>
      <c r="AU32" s="447">
        <f>VLOOKUP(AU31,'Calculation Basis'!$X$4:$Y$9,2,FALSE)</f>
        <v>1.8E-3</v>
      </c>
      <c r="AV32" s="447"/>
      <c r="AW32" s="447"/>
      <c r="AX32" s="447"/>
      <c r="AY32" s="447"/>
      <c r="AZ32" s="447"/>
      <c r="BA32" s="447">
        <f>VLOOKUP(BA31,'Calculation Basis'!$X$4:$Y$9,2,FALSE)</f>
        <v>1.8E-3</v>
      </c>
      <c r="BB32" s="447"/>
      <c r="BC32" s="447"/>
      <c r="BD32" s="447"/>
      <c r="BE32" s="447"/>
      <c r="BF32" s="447"/>
      <c r="BG32" s="447">
        <f>VLOOKUP(BG31,'Calculation Basis'!$X$4:$Y$9,2,FALSE)</f>
        <v>1.8E-3</v>
      </c>
      <c r="BH32" s="447"/>
      <c r="BI32" s="447"/>
      <c r="BJ32" s="447"/>
      <c r="BK32" s="447"/>
      <c r="BL32" s="447"/>
      <c r="BM32" s="447">
        <f>VLOOKUP(BM31,'Calculation Basis'!$X$4:$Y$9,2,FALSE)</f>
        <v>1.8E-3</v>
      </c>
      <c r="BN32" s="447"/>
      <c r="BO32" s="447"/>
      <c r="BP32" s="447"/>
      <c r="BQ32" s="447"/>
      <c r="BR32" s="447"/>
      <c r="BS32" s="447">
        <f>VLOOKUP(BS31,'Calculation Basis'!$X$4:$Y$9,2,FALSE)</f>
        <v>1.8E-3</v>
      </c>
      <c r="BT32" s="447"/>
      <c r="BU32" s="447"/>
      <c r="BV32" s="447"/>
      <c r="BW32" s="447"/>
      <c r="BX32" s="447"/>
      <c r="BY32" s="447">
        <f>VLOOKUP(BY31,'Calculation Basis'!$X$4:$Y$9,2,FALSE)</f>
        <v>1.8E-3</v>
      </c>
      <c r="BZ32" s="447"/>
      <c r="CA32" s="447"/>
      <c r="CB32" s="447"/>
      <c r="CC32" s="447"/>
      <c r="CD32" s="447"/>
      <c r="CE32" s="447">
        <f>VLOOKUP(CE31,'Calculation Basis'!$X$4:$Y$9,2,FALSE)</f>
        <v>1.8E-3</v>
      </c>
      <c r="CF32" s="447"/>
      <c r="CG32" s="447"/>
      <c r="CH32" s="447"/>
      <c r="CI32" s="447"/>
      <c r="CJ32" s="447"/>
      <c r="CK32" s="447">
        <f>VLOOKUP(CK31,'Calculation Basis'!$X$4:$Y$9,2,FALSE)</f>
        <v>1.8E-3</v>
      </c>
      <c r="CL32" s="447"/>
      <c r="CM32" s="447"/>
      <c r="CN32" s="447"/>
      <c r="CO32" s="447"/>
      <c r="CP32" s="447"/>
      <c r="CQ32" s="447">
        <f>VLOOKUP(CQ31,'Calculation Basis'!$X$4:$Y$9,2,FALSE)</f>
        <v>1.8E-3</v>
      </c>
      <c r="CR32" s="447"/>
      <c r="CS32" s="447"/>
      <c r="CT32" s="447"/>
      <c r="CU32" s="447"/>
      <c r="CV32" s="447"/>
      <c r="CW32" s="447">
        <f>VLOOKUP(CW31,'Calculation Basis'!$X$4:$Y$9,2,FALSE)</f>
        <v>1.8E-3</v>
      </c>
      <c r="CX32" s="447"/>
      <c r="CY32" s="447"/>
      <c r="CZ32" s="447"/>
      <c r="DA32" s="447"/>
      <c r="DB32" s="447"/>
      <c r="DC32" s="447">
        <f>VLOOKUP(DC31,'Calculation Basis'!$X$4:$Y$9,2,FALSE)</f>
        <v>1.8E-3</v>
      </c>
      <c r="DD32" s="447"/>
      <c r="DE32" s="447"/>
      <c r="DF32" s="447"/>
      <c r="DG32" s="447"/>
      <c r="DH32" s="447"/>
      <c r="DI32" s="447">
        <f>VLOOKUP(DI31,'Calculation Basis'!$X$4:$Y$9,2,FALSE)</f>
        <v>1.8E-3</v>
      </c>
      <c r="DJ32" s="447"/>
      <c r="DK32" s="447"/>
      <c r="DL32" s="447"/>
      <c r="DM32" s="447"/>
      <c r="DN32" s="447"/>
    </row>
    <row r="33" spans="2:118" x14ac:dyDescent="0.35">
      <c r="B33" s="400"/>
      <c r="C33" s="187" t="s">
        <v>59</v>
      </c>
      <c r="D33" s="188"/>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row>
    <row r="34" spans="2:118" x14ac:dyDescent="0.35">
      <c r="B34" s="400"/>
      <c r="C34" s="405" t="s">
        <v>35</v>
      </c>
      <c r="D34" s="190" t="s">
        <v>68</v>
      </c>
      <c r="E34" s="491">
        <f>E9</f>
        <v>1065.4435294737675</v>
      </c>
      <c r="F34" s="492"/>
      <c r="G34" s="492"/>
      <c r="H34" s="492"/>
      <c r="I34" s="492"/>
      <c r="J34" s="493"/>
      <c r="K34" s="448">
        <f>K9</f>
        <v>1065.3815648511845</v>
      </c>
      <c r="L34" s="448"/>
      <c r="M34" s="449"/>
      <c r="N34" s="449"/>
      <c r="O34" s="449"/>
      <c r="P34" s="449"/>
      <c r="Q34" s="448">
        <f>Q9</f>
        <v>1065.3815648511845</v>
      </c>
      <c r="R34" s="448"/>
      <c r="S34" s="449"/>
      <c r="T34" s="449"/>
      <c r="U34" s="449"/>
      <c r="V34" s="449"/>
      <c r="W34" s="448">
        <f>W9</f>
        <v>1954.1182430353122</v>
      </c>
      <c r="X34" s="448"/>
      <c r="Y34" s="449"/>
      <c r="Z34" s="449"/>
      <c r="AA34" s="449"/>
      <c r="AB34" s="449"/>
      <c r="AC34" s="448">
        <f>AC9</f>
        <v>1954.1182430353122</v>
      </c>
      <c r="AD34" s="448"/>
      <c r="AE34" s="449"/>
      <c r="AF34" s="449"/>
      <c r="AG34" s="449"/>
      <c r="AH34" s="449"/>
      <c r="AI34" s="448">
        <f>AI9</f>
        <v>1954.1182430353122</v>
      </c>
      <c r="AJ34" s="448"/>
      <c r="AK34" s="449"/>
      <c r="AL34" s="449"/>
      <c r="AM34" s="449"/>
      <c r="AN34" s="449"/>
      <c r="AO34" s="448">
        <f>AO9</f>
        <v>1954.1182430353122</v>
      </c>
      <c r="AP34" s="448"/>
      <c r="AQ34" s="449"/>
      <c r="AR34" s="449"/>
      <c r="AS34" s="449"/>
      <c r="AT34" s="449"/>
      <c r="AU34" s="448">
        <f>AU9</f>
        <v>1953.5541207668011</v>
      </c>
      <c r="AV34" s="448"/>
      <c r="AW34" s="449"/>
      <c r="AX34" s="449"/>
      <c r="AY34" s="449"/>
      <c r="AZ34" s="449"/>
      <c r="BA34" s="448">
        <f>BA9</f>
        <v>1953.5541207668011</v>
      </c>
      <c r="BB34" s="448"/>
      <c r="BC34" s="449"/>
      <c r="BD34" s="449"/>
      <c r="BE34" s="449"/>
      <c r="BF34" s="449"/>
      <c r="BG34" s="448">
        <f>BG9</f>
        <v>1953.5541207668011</v>
      </c>
      <c r="BH34" s="448"/>
      <c r="BI34" s="449"/>
      <c r="BJ34" s="449"/>
      <c r="BK34" s="449"/>
      <c r="BL34" s="449"/>
      <c r="BM34" s="448">
        <f>BM9</f>
        <v>674.91782397316604</v>
      </c>
      <c r="BN34" s="448"/>
      <c r="BO34" s="449"/>
      <c r="BP34" s="449"/>
      <c r="BQ34" s="449"/>
      <c r="BR34" s="449"/>
      <c r="BS34" s="448">
        <f>BS9</f>
        <v>888.73667818412753</v>
      </c>
      <c r="BT34" s="448"/>
      <c r="BU34" s="449"/>
      <c r="BV34" s="449"/>
      <c r="BW34" s="449"/>
      <c r="BX34" s="449"/>
      <c r="BY34" s="448">
        <f>BY9</f>
        <v>888.73667818412753</v>
      </c>
      <c r="BZ34" s="448"/>
      <c r="CA34" s="449"/>
      <c r="CB34" s="449"/>
      <c r="CC34" s="449"/>
      <c r="CD34" s="449"/>
      <c r="CE34" s="448">
        <f>CE9</f>
        <v>888.73667818412753</v>
      </c>
      <c r="CF34" s="448"/>
      <c r="CG34" s="449"/>
      <c r="CH34" s="449"/>
      <c r="CI34" s="449"/>
      <c r="CJ34" s="449"/>
      <c r="CK34" s="448">
        <f>CK9</f>
        <v>389.89961860950757</v>
      </c>
      <c r="CL34" s="448"/>
      <c r="CM34" s="449"/>
      <c r="CN34" s="449"/>
      <c r="CO34" s="449"/>
      <c r="CP34" s="449"/>
      <c r="CQ34" s="448">
        <f>CQ9</f>
        <v>389.89961860950757</v>
      </c>
      <c r="CR34" s="448"/>
      <c r="CS34" s="449"/>
      <c r="CT34" s="449"/>
      <c r="CU34" s="449"/>
      <c r="CV34" s="449"/>
      <c r="CW34" s="448">
        <f>CW9</f>
        <v>389.89961860950757</v>
      </c>
      <c r="CX34" s="448"/>
      <c r="CY34" s="449"/>
      <c r="CZ34" s="449"/>
      <c r="DA34" s="449"/>
      <c r="DB34" s="449"/>
      <c r="DC34" s="448">
        <f>DC9</f>
        <v>389.89961860950757</v>
      </c>
      <c r="DD34" s="448"/>
      <c r="DE34" s="449"/>
      <c r="DF34" s="449"/>
      <c r="DG34" s="449"/>
      <c r="DH34" s="449"/>
      <c r="DI34" s="448">
        <f>DI9</f>
        <v>389.89961860950757</v>
      </c>
      <c r="DJ34" s="448"/>
      <c r="DK34" s="449"/>
      <c r="DL34" s="449"/>
      <c r="DM34" s="449"/>
      <c r="DN34" s="449"/>
    </row>
    <row r="35" spans="2:118" x14ac:dyDescent="0.35">
      <c r="B35" s="400"/>
      <c r="C35" s="405" t="s">
        <v>58</v>
      </c>
      <c r="D35" s="190" t="s">
        <v>57</v>
      </c>
      <c r="E35" s="485">
        <v>0.01</v>
      </c>
      <c r="F35" s="486"/>
      <c r="G35" s="486"/>
      <c r="H35" s="486"/>
      <c r="I35" s="486"/>
      <c r="J35" s="487"/>
      <c r="K35" s="446">
        <v>0.01</v>
      </c>
      <c r="L35" s="446"/>
      <c r="M35" s="446"/>
      <c r="N35" s="446"/>
      <c r="O35" s="446"/>
      <c r="P35" s="446"/>
      <c r="Q35" s="446">
        <v>0.01</v>
      </c>
      <c r="R35" s="446"/>
      <c r="S35" s="446"/>
      <c r="T35" s="446"/>
      <c r="U35" s="446"/>
      <c r="V35" s="446"/>
      <c r="W35" s="446">
        <v>0.01</v>
      </c>
      <c r="X35" s="446"/>
      <c r="Y35" s="446"/>
      <c r="Z35" s="446"/>
      <c r="AA35" s="446"/>
      <c r="AB35" s="446"/>
      <c r="AC35" s="446">
        <v>0.01</v>
      </c>
      <c r="AD35" s="446"/>
      <c r="AE35" s="446"/>
      <c r="AF35" s="446"/>
      <c r="AG35" s="446"/>
      <c r="AH35" s="446"/>
      <c r="AI35" s="446">
        <v>0.01</v>
      </c>
      <c r="AJ35" s="446"/>
      <c r="AK35" s="446"/>
      <c r="AL35" s="446"/>
      <c r="AM35" s="446"/>
      <c r="AN35" s="446"/>
      <c r="AO35" s="446">
        <v>0.01</v>
      </c>
      <c r="AP35" s="446"/>
      <c r="AQ35" s="446"/>
      <c r="AR35" s="446"/>
      <c r="AS35" s="446"/>
      <c r="AT35" s="446"/>
      <c r="AU35" s="446">
        <v>0.01</v>
      </c>
      <c r="AV35" s="446"/>
      <c r="AW35" s="446"/>
      <c r="AX35" s="446"/>
      <c r="AY35" s="446"/>
      <c r="AZ35" s="446"/>
      <c r="BA35" s="446">
        <v>0.01</v>
      </c>
      <c r="BB35" s="446"/>
      <c r="BC35" s="446"/>
      <c r="BD35" s="446"/>
      <c r="BE35" s="446"/>
      <c r="BF35" s="446"/>
      <c r="BG35" s="446">
        <v>0.01</v>
      </c>
      <c r="BH35" s="446"/>
      <c r="BI35" s="446"/>
      <c r="BJ35" s="446"/>
      <c r="BK35" s="446"/>
      <c r="BL35" s="446"/>
      <c r="BM35" s="446">
        <v>0.01</v>
      </c>
      <c r="BN35" s="446"/>
      <c r="BO35" s="446"/>
      <c r="BP35" s="446"/>
      <c r="BQ35" s="446"/>
      <c r="BR35" s="446"/>
      <c r="BS35" s="446">
        <v>0.01</v>
      </c>
      <c r="BT35" s="446"/>
      <c r="BU35" s="446"/>
      <c r="BV35" s="446"/>
      <c r="BW35" s="446"/>
      <c r="BX35" s="446"/>
      <c r="BY35" s="446">
        <v>0.01</v>
      </c>
      <c r="BZ35" s="446"/>
      <c r="CA35" s="446"/>
      <c r="CB35" s="446"/>
      <c r="CC35" s="446"/>
      <c r="CD35" s="446"/>
      <c r="CE35" s="446">
        <v>0.01</v>
      </c>
      <c r="CF35" s="446"/>
      <c r="CG35" s="446"/>
      <c r="CH35" s="446"/>
      <c r="CI35" s="446"/>
      <c r="CJ35" s="446"/>
      <c r="CK35" s="446">
        <v>0.01</v>
      </c>
      <c r="CL35" s="446"/>
      <c r="CM35" s="446"/>
      <c r="CN35" s="446"/>
      <c r="CO35" s="446"/>
      <c r="CP35" s="446"/>
      <c r="CQ35" s="446">
        <v>0.01</v>
      </c>
      <c r="CR35" s="446"/>
      <c r="CS35" s="446"/>
      <c r="CT35" s="446"/>
      <c r="CU35" s="446"/>
      <c r="CV35" s="446"/>
      <c r="CW35" s="446">
        <v>0.01</v>
      </c>
      <c r="CX35" s="446"/>
      <c r="CY35" s="446"/>
      <c r="CZ35" s="446"/>
      <c r="DA35" s="446"/>
      <c r="DB35" s="446"/>
      <c r="DC35" s="446">
        <v>0.01</v>
      </c>
      <c r="DD35" s="446"/>
      <c r="DE35" s="446"/>
      <c r="DF35" s="446"/>
      <c r="DG35" s="446"/>
      <c r="DH35" s="446"/>
      <c r="DI35" s="446">
        <v>0.01</v>
      </c>
      <c r="DJ35" s="446"/>
      <c r="DK35" s="446"/>
      <c r="DL35" s="446"/>
      <c r="DM35" s="446"/>
      <c r="DN35" s="446"/>
    </row>
    <row r="36" spans="2:118" x14ac:dyDescent="0.35">
      <c r="B36" s="400"/>
      <c r="C36" s="405" t="s">
        <v>56</v>
      </c>
      <c r="D36" s="190" t="s">
        <v>67</v>
      </c>
      <c r="E36" s="494">
        <f>E13</f>
        <v>0.37782375152342473</v>
      </c>
      <c r="F36" s="495"/>
      <c r="G36" s="495"/>
      <c r="H36" s="495"/>
      <c r="I36" s="495"/>
      <c r="J36" s="496"/>
      <c r="K36" s="450">
        <f>K13</f>
        <v>0.36833812251189052</v>
      </c>
      <c r="L36" s="450"/>
      <c r="M36" s="449"/>
      <c r="N36" s="449"/>
      <c r="O36" s="449"/>
      <c r="P36" s="449"/>
      <c r="Q36" s="450">
        <f>Q13</f>
        <v>0.36596786432326828</v>
      </c>
      <c r="R36" s="450"/>
      <c r="S36" s="449"/>
      <c r="T36" s="449"/>
      <c r="U36" s="449"/>
      <c r="V36" s="449"/>
      <c r="W36" s="450">
        <f>W13</f>
        <v>0.36326099452416938</v>
      </c>
      <c r="X36" s="450"/>
      <c r="Y36" s="449"/>
      <c r="Z36" s="449"/>
      <c r="AA36" s="449"/>
      <c r="AB36" s="449"/>
      <c r="AC36" s="450">
        <f>AC13</f>
        <v>0.79207328070924243</v>
      </c>
      <c r="AD36" s="450"/>
      <c r="AE36" s="449"/>
      <c r="AF36" s="449"/>
      <c r="AG36" s="449"/>
      <c r="AH36" s="449"/>
      <c r="AI36" s="450">
        <f>AI13</f>
        <v>0.97339889702108173</v>
      </c>
      <c r="AJ36" s="450"/>
      <c r="AK36" s="449"/>
      <c r="AL36" s="449"/>
      <c r="AM36" s="449"/>
      <c r="AN36" s="449"/>
      <c r="AO36" s="450">
        <f>AO13</f>
        <v>0.98435921262999948</v>
      </c>
      <c r="AP36" s="450"/>
      <c r="AQ36" s="449"/>
      <c r="AR36" s="449"/>
      <c r="AS36" s="449"/>
      <c r="AT36" s="449"/>
      <c r="AU36" s="450">
        <f>AU13</f>
        <v>1.1013923463941364</v>
      </c>
      <c r="AV36" s="450"/>
      <c r="AW36" s="449"/>
      <c r="AX36" s="449"/>
      <c r="AY36" s="449"/>
      <c r="AZ36" s="449"/>
      <c r="BA36" s="450">
        <f>BA13</f>
        <v>1.0746958208769557</v>
      </c>
      <c r="BB36" s="450"/>
      <c r="BC36" s="449"/>
      <c r="BD36" s="449"/>
      <c r="BE36" s="449"/>
      <c r="BF36" s="449"/>
      <c r="BG36" s="450">
        <f>BG13</f>
        <v>1.0695952237204445</v>
      </c>
      <c r="BH36" s="450"/>
      <c r="BI36" s="449"/>
      <c r="BJ36" s="449"/>
      <c r="BK36" s="449"/>
      <c r="BL36" s="449"/>
      <c r="BM36" s="450">
        <f>BM13</f>
        <v>0.12460515931899931</v>
      </c>
      <c r="BN36" s="450"/>
      <c r="BO36" s="449"/>
      <c r="BP36" s="449"/>
      <c r="BQ36" s="449"/>
      <c r="BR36" s="449"/>
      <c r="BS36" s="450">
        <f>BS13</f>
        <v>8.6807031745741434E-2</v>
      </c>
      <c r="BT36" s="450"/>
      <c r="BU36" s="449"/>
      <c r="BV36" s="449"/>
      <c r="BW36" s="449"/>
      <c r="BX36" s="449"/>
      <c r="BY36" s="450">
        <f>BY13</f>
        <v>0.30481867864576478</v>
      </c>
      <c r="BZ36" s="450"/>
      <c r="CA36" s="449"/>
      <c r="CB36" s="449"/>
      <c r="CC36" s="449"/>
      <c r="CD36" s="449"/>
      <c r="CE36" s="450">
        <f>CE13</f>
        <v>0.36377649039179044</v>
      </c>
      <c r="CF36" s="450"/>
      <c r="CG36" s="449"/>
      <c r="CH36" s="449"/>
      <c r="CI36" s="449"/>
      <c r="CJ36" s="449"/>
      <c r="CK36" s="450">
        <f>CK13</f>
        <v>0.48838979195022642</v>
      </c>
      <c r="CL36" s="450"/>
      <c r="CM36" s="449"/>
      <c r="CN36" s="449"/>
      <c r="CO36" s="449"/>
      <c r="CP36" s="449"/>
      <c r="CQ36" s="450">
        <f>CQ13</f>
        <v>0.64669484707454861</v>
      </c>
      <c r="CR36" s="450"/>
      <c r="CS36" s="449"/>
      <c r="CT36" s="449"/>
      <c r="CU36" s="449"/>
      <c r="CV36" s="449"/>
      <c r="CW36" s="450">
        <f>CW13</f>
        <v>0.75123894831999527</v>
      </c>
      <c r="CX36" s="450"/>
      <c r="CY36" s="449"/>
      <c r="CZ36" s="449"/>
      <c r="DA36" s="449"/>
      <c r="DB36" s="449"/>
      <c r="DC36" s="450">
        <f>DC13</f>
        <v>0.76742832637051583</v>
      </c>
      <c r="DD36" s="450"/>
      <c r="DE36" s="449"/>
      <c r="DF36" s="449"/>
      <c r="DG36" s="449"/>
      <c r="DH36" s="449"/>
      <c r="DI36" s="450">
        <f>DI13</f>
        <v>0.76469434587044216</v>
      </c>
      <c r="DJ36" s="450"/>
      <c r="DK36" s="449"/>
      <c r="DL36" s="449"/>
      <c r="DM36" s="449"/>
      <c r="DN36" s="449"/>
    </row>
    <row r="37" spans="2:118" x14ac:dyDescent="0.35">
      <c r="B37" s="400"/>
      <c r="C37" s="191" t="s">
        <v>85</v>
      </c>
      <c r="D37" s="405"/>
      <c r="E37" s="399"/>
      <c r="F37" s="399"/>
      <c r="G37" s="398"/>
      <c r="H37" s="398"/>
      <c r="I37" s="398"/>
      <c r="J37" s="398"/>
      <c r="K37" s="399"/>
      <c r="L37" s="399"/>
      <c r="M37" s="398"/>
      <c r="N37" s="398"/>
      <c r="O37" s="398"/>
      <c r="P37" s="398"/>
      <c r="Q37" s="399"/>
      <c r="R37" s="399"/>
      <c r="S37" s="398"/>
      <c r="T37" s="398"/>
      <c r="U37" s="398"/>
      <c r="V37" s="398"/>
      <c r="W37" s="399"/>
      <c r="X37" s="399"/>
      <c r="Y37" s="398"/>
      <c r="Z37" s="398"/>
      <c r="AA37" s="398"/>
      <c r="AB37" s="398"/>
      <c r="AC37" s="399"/>
      <c r="AD37" s="399"/>
      <c r="AE37" s="398"/>
      <c r="AF37" s="398"/>
      <c r="AG37" s="398"/>
      <c r="AH37" s="398"/>
      <c r="AI37" s="399"/>
      <c r="AJ37" s="399"/>
      <c r="AK37" s="398"/>
      <c r="AL37" s="398"/>
      <c r="AM37" s="398"/>
      <c r="AN37" s="398"/>
      <c r="AO37" s="399"/>
      <c r="AP37" s="399"/>
      <c r="AQ37" s="398"/>
      <c r="AR37" s="398"/>
      <c r="AS37" s="398"/>
      <c r="AT37" s="398"/>
      <c r="AU37" s="399"/>
      <c r="AV37" s="399"/>
      <c r="AW37" s="398"/>
      <c r="AX37" s="398"/>
      <c r="AY37" s="398"/>
      <c r="AZ37" s="398"/>
      <c r="BA37" s="399"/>
      <c r="BB37" s="399"/>
      <c r="BC37" s="398"/>
      <c r="BD37" s="398"/>
      <c r="BE37" s="398"/>
      <c r="BF37" s="398"/>
      <c r="BG37" s="399"/>
      <c r="BH37" s="399"/>
      <c r="BI37" s="398"/>
      <c r="BJ37" s="398"/>
      <c r="BK37" s="398"/>
      <c r="BL37" s="398"/>
      <c r="BM37" s="399"/>
      <c r="BN37" s="399"/>
      <c r="BO37" s="398"/>
      <c r="BP37" s="398"/>
      <c r="BQ37" s="398"/>
      <c r="BR37" s="398"/>
      <c r="BS37" s="399"/>
      <c r="BT37" s="399"/>
      <c r="BU37" s="398"/>
      <c r="BV37" s="398"/>
      <c r="BW37" s="398"/>
      <c r="BX37" s="398"/>
      <c r="BY37" s="399"/>
      <c r="BZ37" s="399"/>
      <c r="CA37" s="398"/>
      <c r="CB37" s="398"/>
      <c r="CC37" s="398"/>
      <c r="CD37" s="398"/>
      <c r="CE37" s="399"/>
      <c r="CF37" s="399"/>
      <c r="CG37" s="398"/>
      <c r="CH37" s="398"/>
      <c r="CI37" s="398"/>
      <c r="CJ37" s="398"/>
      <c r="CK37" s="399"/>
      <c r="CL37" s="399"/>
      <c r="CM37" s="398"/>
      <c r="CN37" s="398"/>
      <c r="CO37" s="398"/>
      <c r="CP37" s="398"/>
      <c r="CQ37" s="399"/>
      <c r="CR37" s="399"/>
      <c r="CS37" s="398"/>
      <c r="CT37" s="398"/>
      <c r="CU37" s="398"/>
      <c r="CV37" s="398"/>
      <c r="CW37" s="399"/>
      <c r="CX37" s="399"/>
      <c r="CY37" s="398"/>
      <c r="CZ37" s="398"/>
      <c r="DA37" s="398"/>
      <c r="DB37" s="398"/>
      <c r="DC37" s="399"/>
      <c r="DD37" s="399"/>
      <c r="DE37" s="398"/>
      <c r="DF37" s="398"/>
      <c r="DG37" s="398"/>
      <c r="DH37" s="398"/>
      <c r="DI37" s="399"/>
      <c r="DJ37" s="399"/>
      <c r="DK37" s="398"/>
      <c r="DL37" s="398"/>
      <c r="DM37" s="398"/>
      <c r="DN37" s="398"/>
    </row>
    <row r="38" spans="2:118" ht="14.5" customHeight="1" x14ac:dyDescent="0.35">
      <c r="B38" s="400"/>
      <c r="C38" s="405" t="s">
        <v>55</v>
      </c>
      <c r="D38" s="395" t="s">
        <v>66</v>
      </c>
      <c r="E38" s="506">
        <f>(PI()*((E30/12)^2))/4</f>
        <v>0.20062682470137855</v>
      </c>
      <c r="F38" s="507"/>
      <c r="G38" s="507"/>
      <c r="H38" s="507"/>
      <c r="I38" s="507"/>
      <c r="J38" s="508"/>
      <c r="K38" s="451">
        <f>(PI()*((K30/12)^2))/4</f>
        <v>0.20062682470137855</v>
      </c>
      <c r="L38" s="451"/>
      <c r="M38" s="451"/>
      <c r="N38" s="451"/>
      <c r="O38" s="451"/>
      <c r="P38" s="451"/>
      <c r="Q38" s="451">
        <f>(PI()*((Q30/12)^2))/4</f>
        <v>0.20062682470137855</v>
      </c>
      <c r="R38" s="451"/>
      <c r="S38" s="451"/>
      <c r="T38" s="451"/>
      <c r="U38" s="451"/>
      <c r="V38" s="451"/>
      <c r="W38" s="451">
        <f>(PI()*((W30/12)^2))/4</f>
        <v>0.20062682470137855</v>
      </c>
      <c r="X38" s="451"/>
      <c r="Y38" s="451"/>
      <c r="Z38" s="451"/>
      <c r="AA38" s="451"/>
      <c r="AB38" s="451"/>
      <c r="AC38" s="451">
        <f>(PI()*((AC30/12)^2))/4</f>
        <v>8.8404613621557604E-2</v>
      </c>
      <c r="AD38" s="451"/>
      <c r="AE38" s="451"/>
      <c r="AF38" s="451"/>
      <c r="AG38" s="451"/>
      <c r="AH38" s="451"/>
      <c r="AI38" s="451">
        <f>(PI()*((AI30/12)^2))/4</f>
        <v>8.8404613621557604E-2</v>
      </c>
      <c r="AJ38" s="451"/>
      <c r="AK38" s="451"/>
      <c r="AL38" s="451"/>
      <c r="AM38" s="451"/>
      <c r="AN38" s="451"/>
      <c r="AO38" s="451">
        <f>(PI()*((AO30/12)^2))/4</f>
        <v>8.8404613621557604E-2</v>
      </c>
      <c r="AP38" s="451"/>
      <c r="AQ38" s="451"/>
      <c r="AR38" s="451"/>
      <c r="AS38" s="451"/>
      <c r="AT38" s="451"/>
      <c r="AU38" s="451">
        <f>(PI()*((AU30/12)^2))/4</f>
        <v>8.8404613621557604E-2</v>
      </c>
      <c r="AV38" s="451"/>
      <c r="AW38" s="451"/>
      <c r="AX38" s="451"/>
      <c r="AY38" s="451"/>
      <c r="AZ38" s="451"/>
      <c r="BA38" s="451">
        <f>(PI()*((BA30/12)^2))/4</f>
        <v>8.8404613621557604E-2</v>
      </c>
      <c r="BB38" s="451"/>
      <c r="BC38" s="451"/>
      <c r="BD38" s="451"/>
      <c r="BE38" s="451"/>
      <c r="BF38" s="451"/>
      <c r="BG38" s="451">
        <f>(PI()*((BG30/12)^2))/4</f>
        <v>8.8404613621557604E-2</v>
      </c>
      <c r="BH38" s="451"/>
      <c r="BI38" s="451"/>
      <c r="BJ38" s="451"/>
      <c r="BK38" s="451"/>
      <c r="BL38" s="451"/>
      <c r="BM38" s="451">
        <f>(PI()*((BM30/12)^2))/4</f>
        <v>0.34740975655903372</v>
      </c>
      <c r="BN38" s="451"/>
      <c r="BO38" s="451"/>
      <c r="BP38" s="451"/>
      <c r="BQ38" s="451"/>
      <c r="BR38" s="451"/>
      <c r="BS38" s="451">
        <f>(PI()*((BS30/12)^2))/4</f>
        <v>0.34740975655903372</v>
      </c>
      <c r="BT38" s="451"/>
      <c r="BU38" s="451"/>
      <c r="BV38" s="451"/>
      <c r="BW38" s="451"/>
      <c r="BX38" s="451"/>
      <c r="BY38" s="451">
        <f>(PI()*((BY30/12)^2))/4</f>
        <v>8.8404613621557604E-2</v>
      </c>
      <c r="BZ38" s="451"/>
      <c r="CA38" s="451"/>
      <c r="CB38" s="451"/>
      <c r="CC38" s="451"/>
      <c r="CD38" s="451"/>
      <c r="CE38" s="451">
        <f>(PI()*((CE30/12)^2))/4</f>
        <v>8.8404613621557604E-2</v>
      </c>
      <c r="CF38" s="451"/>
      <c r="CG38" s="451"/>
      <c r="CH38" s="451"/>
      <c r="CI38" s="451"/>
      <c r="CJ38" s="451"/>
      <c r="CK38" s="451">
        <f>(PI()*((CK30/12)^2))/4</f>
        <v>4.5869434403975971E-2</v>
      </c>
      <c r="CL38" s="451"/>
      <c r="CM38" s="451"/>
      <c r="CN38" s="451"/>
      <c r="CO38" s="451"/>
      <c r="CP38" s="451"/>
      <c r="CQ38" s="451">
        <f>(PI()*((CQ30/12)^2))/4</f>
        <v>4.5869434403975971E-2</v>
      </c>
      <c r="CR38" s="451"/>
      <c r="CS38" s="451"/>
      <c r="CT38" s="451"/>
      <c r="CU38" s="451"/>
      <c r="CV38" s="451"/>
      <c r="CW38" s="451">
        <f>(PI()*((CW30/12)^2))/4</f>
        <v>4.5869434403975971E-2</v>
      </c>
      <c r="CX38" s="451"/>
      <c r="CY38" s="451"/>
      <c r="CZ38" s="451"/>
      <c r="DA38" s="451"/>
      <c r="DB38" s="451"/>
      <c r="DC38" s="451">
        <f>(PI()*((DC30/12)^2))/4</f>
        <v>4.5869434403975971E-2</v>
      </c>
      <c r="DD38" s="451"/>
      <c r="DE38" s="451"/>
      <c r="DF38" s="451"/>
      <c r="DG38" s="451"/>
      <c r="DH38" s="451"/>
      <c r="DI38" s="451">
        <f>(PI()*((DI30/12)^2))/4</f>
        <v>4.5869434403975971E-2</v>
      </c>
      <c r="DJ38" s="451"/>
      <c r="DK38" s="451"/>
      <c r="DL38" s="451"/>
      <c r="DM38" s="451"/>
      <c r="DN38" s="451"/>
    </row>
    <row r="39" spans="2:118" x14ac:dyDescent="0.35">
      <c r="B39" s="400"/>
      <c r="C39" s="405" t="s">
        <v>54</v>
      </c>
      <c r="D39" s="190" t="s">
        <v>65</v>
      </c>
      <c r="E39" s="531">
        <f>E34/E36</f>
        <v>2819.9485214409847</v>
      </c>
      <c r="F39" s="532"/>
      <c r="G39" s="532"/>
      <c r="H39" s="532"/>
      <c r="I39" s="532"/>
      <c r="J39" s="533"/>
      <c r="K39" s="452">
        <f>K34/K36</f>
        <v>2892.4010297543728</v>
      </c>
      <c r="L39" s="452"/>
      <c r="M39" s="452"/>
      <c r="N39" s="452"/>
      <c r="O39" s="452"/>
      <c r="P39" s="452"/>
      <c r="Q39" s="452">
        <f>Q34/Q36</f>
        <v>2911.1341970455287</v>
      </c>
      <c r="R39" s="452"/>
      <c r="S39" s="452"/>
      <c r="T39" s="452"/>
      <c r="U39" s="452"/>
      <c r="V39" s="452"/>
      <c r="W39" s="452">
        <f>W34/W36</f>
        <v>5379.378112409192</v>
      </c>
      <c r="X39" s="452"/>
      <c r="Y39" s="452"/>
      <c r="Z39" s="452"/>
      <c r="AA39" s="452"/>
      <c r="AB39" s="452"/>
      <c r="AC39" s="452">
        <f>AC34/AC36</f>
        <v>2467.092743345092</v>
      </c>
      <c r="AD39" s="452"/>
      <c r="AE39" s="452"/>
      <c r="AF39" s="452"/>
      <c r="AG39" s="452"/>
      <c r="AH39" s="452"/>
      <c r="AI39" s="452">
        <f>AI34/AI36</f>
        <v>2007.5205026588294</v>
      </c>
      <c r="AJ39" s="452"/>
      <c r="AK39" s="452"/>
      <c r="AL39" s="452"/>
      <c r="AM39" s="452"/>
      <c r="AN39" s="452"/>
      <c r="AO39" s="452">
        <f>AO34/AO36</f>
        <v>1985.1678309733311</v>
      </c>
      <c r="AP39" s="452"/>
      <c r="AQ39" s="452"/>
      <c r="AR39" s="452"/>
      <c r="AS39" s="452"/>
      <c r="AT39" s="452"/>
      <c r="AU39" s="452">
        <f>AU34/AU36</f>
        <v>1773.7131796517099</v>
      </c>
      <c r="AV39" s="452"/>
      <c r="AW39" s="452"/>
      <c r="AX39" s="452"/>
      <c r="AY39" s="452"/>
      <c r="AZ39" s="452"/>
      <c r="BA39" s="452">
        <f>BA34/BA36</f>
        <v>1817.7739996910882</v>
      </c>
      <c r="BB39" s="452"/>
      <c r="BC39" s="452"/>
      <c r="BD39" s="452"/>
      <c r="BE39" s="452"/>
      <c r="BF39" s="452"/>
      <c r="BG39" s="452">
        <f>BG34/BG36</f>
        <v>1826.4424498565199</v>
      </c>
      <c r="BH39" s="452"/>
      <c r="BI39" s="452"/>
      <c r="BJ39" s="452"/>
      <c r="BK39" s="452"/>
      <c r="BL39" s="452"/>
      <c r="BM39" s="452">
        <f>BM34/BM36</f>
        <v>5416.4516755307195</v>
      </c>
      <c r="BN39" s="452"/>
      <c r="BO39" s="452"/>
      <c r="BP39" s="452"/>
      <c r="BQ39" s="452"/>
      <c r="BR39" s="452"/>
      <c r="BS39" s="452">
        <f>BS34/BS36</f>
        <v>10238.07242698086</v>
      </c>
      <c r="BT39" s="452"/>
      <c r="BU39" s="452"/>
      <c r="BV39" s="452"/>
      <c r="BW39" s="452"/>
      <c r="BX39" s="452"/>
      <c r="BY39" s="452">
        <f>BY34/BY36</f>
        <v>2915.6240757048363</v>
      </c>
      <c r="BZ39" s="452"/>
      <c r="CA39" s="452"/>
      <c r="CB39" s="452"/>
      <c r="CC39" s="452"/>
      <c r="CD39" s="452"/>
      <c r="CE39" s="452">
        <f>CE34/CE36</f>
        <v>2443.0844258983047</v>
      </c>
      <c r="CF39" s="452"/>
      <c r="CG39" s="452"/>
      <c r="CH39" s="452"/>
      <c r="CI39" s="452"/>
      <c r="CJ39" s="452"/>
      <c r="CK39" s="452">
        <f>CK34/CK36</f>
        <v>798.33695346614388</v>
      </c>
      <c r="CL39" s="452"/>
      <c r="CM39" s="452"/>
      <c r="CN39" s="452"/>
      <c r="CO39" s="452"/>
      <c r="CP39" s="452"/>
      <c r="CQ39" s="452">
        <f>CQ34/CQ36</f>
        <v>602.91128091293012</v>
      </c>
      <c r="CR39" s="452"/>
      <c r="CS39" s="452"/>
      <c r="CT39" s="452"/>
      <c r="CU39" s="452"/>
      <c r="CV39" s="452"/>
      <c r="CW39" s="452">
        <f>CW34/CW36</f>
        <v>519.00879138580979</v>
      </c>
      <c r="CX39" s="452"/>
      <c r="CY39" s="452"/>
      <c r="CZ39" s="452"/>
      <c r="DA39" s="452"/>
      <c r="DB39" s="452"/>
      <c r="DC39" s="452">
        <f>DC34/DC36</f>
        <v>508.05997799625567</v>
      </c>
      <c r="DD39" s="452"/>
      <c r="DE39" s="452"/>
      <c r="DF39" s="452"/>
      <c r="DG39" s="452"/>
      <c r="DH39" s="452"/>
      <c r="DI39" s="452">
        <f>DI34/DI36</f>
        <v>509.8764241099359</v>
      </c>
      <c r="DJ39" s="452"/>
      <c r="DK39" s="452"/>
      <c r="DL39" s="452"/>
      <c r="DM39" s="452"/>
      <c r="DN39" s="452"/>
    </row>
    <row r="40" spans="2:118" x14ac:dyDescent="0.35">
      <c r="B40" s="400"/>
      <c r="C40" s="405" t="s">
        <v>53</v>
      </c>
      <c r="D40" s="190" t="s">
        <v>64</v>
      </c>
      <c r="E40" s="506">
        <f>(E39/E38)/3600</f>
        <v>3.9043584271421934</v>
      </c>
      <c r="F40" s="507"/>
      <c r="G40" s="507"/>
      <c r="H40" s="507"/>
      <c r="I40" s="507"/>
      <c r="J40" s="508"/>
      <c r="K40" s="451">
        <f>(K39/K38)/3600</f>
        <v>4.0046725141725537</v>
      </c>
      <c r="L40" s="451"/>
      <c r="M40" s="451"/>
      <c r="N40" s="451"/>
      <c r="O40" s="451"/>
      <c r="P40" s="451"/>
      <c r="Q40" s="451">
        <f>(Q39/Q38)/3600</f>
        <v>4.0306095123213401</v>
      </c>
      <c r="R40" s="451"/>
      <c r="S40" s="451"/>
      <c r="T40" s="451"/>
      <c r="U40" s="451"/>
      <c r="V40" s="451"/>
      <c r="W40" s="451">
        <f>(W39/W38)/3600</f>
        <v>7.4480154890333301</v>
      </c>
      <c r="X40" s="451"/>
      <c r="Y40" s="451"/>
      <c r="Z40" s="451"/>
      <c r="AA40" s="451"/>
      <c r="AB40" s="451"/>
      <c r="AC40" s="451">
        <f>(AC39/AC38)/3600</f>
        <v>7.7518979128366299</v>
      </c>
      <c r="AD40" s="451"/>
      <c r="AE40" s="451"/>
      <c r="AF40" s="451"/>
      <c r="AG40" s="451"/>
      <c r="AH40" s="451"/>
      <c r="AI40" s="451">
        <f>(AI39/AI38)/3600</f>
        <v>6.3078674429714887</v>
      </c>
      <c r="AJ40" s="451"/>
      <c r="AK40" s="451"/>
      <c r="AL40" s="451"/>
      <c r="AM40" s="451"/>
      <c r="AN40" s="451"/>
      <c r="AO40" s="451">
        <f>(AO39/AO38)/3600</f>
        <v>6.237632698269433</v>
      </c>
      <c r="AP40" s="451"/>
      <c r="AQ40" s="451"/>
      <c r="AR40" s="451"/>
      <c r="AS40" s="451"/>
      <c r="AT40" s="451"/>
      <c r="AU40" s="451">
        <f>(AU39/AU38)/3600</f>
        <v>5.5732171124908696</v>
      </c>
      <c r="AV40" s="451"/>
      <c r="AW40" s="451"/>
      <c r="AX40" s="451"/>
      <c r="AY40" s="451"/>
      <c r="AZ40" s="451"/>
      <c r="BA40" s="451">
        <f>(BA39/BA38)/3600</f>
        <v>5.7116614331685023</v>
      </c>
      <c r="BB40" s="451"/>
      <c r="BC40" s="451"/>
      <c r="BD40" s="451"/>
      <c r="BE40" s="451"/>
      <c r="BF40" s="451"/>
      <c r="BG40" s="451">
        <f>(BG39/BG38)/3600</f>
        <v>5.7388987313714983</v>
      </c>
      <c r="BH40" s="451"/>
      <c r="BI40" s="451"/>
      <c r="BJ40" s="451"/>
      <c r="BK40" s="451"/>
      <c r="BL40" s="451"/>
      <c r="BM40" s="451">
        <f>(BM39/BM38)/3600</f>
        <v>4.3308222681246997</v>
      </c>
      <c r="BN40" s="451"/>
      <c r="BO40" s="451"/>
      <c r="BP40" s="451"/>
      <c r="BQ40" s="451"/>
      <c r="BR40" s="451"/>
      <c r="BS40" s="451">
        <f>(BS39/BS38)/3600</f>
        <v>8.1860366722643576</v>
      </c>
      <c r="BT40" s="451"/>
      <c r="BU40" s="451"/>
      <c r="BV40" s="451"/>
      <c r="BW40" s="451"/>
      <c r="BX40" s="451"/>
      <c r="BY40" s="451">
        <f>(BY39/BY38)/3600</f>
        <v>9.161236539663836</v>
      </c>
      <c r="BZ40" s="451"/>
      <c r="CA40" s="451"/>
      <c r="CB40" s="451"/>
      <c r="CC40" s="451"/>
      <c r="CD40" s="451"/>
      <c r="CE40" s="451">
        <f>(CE39/CE38)/3600</f>
        <v>7.6764609328493583</v>
      </c>
      <c r="CF40" s="451"/>
      <c r="CG40" s="451"/>
      <c r="CH40" s="451"/>
      <c r="CI40" s="451"/>
      <c r="CJ40" s="451"/>
      <c r="CK40" s="451">
        <f>(CK39/CK38)/3600</f>
        <v>4.8345977606491788</v>
      </c>
      <c r="CL40" s="451"/>
      <c r="CM40" s="451"/>
      <c r="CN40" s="451"/>
      <c r="CO40" s="451"/>
      <c r="CP40" s="451"/>
      <c r="CQ40" s="451">
        <f>(CQ39/CQ38)/3600</f>
        <v>3.6511319135565898</v>
      </c>
      <c r="CR40" s="451"/>
      <c r="CS40" s="451"/>
      <c r="CT40" s="451"/>
      <c r="CU40" s="451"/>
      <c r="CV40" s="451"/>
      <c r="CW40" s="451">
        <f>(CW39/CW38)/3600</f>
        <v>3.1430321867187421</v>
      </c>
      <c r="CX40" s="451"/>
      <c r="CY40" s="451"/>
      <c r="CZ40" s="451"/>
      <c r="DA40" s="451"/>
      <c r="DB40" s="451"/>
      <c r="DC40" s="451">
        <f>(DC39/DC38)/3600</f>
        <v>3.0767279670968342</v>
      </c>
      <c r="DD40" s="451"/>
      <c r="DE40" s="451"/>
      <c r="DF40" s="451"/>
      <c r="DG40" s="451"/>
      <c r="DH40" s="451"/>
      <c r="DI40" s="451">
        <f>(DI39/DI38)/3600</f>
        <v>3.0877280670864566</v>
      </c>
      <c r="DJ40" s="451"/>
      <c r="DK40" s="451"/>
      <c r="DL40" s="451"/>
      <c r="DM40" s="451"/>
      <c r="DN40" s="451"/>
    </row>
    <row r="41" spans="2:118" x14ac:dyDescent="0.35">
      <c r="B41" s="400"/>
      <c r="C41" s="405" t="s">
        <v>52</v>
      </c>
      <c r="D41" s="190"/>
      <c r="E41" s="516">
        <f>((((E30/12)*E40)*E36)/(E35/1488.1639))</f>
        <v>110953.05383763494</v>
      </c>
      <c r="F41" s="517"/>
      <c r="G41" s="517"/>
      <c r="H41" s="517"/>
      <c r="I41" s="517"/>
      <c r="J41" s="518"/>
      <c r="K41" s="453">
        <f>((((K30/12)*K40)*K36)/(K35/1488.1639))</f>
        <v>110946.60097184217</v>
      </c>
      <c r="L41" s="453"/>
      <c r="M41" s="453"/>
      <c r="N41" s="453"/>
      <c r="O41" s="453"/>
      <c r="P41" s="453"/>
      <c r="Q41" s="453">
        <f>((((Q30/12)*Q40)*Q36)/(Q35/1488.1639))</f>
        <v>110946.60097184216</v>
      </c>
      <c r="R41" s="453"/>
      <c r="S41" s="453"/>
      <c r="T41" s="453"/>
      <c r="U41" s="453"/>
      <c r="V41" s="453"/>
      <c r="W41" s="453">
        <f>((((W30/12)*W40)*W36)/(W35/1488.1639))</f>
        <v>203497.77405067041</v>
      </c>
      <c r="X41" s="453"/>
      <c r="Y41" s="453"/>
      <c r="Z41" s="453"/>
      <c r="AA41" s="453"/>
      <c r="AB41" s="453"/>
      <c r="AC41" s="453">
        <f>((((AC30/12)*AC40)*AC36)/(AC35/1488.1639))</f>
        <v>306560.85435104737</v>
      </c>
      <c r="AD41" s="453"/>
      <c r="AE41" s="453"/>
      <c r="AF41" s="453"/>
      <c r="AG41" s="453"/>
      <c r="AH41" s="453"/>
      <c r="AI41" s="453">
        <f>((((AI30/12)*AI40)*AI36)/(AI35/1488.1639))</f>
        <v>306560.85435104737</v>
      </c>
      <c r="AJ41" s="453"/>
      <c r="AK41" s="453"/>
      <c r="AL41" s="453"/>
      <c r="AM41" s="453"/>
      <c r="AN41" s="453"/>
      <c r="AO41" s="453">
        <f>((((AO30/12)*AO40)*AO36)/(AO35/1488.1639))</f>
        <v>306560.85435104737</v>
      </c>
      <c r="AP41" s="453"/>
      <c r="AQ41" s="453"/>
      <c r="AR41" s="453"/>
      <c r="AS41" s="453"/>
      <c r="AT41" s="453"/>
      <c r="AU41" s="453">
        <f>((((AU30/12)*AU40)*AU36)/(AU35/1488.1639))</f>
        <v>306472.35520049208</v>
      </c>
      <c r="AV41" s="453"/>
      <c r="AW41" s="453"/>
      <c r="AX41" s="453"/>
      <c r="AY41" s="453"/>
      <c r="AZ41" s="453"/>
      <c r="BA41" s="453">
        <f>((((BA30/12)*BA40)*BA36)/(BA35/1488.1639))</f>
        <v>306472.35520049208</v>
      </c>
      <c r="BB41" s="453"/>
      <c r="BC41" s="453"/>
      <c r="BD41" s="453"/>
      <c r="BE41" s="453"/>
      <c r="BF41" s="453"/>
      <c r="BG41" s="453">
        <f>((((BG30/12)*BG40)*BG36)/(BG35/1488.1639))</f>
        <v>306472.35520049208</v>
      </c>
      <c r="BH41" s="453"/>
      <c r="BI41" s="453"/>
      <c r="BJ41" s="453"/>
      <c r="BK41" s="453"/>
      <c r="BL41" s="453"/>
      <c r="BM41" s="453">
        <f>((((BM30/12)*BM40)*BM36)/(BM35/1488.1639))</f>
        <v>53411.308280659243</v>
      </c>
      <c r="BN41" s="453"/>
      <c r="BO41" s="453"/>
      <c r="BP41" s="453"/>
      <c r="BQ41" s="453"/>
      <c r="BR41" s="453"/>
      <c r="BS41" s="453">
        <f>((((BS30/12)*BS40)*BS36)/(BS35/1488.1639))</f>
        <v>70332.397534531206</v>
      </c>
      <c r="BT41" s="453"/>
      <c r="BU41" s="453"/>
      <c r="BV41" s="453"/>
      <c r="BW41" s="453"/>
      <c r="BX41" s="453"/>
      <c r="BY41" s="453">
        <f>((((BY30/12)*BY40)*BY36)/(BY35/1488.1639))</f>
        <v>139424.4572089155</v>
      </c>
      <c r="BZ41" s="453"/>
      <c r="CA41" s="453"/>
      <c r="CB41" s="453"/>
      <c r="CC41" s="453"/>
      <c r="CD41" s="453"/>
      <c r="CE41" s="453">
        <f>((((CE30/12)*CE40)*CE36)/(CE35/1488.1639))</f>
        <v>139424.4572089155</v>
      </c>
      <c r="CF41" s="453"/>
      <c r="CG41" s="453"/>
      <c r="CH41" s="453"/>
      <c r="CI41" s="453"/>
      <c r="CJ41" s="453"/>
      <c r="CK41" s="453">
        <f>((((CK30/12)*CK40)*CK36)/(CK35/1488.1639))</f>
        <v>84916.960664188271</v>
      </c>
      <c r="CL41" s="453"/>
      <c r="CM41" s="453"/>
      <c r="CN41" s="453"/>
      <c r="CO41" s="453"/>
      <c r="CP41" s="453"/>
      <c r="CQ41" s="453">
        <f>((((CQ30/12)*CQ40)*CQ36)/(CQ35/1488.1639))</f>
        <v>84916.960664188271</v>
      </c>
      <c r="CR41" s="453"/>
      <c r="CS41" s="453"/>
      <c r="CT41" s="453"/>
      <c r="CU41" s="453"/>
      <c r="CV41" s="453"/>
      <c r="CW41" s="453">
        <f>((((CW30/12)*CW40)*CW36)/(CW35/1488.1639))</f>
        <v>84916.960664188271</v>
      </c>
      <c r="CX41" s="453"/>
      <c r="CY41" s="453"/>
      <c r="CZ41" s="453"/>
      <c r="DA41" s="453"/>
      <c r="DB41" s="453"/>
      <c r="DC41" s="453">
        <f>((((DC30/12)*DC40)*DC36)/(DC35/1488.1639))</f>
        <v>84916.960664188271</v>
      </c>
      <c r="DD41" s="453"/>
      <c r="DE41" s="453"/>
      <c r="DF41" s="453"/>
      <c r="DG41" s="453"/>
      <c r="DH41" s="453"/>
      <c r="DI41" s="453">
        <f>((((DI30/12)*DI40)*DI36)/(DI35/1488.1639))</f>
        <v>84916.960664188256</v>
      </c>
      <c r="DJ41" s="453"/>
      <c r="DK41" s="453"/>
      <c r="DL41" s="453"/>
      <c r="DM41" s="453"/>
      <c r="DN41" s="453"/>
    </row>
    <row r="42" spans="2:118" x14ac:dyDescent="0.35">
      <c r="B42" s="400"/>
      <c r="C42" s="191" t="s">
        <v>86</v>
      </c>
      <c r="D42" s="405"/>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AZ42" s="195"/>
      <c r="BA42" s="195"/>
      <c r="BB42" s="195"/>
      <c r="BC42" s="195"/>
      <c r="BD42" s="195"/>
      <c r="BE42" s="195"/>
      <c r="BF42" s="195"/>
      <c r="BG42" s="195"/>
      <c r="BH42" s="195"/>
      <c r="BI42" s="195"/>
      <c r="BJ42" s="195"/>
      <c r="BK42" s="195"/>
      <c r="BL42" s="195"/>
      <c r="BM42" s="195"/>
      <c r="BN42" s="195"/>
      <c r="BO42" s="195"/>
      <c r="BP42" s="195"/>
      <c r="BQ42" s="195"/>
      <c r="BR42" s="195"/>
      <c r="BS42" s="195"/>
      <c r="BT42" s="195"/>
      <c r="BU42" s="195"/>
      <c r="BV42" s="195"/>
      <c r="BW42" s="195"/>
      <c r="BX42" s="195"/>
      <c r="BY42" s="195"/>
      <c r="BZ42" s="195"/>
      <c r="CA42" s="195"/>
      <c r="CB42" s="195"/>
      <c r="CC42" s="195"/>
      <c r="CD42" s="195"/>
      <c r="CE42" s="195"/>
      <c r="CF42" s="195"/>
      <c r="CG42" s="195"/>
      <c r="CH42" s="195"/>
      <c r="CI42" s="195"/>
      <c r="CJ42" s="195"/>
      <c r="CK42" s="195"/>
      <c r="CL42" s="195"/>
      <c r="CM42" s="195"/>
      <c r="CN42" s="195"/>
      <c r="CO42" s="195"/>
      <c r="CP42" s="195"/>
      <c r="CQ42" s="195"/>
      <c r="CR42" s="195"/>
      <c r="CS42" s="195"/>
      <c r="CT42" s="195"/>
      <c r="CU42" s="195"/>
      <c r="CV42" s="195"/>
      <c r="CW42" s="195"/>
      <c r="CX42" s="195"/>
      <c r="CY42" s="195"/>
      <c r="CZ42" s="195"/>
      <c r="DA42" s="195"/>
      <c r="DB42" s="195"/>
      <c r="DC42" s="195"/>
      <c r="DD42" s="195"/>
      <c r="DE42" s="195"/>
      <c r="DF42" s="195"/>
      <c r="DG42" s="195"/>
      <c r="DH42" s="195"/>
      <c r="DI42" s="195"/>
      <c r="DJ42" s="195"/>
      <c r="DK42" s="195"/>
      <c r="DL42" s="195"/>
      <c r="DM42" s="195"/>
      <c r="DN42" s="195"/>
    </row>
    <row r="43" spans="2:118" x14ac:dyDescent="0.35">
      <c r="B43" s="400"/>
      <c r="C43" s="405" t="s">
        <v>44</v>
      </c>
      <c r="D43" s="396"/>
      <c r="E43" s="519" t="str">
        <f>IF((E41&lt;2100),"Laminar",IF((E41&gt;4000),"Turbulent","Transient"))</f>
        <v>Turbulent</v>
      </c>
      <c r="F43" s="520"/>
      <c r="G43" s="520"/>
      <c r="H43" s="520"/>
      <c r="I43" s="520"/>
      <c r="J43" s="521"/>
      <c r="K43" s="441" t="str">
        <f>IF((K41&lt;2100),"Laminar",IF((K41&gt;4000),"Turbulent","Transient"))</f>
        <v>Turbulent</v>
      </c>
      <c r="L43" s="441"/>
      <c r="M43" s="441"/>
      <c r="N43" s="441"/>
      <c r="O43" s="441"/>
      <c r="P43" s="441"/>
      <c r="Q43" s="441" t="str">
        <f>IF((Q41&lt;2100),"Laminar",IF((Q41&gt;4000),"Turbulent","Transient"))</f>
        <v>Turbulent</v>
      </c>
      <c r="R43" s="441"/>
      <c r="S43" s="441"/>
      <c r="T43" s="441"/>
      <c r="U43" s="441"/>
      <c r="V43" s="441"/>
      <c r="W43" s="441" t="str">
        <f>IF((W41&lt;2100),"Laminar",IF((W41&gt;4000),"Turbulent","Transient"))</f>
        <v>Turbulent</v>
      </c>
      <c r="X43" s="441"/>
      <c r="Y43" s="441"/>
      <c r="Z43" s="441"/>
      <c r="AA43" s="441"/>
      <c r="AB43" s="441"/>
      <c r="AC43" s="441" t="str">
        <f>IF((AC41&lt;2100),"Laminar",IF((AC41&gt;4000),"Turbulent","Transient"))</f>
        <v>Turbulent</v>
      </c>
      <c r="AD43" s="441"/>
      <c r="AE43" s="441"/>
      <c r="AF43" s="441"/>
      <c r="AG43" s="441"/>
      <c r="AH43" s="441"/>
      <c r="AI43" s="441" t="str">
        <f>IF((AI41&lt;2100),"Laminar",IF((AI41&gt;4000),"Turbulent","Transient"))</f>
        <v>Turbulent</v>
      </c>
      <c r="AJ43" s="441"/>
      <c r="AK43" s="441"/>
      <c r="AL43" s="441"/>
      <c r="AM43" s="441"/>
      <c r="AN43" s="441"/>
      <c r="AO43" s="441" t="str">
        <f>IF((AO41&lt;2100),"Laminar",IF((AO41&gt;4000),"Turbulent","Transient"))</f>
        <v>Turbulent</v>
      </c>
      <c r="AP43" s="441"/>
      <c r="AQ43" s="441"/>
      <c r="AR43" s="441"/>
      <c r="AS43" s="441"/>
      <c r="AT43" s="441"/>
      <c r="AU43" s="441" t="str">
        <f>IF((AU41&lt;2100),"Laminar",IF((AU41&gt;4000),"Turbulent","Transient"))</f>
        <v>Turbulent</v>
      </c>
      <c r="AV43" s="441"/>
      <c r="AW43" s="441"/>
      <c r="AX43" s="441"/>
      <c r="AY43" s="441"/>
      <c r="AZ43" s="441"/>
      <c r="BA43" s="441" t="str">
        <f>IF((BA41&lt;2100),"Laminar",IF((BA41&gt;4000),"Turbulent","Transient"))</f>
        <v>Turbulent</v>
      </c>
      <c r="BB43" s="441"/>
      <c r="BC43" s="441"/>
      <c r="BD43" s="441"/>
      <c r="BE43" s="441"/>
      <c r="BF43" s="441"/>
      <c r="BG43" s="441" t="str">
        <f>IF((BG41&lt;2100),"Laminar",IF((BG41&gt;4000),"Turbulent","Transient"))</f>
        <v>Turbulent</v>
      </c>
      <c r="BH43" s="441"/>
      <c r="BI43" s="441"/>
      <c r="BJ43" s="441"/>
      <c r="BK43" s="441"/>
      <c r="BL43" s="441"/>
      <c r="BM43" s="441" t="str">
        <f>IF((BM41&lt;2100),"Laminar",IF((BM41&gt;4000),"Turbulent","Transient"))</f>
        <v>Turbulent</v>
      </c>
      <c r="BN43" s="441"/>
      <c r="BO43" s="441"/>
      <c r="BP43" s="441"/>
      <c r="BQ43" s="441"/>
      <c r="BR43" s="441"/>
      <c r="BS43" s="441" t="str">
        <f>IF((BS41&lt;2100),"Laminar",IF((BS41&gt;4000),"Turbulent","Transient"))</f>
        <v>Turbulent</v>
      </c>
      <c r="BT43" s="441"/>
      <c r="BU43" s="441"/>
      <c r="BV43" s="441"/>
      <c r="BW43" s="441"/>
      <c r="BX43" s="441"/>
      <c r="BY43" s="441" t="str">
        <f>IF((BY41&lt;2100),"Laminar",IF((BY41&gt;4000),"Turbulent","Transient"))</f>
        <v>Turbulent</v>
      </c>
      <c r="BZ43" s="441"/>
      <c r="CA43" s="441"/>
      <c r="CB43" s="441"/>
      <c r="CC43" s="441"/>
      <c r="CD43" s="441"/>
      <c r="CE43" s="441" t="str">
        <f>IF((CE41&lt;2100),"Laminar",IF((CE41&gt;4000),"Turbulent","Transient"))</f>
        <v>Turbulent</v>
      </c>
      <c r="CF43" s="441"/>
      <c r="CG43" s="441"/>
      <c r="CH43" s="441"/>
      <c r="CI43" s="441"/>
      <c r="CJ43" s="441"/>
      <c r="CK43" s="441" t="str">
        <f>IF((CK41&lt;2100),"Laminar",IF((CK41&gt;4000),"Turbulent","Transient"))</f>
        <v>Turbulent</v>
      </c>
      <c r="CL43" s="441"/>
      <c r="CM43" s="441"/>
      <c r="CN43" s="441"/>
      <c r="CO43" s="441"/>
      <c r="CP43" s="441"/>
      <c r="CQ43" s="441" t="str">
        <f>IF((CQ41&lt;2100),"Laminar",IF((CQ41&gt;4000),"Turbulent","Transient"))</f>
        <v>Turbulent</v>
      </c>
      <c r="CR43" s="441"/>
      <c r="CS43" s="441"/>
      <c r="CT43" s="441"/>
      <c r="CU43" s="441"/>
      <c r="CV43" s="441"/>
      <c r="CW43" s="441" t="str">
        <f>IF((CW41&lt;2100),"Laminar",IF((CW41&gt;4000),"Turbulent","Transient"))</f>
        <v>Turbulent</v>
      </c>
      <c r="CX43" s="441"/>
      <c r="CY43" s="441"/>
      <c r="CZ43" s="441"/>
      <c r="DA43" s="441"/>
      <c r="DB43" s="441"/>
      <c r="DC43" s="441" t="str">
        <f>IF((DC41&lt;2100),"Laminar",IF((DC41&gt;4000),"Turbulent","Transient"))</f>
        <v>Turbulent</v>
      </c>
      <c r="DD43" s="441"/>
      <c r="DE43" s="441"/>
      <c r="DF43" s="441"/>
      <c r="DG43" s="441"/>
      <c r="DH43" s="441"/>
      <c r="DI43" s="441" t="str">
        <f>IF((DI41&lt;2100),"Laminar",IF((DI41&gt;4000),"Turbulent","Transient"))</f>
        <v>Turbulent</v>
      </c>
      <c r="DJ43" s="441"/>
      <c r="DK43" s="441"/>
      <c r="DL43" s="441"/>
      <c r="DM43" s="441"/>
      <c r="DN43" s="441"/>
    </row>
    <row r="44" spans="2:118" ht="14.5" hidden="1" customHeight="1" x14ac:dyDescent="0.35">
      <c r="B44" s="400"/>
      <c r="C44" s="515" t="s">
        <v>51</v>
      </c>
      <c r="D44" s="515"/>
      <c r="E44" s="497">
        <f>64/E41</f>
        <v>5.7682053613103336E-4</v>
      </c>
      <c r="F44" s="498"/>
      <c r="G44" s="498"/>
      <c r="H44" s="498"/>
      <c r="I44" s="498"/>
      <c r="J44" s="499"/>
      <c r="K44" s="442">
        <f>64/K41</f>
        <v>5.7685408511291803E-4</v>
      </c>
      <c r="L44" s="442"/>
      <c r="M44" s="442"/>
      <c r="N44" s="442"/>
      <c r="O44" s="442"/>
      <c r="P44" s="442"/>
      <c r="Q44" s="442">
        <f>64/Q41</f>
        <v>5.7685408511291814E-4</v>
      </c>
      <c r="R44" s="442"/>
      <c r="S44" s="442"/>
      <c r="T44" s="442"/>
      <c r="U44" s="442"/>
      <c r="V44" s="442"/>
      <c r="W44" s="442">
        <f>64/W41</f>
        <v>3.1449975459713953E-4</v>
      </c>
      <c r="X44" s="442"/>
      <c r="Y44" s="442"/>
      <c r="Z44" s="442"/>
      <c r="AA44" s="442"/>
      <c r="AB44" s="442"/>
      <c r="AC44" s="442">
        <f>64/AC41</f>
        <v>2.087676854094119E-4</v>
      </c>
      <c r="AD44" s="442"/>
      <c r="AE44" s="442"/>
      <c r="AF44" s="442"/>
      <c r="AG44" s="442"/>
      <c r="AH44" s="442"/>
      <c r="AI44" s="442">
        <f>64/AI41</f>
        <v>2.087676854094119E-4</v>
      </c>
      <c r="AJ44" s="442"/>
      <c r="AK44" s="442"/>
      <c r="AL44" s="442"/>
      <c r="AM44" s="442"/>
      <c r="AN44" s="442"/>
      <c r="AO44" s="442">
        <f>64/AO41</f>
        <v>2.087676854094119E-4</v>
      </c>
      <c r="AP44" s="442"/>
      <c r="AQ44" s="442"/>
      <c r="AR44" s="442"/>
      <c r="AS44" s="442"/>
      <c r="AT44" s="442"/>
      <c r="AU44" s="442">
        <f>64/AU41</f>
        <v>2.0882797066029544E-4</v>
      </c>
      <c r="AV44" s="442"/>
      <c r="AW44" s="442"/>
      <c r="AX44" s="442"/>
      <c r="AY44" s="442"/>
      <c r="AZ44" s="442"/>
      <c r="BA44" s="442">
        <f>64/BA41</f>
        <v>2.0882797066029544E-4</v>
      </c>
      <c r="BB44" s="442"/>
      <c r="BC44" s="442"/>
      <c r="BD44" s="442"/>
      <c r="BE44" s="442"/>
      <c r="BF44" s="442"/>
      <c r="BG44" s="442">
        <f>64/BG41</f>
        <v>2.0882797066029544E-4</v>
      </c>
      <c r="BH44" s="442"/>
      <c r="BI44" s="442"/>
      <c r="BJ44" s="442"/>
      <c r="BK44" s="442"/>
      <c r="BL44" s="442"/>
      <c r="BM44" s="442">
        <f>64/BM41</f>
        <v>1.198248124979463E-3</v>
      </c>
      <c r="BN44" s="442"/>
      <c r="BO44" s="442"/>
      <c r="BP44" s="442"/>
      <c r="BQ44" s="442"/>
      <c r="BR44" s="442"/>
      <c r="BS44" s="442">
        <f>64/BS41</f>
        <v>9.099647138941598E-4</v>
      </c>
      <c r="BT44" s="442"/>
      <c r="BU44" s="442"/>
      <c r="BV44" s="442"/>
      <c r="BW44" s="442"/>
      <c r="BX44" s="442"/>
      <c r="BY44" s="442">
        <f>64/BY41</f>
        <v>4.5902993837086654E-4</v>
      </c>
      <c r="BZ44" s="442"/>
      <c r="CA44" s="442"/>
      <c r="CB44" s="442"/>
      <c r="CC44" s="442"/>
      <c r="CD44" s="442"/>
      <c r="CE44" s="442">
        <f>64/CE41</f>
        <v>4.5902993837086654E-4</v>
      </c>
      <c r="CF44" s="442"/>
      <c r="CG44" s="442"/>
      <c r="CH44" s="442"/>
      <c r="CI44" s="442"/>
      <c r="CJ44" s="442"/>
      <c r="CK44" s="442">
        <f>64/CK41</f>
        <v>7.5367746913474365E-4</v>
      </c>
      <c r="CL44" s="442"/>
      <c r="CM44" s="442"/>
      <c r="CN44" s="442"/>
      <c r="CO44" s="442"/>
      <c r="CP44" s="442"/>
      <c r="CQ44" s="442">
        <f>64/CQ41</f>
        <v>7.5367746913474365E-4</v>
      </c>
      <c r="CR44" s="442"/>
      <c r="CS44" s="442"/>
      <c r="CT44" s="442"/>
      <c r="CU44" s="442"/>
      <c r="CV44" s="442"/>
      <c r="CW44" s="442">
        <f>64/CW41</f>
        <v>7.5367746913474365E-4</v>
      </c>
      <c r="CX44" s="442"/>
      <c r="CY44" s="442"/>
      <c r="CZ44" s="442"/>
      <c r="DA44" s="442"/>
      <c r="DB44" s="442"/>
      <c r="DC44" s="442">
        <f>64/DC41</f>
        <v>7.5367746913474365E-4</v>
      </c>
      <c r="DD44" s="442"/>
      <c r="DE44" s="442"/>
      <c r="DF44" s="442"/>
      <c r="DG44" s="442"/>
      <c r="DH44" s="442"/>
      <c r="DI44" s="442">
        <f>64/DI41</f>
        <v>7.5367746913474387E-4</v>
      </c>
      <c r="DJ44" s="442"/>
      <c r="DK44" s="442"/>
      <c r="DL44" s="442"/>
      <c r="DM44" s="442"/>
      <c r="DN44" s="442"/>
    </row>
    <row r="45" spans="2:118" ht="14.5" hidden="1" customHeight="1" x14ac:dyDescent="0.35">
      <c r="B45" s="400"/>
      <c r="C45" s="405" t="s">
        <v>47</v>
      </c>
      <c r="D45" s="196" t="s">
        <v>46</v>
      </c>
      <c r="E45" s="522">
        <f>(-2.457*LN((7/E41)^0.9+0.27*E32/E30))^16</f>
        <v>9.1198744639528292E+20</v>
      </c>
      <c r="F45" s="523"/>
      <c r="G45" s="523"/>
      <c r="H45" s="523"/>
      <c r="I45" s="523"/>
      <c r="J45" s="524"/>
      <c r="K45" s="443">
        <f>(-2.457*LN((7/K41)^0.9+0.27*K32/K30))^16</f>
        <v>9.1192546433966683E+20</v>
      </c>
      <c r="L45" s="443"/>
      <c r="M45" s="443"/>
      <c r="N45" s="443"/>
      <c r="O45" s="443"/>
      <c r="P45" s="443"/>
      <c r="Q45" s="443">
        <f>(-2.457*LN((7/Q41)^0.9+0.27*Q32/Q30))^16</f>
        <v>9.1192546433966683E+20</v>
      </c>
      <c r="R45" s="443"/>
      <c r="S45" s="443"/>
      <c r="T45" s="443"/>
      <c r="U45" s="443"/>
      <c r="V45" s="443"/>
      <c r="W45" s="443">
        <f>(-2.457*LN((7/W41)^0.9+0.27*W32/W30))^16</f>
        <v>1.712074501363785E+21</v>
      </c>
      <c r="X45" s="443"/>
      <c r="Y45" s="443"/>
      <c r="Z45" s="443"/>
      <c r="AA45" s="443"/>
      <c r="AB45" s="443"/>
      <c r="AC45" s="443">
        <f>(-2.457*LN((7/AC41)^0.9+0.27*AC32/AC30))^16</f>
        <v>1.5310052527717134E+21</v>
      </c>
      <c r="AD45" s="443"/>
      <c r="AE45" s="443"/>
      <c r="AF45" s="443"/>
      <c r="AG45" s="443"/>
      <c r="AH45" s="443"/>
      <c r="AI45" s="443">
        <f>(-2.457*LN((7/AI41)^0.9+0.27*AI32/AI30))^16</f>
        <v>1.5310052527717134E+21</v>
      </c>
      <c r="AJ45" s="443"/>
      <c r="AK45" s="443"/>
      <c r="AL45" s="443"/>
      <c r="AM45" s="443"/>
      <c r="AN45" s="443"/>
      <c r="AO45" s="443">
        <f>(-2.457*LN((7/AO41)^0.9+0.27*AO32/AO30))^16</f>
        <v>1.5310052527717134E+21</v>
      </c>
      <c r="AP45" s="443"/>
      <c r="AQ45" s="443"/>
      <c r="AR45" s="443"/>
      <c r="AS45" s="443"/>
      <c r="AT45" s="443"/>
      <c r="AU45" s="443">
        <f>(-2.457*LN((7/AU41)^0.9+0.27*AU32/AU30))^16</f>
        <v>1.5307418705458186E+21</v>
      </c>
      <c r="AV45" s="443"/>
      <c r="AW45" s="443"/>
      <c r="AX45" s="443"/>
      <c r="AY45" s="443"/>
      <c r="AZ45" s="443"/>
      <c r="BA45" s="443">
        <f>(-2.457*LN((7/BA41)^0.9+0.27*BA32/BA30))^16</f>
        <v>1.5307418705458186E+21</v>
      </c>
      <c r="BB45" s="443"/>
      <c r="BC45" s="443"/>
      <c r="BD45" s="443"/>
      <c r="BE45" s="443"/>
      <c r="BF45" s="443"/>
      <c r="BG45" s="443">
        <f>(-2.457*LN((7/BG41)^0.9+0.27*BG32/BG30))^16</f>
        <v>1.5307418705458186E+21</v>
      </c>
      <c r="BH45" s="443"/>
      <c r="BI45" s="443"/>
      <c r="BJ45" s="443"/>
      <c r="BK45" s="443"/>
      <c r="BL45" s="443"/>
      <c r="BM45" s="443">
        <f>(-2.457*LN((7/BM41)^0.9+0.27*BM32/BM30))^16</f>
        <v>3.8348217762837044E+20</v>
      </c>
      <c r="BN45" s="443"/>
      <c r="BO45" s="443"/>
      <c r="BP45" s="443"/>
      <c r="BQ45" s="443"/>
      <c r="BR45" s="443"/>
      <c r="BS45" s="443">
        <f>(-2.457*LN((7/BS41)^0.9+0.27*BS32/BS30))^16</f>
        <v>5.7721839431362622E+20</v>
      </c>
      <c r="BT45" s="443"/>
      <c r="BU45" s="443"/>
      <c r="BV45" s="443"/>
      <c r="BW45" s="443"/>
      <c r="BX45" s="443"/>
      <c r="BY45" s="443">
        <f>(-2.457*LN((7/BY41)^0.9+0.27*BY32/BY30))^16</f>
        <v>8.4611294036175421E+20</v>
      </c>
      <c r="BZ45" s="443"/>
      <c r="CA45" s="443"/>
      <c r="CB45" s="443"/>
      <c r="CC45" s="443"/>
      <c r="CD45" s="443"/>
      <c r="CE45" s="443">
        <f>(-2.457*LN((7/CE41)^0.9+0.27*CE32/CE30))^16</f>
        <v>8.4611294036175421E+20</v>
      </c>
      <c r="CF45" s="443"/>
      <c r="CG45" s="443"/>
      <c r="CH45" s="443"/>
      <c r="CI45" s="443"/>
      <c r="CJ45" s="443"/>
      <c r="CK45" s="443">
        <f>(-2.457*LN((7/CK41)^0.9+0.27*CK32/CK30))^16</f>
        <v>3.8890219181293083E+20</v>
      </c>
      <c r="CL45" s="443"/>
      <c r="CM45" s="443"/>
      <c r="CN45" s="443"/>
      <c r="CO45" s="443"/>
      <c r="CP45" s="443"/>
      <c r="CQ45" s="443">
        <f>(-2.457*LN((7/CQ41)^0.9+0.27*CQ32/CQ30))^16</f>
        <v>3.8890219181293083E+20</v>
      </c>
      <c r="CR45" s="443"/>
      <c r="CS45" s="443"/>
      <c r="CT45" s="443"/>
      <c r="CU45" s="443"/>
      <c r="CV45" s="443"/>
      <c r="CW45" s="443">
        <f>(-2.457*LN((7/CW41)^0.9+0.27*CW32/CW30))^16</f>
        <v>3.8890219181293083E+20</v>
      </c>
      <c r="CX45" s="443"/>
      <c r="CY45" s="443"/>
      <c r="CZ45" s="443"/>
      <c r="DA45" s="443"/>
      <c r="DB45" s="443"/>
      <c r="DC45" s="443">
        <f>(-2.457*LN((7/DC41)^0.9+0.27*DC32/DC30))^16</f>
        <v>3.8890219181293083E+20</v>
      </c>
      <c r="DD45" s="443"/>
      <c r="DE45" s="443"/>
      <c r="DF45" s="443"/>
      <c r="DG45" s="443"/>
      <c r="DH45" s="443"/>
      <c r="DI45" s="443">
        <f>(-2.457*LN((7/DI41)^0.9+0.27*DI32/DI30))^16</f>
        <v>3.8890219181293083E+20</v>
      </c>
      <c r="DJ45" s="443"/>
      <c r="DK45" s="443"/>
      <c r="DL45" s="443"/>
      <c r="DM45" s="443"/>
      <c r="DN45" s="443"/>
    </row>
    <row r="46" spans="2:118" ht="14.5" hidden="1" customHeight="1" x14ac:dyDescent="0.35">
      <c r="B46" s="400"/>
      <c r="C46" s="405" t="s">
        <v>47</v>
      </c>
      <c r="D46" s="196" t="s">
        <v>45</v>
      </c>
      <c r="E46" s="525">
        <f>(37530/E41)^16</f>
        <v>2.936492315598176E-8</v>
      </c>
      <c r="F46" s="526"/>
      <c r="G46" s="526"/>
      <c r="H46" s="526"/>
      <c r="I46" s="526"/>
      <c r="J46" s="527"/>
      <c r="K46" s="444">
        <f>(37530/K41)^16</f>
        <v>2.9392261797995646E-8</v>
      </c>
      <c r="L46" s="444"/>
      <c r="M46" s="444"/>
      <c r="N46" s="444"/>
      <c r="O46" s="444"/>
      <c r="P46" s="444"/>
      <c r="Q46" s="444">
        <f>(37530/Q41)^16</f>
        <v>2.9392261797995738E-8</v>
      </c>
      <c r="R46" s="444"/>
      <c r="S46" s="444"/>
      <c r="T46" s="444"/>
      <c r="U46" s="444"/>
      <c r="V46" s="444"/>
      <c r="W46" s="444">
        <f>(37530/W41)^16</f>
        <v>1.7910281892199067E-12</v>
      </c>
      <c r="X46" s="444"/>
      <c r="Y46" s="444"/>
      <c r="Z46" s="444"/>
      <c r="AA46" s="444"/>
      <c r="AB46" s="444"/>
      <c r="AC46" s="444">
        <f>(37530/AC41)^16</f>
        <v>2.5455982686245797E-15</v>
      </c>
      <c r="AD46" s="444"/>
      <c r="AE46" s="444"/>
      <c r="AF46" s="444"/>
      <c r="AG46" s="444"/>
      <c r="AH46" s="444"/>
      <c r="AI46" s="444">
        <f>(37530/AI41)^16</f>
        <v>2.5455982686245797E-15</v>
      </c>
      <c r="AJ46" s="444"/>
      <c r="AK46" s="444"/>
      <c r="AL46" s="444"/>
      <c r="AM46" s="444"/>
      <c r="AN46" s="444"/>
      <c r="AO46" s="444">
        <f>(37530/AO41)^16</f>
        <v>2.5455982686245797E-15</v>
      </c>
      <c r="AP46" s="444"/>
      <c r="AQ46" s="444"/>
      <c r="AR46" s="444"/>
      <c r="AS46" s="444"/>
      <c r="AT46" s="444"/>
      <c r="AU46" s="444">
        <f>(37530/AU41)^16</f>
        <v>2.557385137975024E-15</v>
      </c>
      <c r="AV46" s="444"/>
      <c r="AW46" s="444"/>
      <c r="AX46" s="444"/>
      <c r="AY46" s="444"/>
      <c r="AZ46" s="444"/>
      <c r="BA46" s="444">
        <f>(37530/BA41)^16</f>
        <v>2.557385137975024E-15</v>
      </c>
      <c r="BB46" s="444"/>
      <c r="BC46" s="444"/>
      <c r="BD46" s="444"/>
      <c r="BE46" s="444"/>
      <c r="BF46" s="444"/>
      <c r="BG46" s="444">
        <f>(37530/BG41)^16</f>
        <v>2.557385137975024E-15</v>
      </c>
      <c r="BH46" s="444"/>
      <c r="BI46" s="444"/>
      <c r="BJ46" s="444"/>
      <c r="BK46" s="444"/>
      <c r="BL46" s="444"/>
      <c r="BM46" s="444">
        <f>(37530/BM41)^16</f>
        <v>3.5312265094329938E-3</v>
      </c>
      <c r="BN46" s="444"/>
      <c r="BO46" s="444"/>
      <c r="BP46" s="444"/>
      <c r="BQ46" s="444"/>
      <c r="BR46" s="444"/>
      <c r="BS46" s="444">
        <f>(37530/BS41)^16</f>
        <v>4.3208608055482447E-5</v>
      </c>
      <c r="BT46" s="444"/>
      <c r="BU46" s="444"/>
      <c r="BV46" s="444"/>
      <c r="BW46" s="444"/>
      <c r="BX46" s="444"/>
      <c r="BY46" s="444">
        <f>(37530/BY41)^16</f>
        <v>7.5968514085290702E-10</v>
      </c>
      <c r="BZ46" s="444"/>
      <c r="CA46" s="444"/>
      <c r="CB46" s="444"/>
      <c r="CC46" s="444"/>
      <c r="CD46" s="444"/>
      <c r="CE46" s="444">
        <f>(37530/CE41)^16</f>
        <v>7.5968514085290702E-10</v>
      </c>
      <c r="CF46" s="444"/>
      <c r="CG46" s="444"/>
      <c r="CH46" s="444"/>
      <c r="CI46" s="444"/>
      <c r="CJ46" s="444"/>
      <c r="CK46" s="444">
        <f>(37530/CK41)^16</f>
        <v>2.1190732321053125E-6</v>
      </c>
      <c r="CL46" s="444"/>
      <c r="CM46" s="444"/>
      <c r="CN46" s="444"/>
      <c r="CO46" s="444"/>
      <c r="CP46" s="444"/>
      <c r="CQ46" s="444">
        <f>(37530/CQ41)^16</f>
        <v>2.1190732321053125E-6</v>
      </c>
      <c r="CR46" s="444"/>
      <c r="CS46" s="444"/>
      <c r="CT46" s="444"/>
      <c r="CU46" s="444"/>
      <c r="CV46" s="444"/>
      <c r="CW46" s="444">
        <f>(37530/CW41)^16</f>
        <v>2.1190732321053125E-6</v>
      </c>
      <c r="CX46" s="444"/>
      <c r="CY46" s="444"/>
      <c r="CZ46" s="444"/>
      <c r="DA46" s="444"/>
      <c r="DB46" s="444"/>
      <c r="DC46" s="444">
        <f>(37530/DC41)^16</f>
        <v>2.1190732321053125E-6</v>
      </c>
      <c r="DD46" s="444"/>
      <c r="DE46" s="444"/>
      <c r="DF46" s="444"/>
      <c r="DG46" s="444"/>
      <c r="DH46" s="444"/>
      <c r="DI46" s="444">
        <f>(37530/DI41)^16</f>
        <v>2.1190732321053155E-6</v>
      </c>
      <c r="DJ46" s="444"/>
      <c r="DK46" s="444"/>
      <c r="DL46" s="444"/>
      <c r="DM46" s="444"/>
      <c r="DN46" s="444"/>
    </row>
    <row r="47" spans="2:118" ht="14.5" hidden="1" customHeight="1" x14ac:dyDescent="0.35">
      <c r="B47" s="400"/>
      <c r="C47" s="515" t="s">
        <v>50</v>
      </c>
      <c r="D47" s="515"/>
      <c r="E47" s="528">
        <f>8*((8/E41)^12+(E45+E46)^(-1.5))^(1/12)</f>
        <v>1.9190724882799291E-2</v>
      </c>
      <c r="F47" s="529"/>
      <c r="G47" s="529"/>
      <c r="H47" s="529"/>
      <c r="I47" s="529"/>
      <c r="J47" s="530"/>
      <c r="K47" s="445">
        <f>8*((8/K41)^12+(K45+K46)^(-1.5))^(1/12)</f>
        <v>1.91908879231538E-2</v>
      </c>
      <c r="L47" s="445"/>
      <c r="M47" s="445"/>
      <c r="N47" s="445"/>
      <c r="O47" s="445"/>
      <c r="P47" s="445"/>
      <c r="Q47" s="445">
        <f>8*((8/Q41)^12+(Q45+Q46)^(-1.5))^(1/12)</f>
        <v>1.91908879231538E-2</v>
      </c>
      <c r="R47" s="445"/>
      <c r="S47" s="445"/>
      <c r="T47" s="445"/>
      <c r="U47" s="445"/>
      <c r="V47" s="445"/>
      <c r="W47" s="445">
        <f>8*((8/W41)^12+(W45+W46)^(-1.5))^(1/12)</f>
        <v>1.7737795949568091E-2</v>
      </c>
      <c r="X47" s="445"/>
      <c r="Y47" s="445"/>
      <c r="Z47" s="445"/>
      <c r="AA47" s="445"/>
      <c r="AB47" s="445"/>
      <c r="AC47" s="445">
        <f>8*((8/AC41)^12+(AC45+AC46)^(-1.5))^(1/12)</f>
        <v>1.7987379679994902E-2</v>
      </c>
      <c r="AD47" s="445"/>
      <c r="AE47" s="445"/>
      <c r="AF47" s="445"/>
      <c r="AG47" s="445"/>
      <c r="AH47" s="445"/>
      <c r="AI47" s="445">
        <f>8*((8/AI41)^12+(AI45+AI46)^(-1.5))^(1/12)</f>
        <v>1.7987379679994902E-2</v>
      </c>
      <c r="AJ47" s="445"/>
      <c r="AK47" s="445"/>
      <c r="AL47" s="445"/>
      <c r="AM47" s="445"/>
      <c r="AN47" s="445"/>
      <c r="AO47" s="445">
        <f>8*((8/AO41)^12+(AO45+AO46)^(-1.5))^(1/12)</f>
        <v>1.7987379679994902E-2</v>
      </c>
      <c r="AP47" s="445"/>
      <c r="AQ47" s="445"/>
      <c r="AR47" s="445"/>
      <c r="AS47" s="445"/>
      <c r="AT47" s="445"/>
      <c r="AU47" s="445">
        <f>8*((8/AU41)^12+(AU45+AU46)^(-1.5))^(1/12)</f>
        <v>1.7987766518527126E-2</v>
      </c>
      <c r="AV47" s="445"/>
      <c r="AW47" s="445"/>
      <c r="AX47" s="445"/>
      <c r="AY47" s="445"/>
      <c r="AZ47" s="445"/>
      <c r="BA47" s="445">
        <f>8*((8/BA41)^12+(BA45+BA46)^(-1.5))^(1/12)</f>
        <v>1.7987766518527126E-2</v>
      </c>
      <c r="BB47" s="445"/>
      <c r="BC47" s="445"/>
      <c r="BD47" s="445"/>
      <c r="BE47" s="445"/>
      <c r="BF47" s="445"/>
      <c r="BG47" s="445">
        <f>8*((8/BG41)^12+(BG45+BG46)^(-1.5))^(1/12)</f>
        <v>1.7987766518527126E-2</v>
      </c>
      <c r="BH47" s="445"/>
      <c r="BI47" s="445"/>
      <c r="BJ47" s="445"/>
      <c r="BK47" s="445"/>
      <c r="BL47" s="445"/>
      <c r="BM47" s="445">
        <f>8*((8/BM41)^12+(BM45+BM46)^(-1.5))^(1/12)</f>
        <v>2.1385619669244633E-2</v>
      </c>
      <c r="BN47" s="445"/>
      <c r="BO47" s="445"/>
      <c r="BP47" s="445"/>
      <c r="BQ47" s="445"/>
      <c r="BR47" s="445"/>
      <c r="BS47" s="445">
        <f>8*((8/BS41)^12+(BS45+BS46)^(-1.5))^(1/12)</f>
        <v>2.0319942126559756E-2</v>
      </c>
      <c r="BT47" s="445"/>
      <c r="BU47" s="445"/>
      <c r="BV47" s="445"/>
      <c r="BW47" s="445"/>
      <c r="BX47" s="445"/>
      <c r="BY47" s="445">
        <f>8*((8/BY41)^12+(BY45+BY46)^(-1.5))^(1/12)</f>
        <v>1.9371419442290365E-2</v>
      </c>
      <c r="BZ47" s="445"/>
      <c r="CA47" s="445"/>
      <c r="CB47" s="445"/>
      <c r="CC47" s="445"/>
      <c r="CD47" s="445"/>
      <c r="CE47" s="445">
        <f>8*((8/CE41)^12+(CE45+CE46)^(-1.5))^(1/12)</f>
        <v>1.9371419442290365E-2</v>
      </c>
      <c r="CF47" s="445"/>
      <c r="CG47" s="445"/>
      <c r="CH47" s="445"/>
      <c r="CI47" s="445"/>
      <c r="CJ47" s="445"/>
      <c r="CK47" s="445">
        <f>8*((8/CK41)^12+(CK45+CK46)^(-1.5))^(1/12)</f>
        <v>2.134813488390597E-2</v>
      </c>
      <c r="CL47" s="445"/>
      <c r="CM47" s="445"/>
      <c r="CN47" s="445"/>
      <c r="CO47" s="445"/>
      <c r="CP47" s="445"/>
      <c r="CQ47" s="445">
        <f>8*((8/CQ41)^12+(CQ45+CQ46)^(-1.5))^(1/12)</f>
        <v>2.134813488390597E-2</v>
      </c>
      <c r="CR47" s="445"/>
      <c r="CS47" s="445"/>
      <c r="CT47" s="445"/>
      <c r="CU47" s="445"/>
      <c r="CV47" s="445"/>
      <c r="CW47" s="445">
        <f>8*((8/CW41)^12+(CW45+CW46)^(-1.5))^(1/12)</f>
        <v>2.134813488390597E-2</v>
      </c>
      <c r="CX47" s="445"/>
      <c r="CY47" s="445"/>
      <c r="CZ47" s="445"/>
      <c r="DA47" s="445"/>
      <c r="DB47" s="445"/>
      <c r="DC47" s="445">
        <f>8*((8/DC41)^12+(DC45+DC46)^(-1.5))^(1/12)</f>
        <v>2.134813488390597E-2</v>
      </c>
      <c r="DD47" s="445"/>
      <c r="DE47" s="445"/>
      <c r="DF47" s="445"/>
      <c r="DG47" s="445"/>
      <c r="DH47" s="445"/>
      <c r="DI47" s="445">
        <f>8*((8/DI41)^12+(DI45+DI46)^(-1.5))^(1/12)</f>
        <v>2.134813488390597E-2</v>
      </c>
      <c r="DJ47" s="445"/>
      <c r="DK47" s="445"/>
      <c r="DL47" s="445"/>
      <c r="DM47" s="445"/>
      <c r="DN47" s="445"/>
    </row>
    <row r="48" spans="2:118" ht="14.5" hidden="1" customHeight="1" x14ac:dyDescent="0.35">
      <c r="B48" s="400"/>
      <c r="C48" s="197" t="s">
        <v>49</v>
      </c>
      <c r="D48" s="405"/>
      <c r="E48" s="394"/>
      <c r="F48" s="394"/>
      <c r="G48" s="394"/>
      <c r="H48" s="394"/>
      <c r="I48" s="394"/>
      <c r="J48" s="394"/>
      <c r="K48" s="394"/>
      <c r="L48" s="394"/>
      <c r="M48" s="394"/>
      <c r="N48" s="394"/>
      <c r="O48" s="394"/>
      <c r="P48" s="394"/>
      <c r="Q48" s="394"/>
      <c r="R48" s="394"/>
      <c r="S48" s="394"/>
      <c r="T48" s="394"/>
      <c r="U48" s="394"/>
      <c r="V48" s="394"/>
      <c r="W48" s="394"/>
      <c r="X48" s="394"/>
      <c r="Y48" s="394"/>
      <c r="Z48" s="394"/>
      <c r="AA48" s="394"/>
      <c r="AB48" s="394"/>
      <c r="AC48" s="394"/>
      <c r="AD48" s="394"/>
      <c r="AE48" s="394"/>
      <c r="AF48" s="394"/>
      <c r="AG48" s="394"/>
      <c r="AH48" s="394"/>
      <c r="AI48" s="394"/>
      <c r="AJ48" s="394"/>
      <c r="AK48" s="394"/>
      <c r="AL48" s="394"/>
      <c r="AM48" s="394"/>
      <c r="AN48" s="394"/>
      <c r="AO48" s="394"/>
      <c r="AP48" s="394"/>
      <c r="AQ48" s="394"/>
      <c r="AR48" s="394"/>
      <c r="AS48" s="394"/>
      <c r="AT48" s="394"/>
      <c r="AU48" s="394"/>
      <c r="AV48" s="394"/>
      <c r="AW48" s="394"/>
      <c r="AX48" s="394"/>
      <c r="AY48" s="394"/>
      <c r="AZ48" s="394"/>
      <c r="BA48" s="394"/>
      <c r="BB48" s="394"/>
      <c r="BC48" s="394"/>
      <c r="BD48" s="394"/>
      <c r="BE48" s="394"/>
      <c r="BF48" s="394"/>
      <c r="BG48" s="394"/>
      <c r="BH48" s="394"/>
      <c r="BI48" s="394"/>
      <c r="BJ48" s="394"/>
      <c r="BK48" s="394"/>
      <c r="BL48" s="394"/>
      <c r="BM48" s="394"/>
      <c r="BN48" s="394"/>
      <c r="BO48" s="394"/>
      <c r="BP48" s="394"/>
      <c r="BQ48" s="394"/>
      <c r="BR48" s="394"/>
      <c r="BS48" s="394"/>
      <c r="BT48" s="394"/>
      <c r="BU48" s="394"/>
      <c r="BV48" s="394"/>
      <c r="BW48" s="394"/>
      <c r="BX48" s="394"/>
      <c r="BY48" s="394"/>
      <c r="BZ48" s="394"/>
      <c r="CA48" s="394"/>
      <c r="CB48" s="394"/>
      <c r="CC48" s="394"/>
      <c r="CD48" s="394"/>
      <c r="CE48" s="394"/>
      <c r="CF48" s="394"/>
      <c r="CG48" s="394"/>
      <c r="CH48" s="394"/>
      <c r="CI48" s="394"/>
      <c r="CJ48" s="394"/>
      <c r="CK48" s="394"/>
      <c r="CL48" s="394"/>
      <c r="CM48" s="394"/>
      <c r="CN48" s="394"/>
      <c r="CO48" s="394"/>
      <c r="CP48" s="394"/>
      <c r="CQ48" s="394"/>
      <c r="CR48" s="394"/>
      <c r="CS48" s="394"/>
      <c r="CT48" s="394"/>
      <c r="CU48" s="394"/>
      <c r="CV48" s="394"/>
      <c r="CW48" s="394"/>
      <c r="CX48" s="394"/>
      <c r="CY48" s="394"/>
      <c r="CZ48" s="394"/>
      <c r="DA48" s="394"/>
      <c r="DB48" s="394"/>
      <c r="DC48" s="394"/>
      <c r="DD48" s="394"/>
      <c r="DE48" s="394"/>
      <c r="DF48" s="394"/>
      <c r="DG48" s="394"/>
      <c r="DH48" s="394"/>
      <c r="DI48" s="394"/>
      <c r="DJ48" s="394"/>
      <c r="DK48" s="394"/>
      <c r="DL48" s="394"/>
      <c r="DM48" s="394"/>
      <c r="DN48" s="394"/>
    </row>
    <row r="49" spans="2:118" ht="14.5" hidden="1" customHeight="1" x14ac:dyDescent="0.35">
      <c r="B49" s="400"/>
      <c r="C49" s="405" t="s">
        <v>48</v>
      </c>
      <c r="D49" s="405"/>
      <c r="E49" s="497">
        <f>1/((-2*LOG10(((E32/(E30*3.7))+(2.51/(E41*SQRT(E47))))))^2)</f>
        <v>1.9146493707408889E-2</v>
      </c>
      <c r="F49" s="498"/>
      <c r="G49" s="498"/>
      <c r="H49" s="498"/>
      <c r="I49" s="498"/>
      <c r="J49" s="499"/>
      <c r="K49" s="442">
        <f>1/((-2*LOG10(((K32/(K30*3.7))+(2.51/(K41*SQRT(K47))))))^2)</f>
        <v>1.9146660102112665E-2</v>
      </c>
      <c r="L49" s="442"/>
      <c r="M49" s="442"/>
      <c r="N49" s="442"/>
      <c r="O49" s="442"/>
      <c r="P49" s="442"/>
      <c r="Q49" s="442">
        <f>1/((-2*LOG10(((Q32/(Q30*3.7))+(2.51/(Q41*SQRT(Q47))))))^2)</f>
        <v>1.9146660102112665E-2</v>
      </c>
      <c r="R49" s="442"/>
      <c r="S49" s="442"/>
      <c r="T49" s="442"/>
      <c r="U49" s="442"/>
      <c r="V49" s="442"/>
      <c r="W49" s="442">
        <f>1/((-2*LOG10(((W32/(W30*3.7))+(2.51/(W41*SQRT(W47))))))^2)</f>
        <v>1.7660813537015776E-2</v>
      </c>
      <c r="X49" s="442"/>
      <c r="Y49" s="442"/>
      <c r="Z49" s="442"/>
      <c r="AA49" s="442"/>
      <c r="AB49" s="442"/>
      <c r="AC49" s="442">
        <f>1/((-2*LOG10(((AC32/(AC30*3.7))+(2.51/(AC41*SQRT(AC47))))))^2)</f>
        <v>1.7871018708124589E-2</v>
      </c>
      <c r="AD49" s="442"/>
      <c r="AE49" s="442"/>
      <c r="AF49" s="442"/>
      <c r="AG49" s="442"/>
      <c r="AH49" s="442"/>
      <c r="AI49" s="442">
        <f>1/((-2*LOG10(((AI32/(AI30*3.7))+(2.51/(AI41*SQRT(AI47))))))^2)</f>
        <v>1.7871018708124589E-2</v>
      </c>
      <c r="AJ49" s="442"/>
      <c r="AK49" s="442"/>
      <c r="AL49" s="442"/>
      <c r="AM49" s="442"/>
      <c r="AN49" s="442"/>
      <c r="AO49" s="442">
        <f>1/((-2*LOG10(((AO32/(AO30*3.7))+(2.51/(AO41*SQRT(AO47))))))^2)</f>
        <v>1.7871018708124589E-2</v>
      </c>
      <c r="AP49" s="442"/>
      <c r="AQ49" s="442"/>
      <c r="AR49" s="442"/>
      <c r="AS49" s="442"/>
      <c r="AT49" s="442"/>
      <c r="AU49" s="442">
        <f>1/((-2*LOG10(((AU32/(AU30*3.7))+(2.51/(AU41*SQRT(AU47))))))^2)</f>
        <v>1.7871405961215676E-2</v>
      </c>
      <c r="AV49" s="442"/>
      <c r="AW49" s="442"/>
      <c r="AX49" s="442"/>
      <c r="AY49" s="442"/>
      <c r="AZ49" s="442"/>
      <c r="BA49" s="442">
        <f>1/((-2*LOG10(((BA32/(BA30*3.7))+(2.51/(BA41*SQRT(BA47))))))^2)</f>
        <v>1.7871405961215676E-2</v>
      </c>
      <c r="BB49" s="442"/>
      <c r="BC49" s="442"/>
      <c r="BD49" s="442"/>
      <c r="BE49" s="442"/>
      <c r="BF49" s="442"/>
      <c r="BG49" s="442">
        <f>1/((-2*LOG10(((BG32/(BG30*3.7))+(2.51/(BG41*SQRT(BG47))))))^2)</f>
        <v>1.7871405961215676E-2</v>
      </c>
      <c r="BH49" s="442"/>
      <c r="BI49" s="442"/>
      <c r="BJ49" s="442"/>
      <c r="BK49" s="442"/>
      <c r="BL49" s="442"/>
      <c r="BM49" s="442">
        <f>1/((-2*LOG10(((BM32/(BM30*3.7))+(2.51/(BM41*SQRT(BM47))))))^2)</f>
        <v>2.1404275091788147E-2</v>
      </c>
      <c r="BN49" s="442"/>
      <c r="BO49" s="442"/>
      <c r="BP49" s="442"/>
      <c r="BQ49" s="442"/>
      <c r="BR49" s="442"/>
      <c r="BS49" s="442">
        <f>1/((-2*LOG10(((BS32/(BS30*3.7))+(2.51/(BS41*SQRT(BS47))))))^2)</f>
        <v>2.0329029963564765E-2</v>
      </c>
      <c r="BT49" s="442"/>
      <c r="BU49" s="442"/>
      <c r="BV49" s="442"/>
      <c r="BW49" s="442"/>
      <c r="BX49" s="442"/>
      <c r="BY49" s="442">
        <f>1/((-2*LOG10(((BY32/(BY30*3.7))+(2.51/(BY41*SQRT(BY47))))))^2)</f>
        <v>1.9271456868147668E-2</v>
      </c>
      <c r="BZ49" s="442"/>
      <c r="CA49" s="442"/>
      <c r="CB49" s="442"/>
      <c r="CC49" s="442"/>
      <c r="CD49" s="442"/>
      <c r="CE49" s="442">
        <f>1/((-2*LOG10(((CE32/(CE30*3.7))+(2.51/(CE41*SQRT(CE47))))))^2)</f>
        <v>1.9271456868147668E-2</v>
      </c>
      <c r="CF49" s="442"/>
      <c r="CG49" s="442"/>
      <c r="CH49" s="442"/>
      <c r="CI49" s="442"/>
      <c r="CJ49" s="442"/>
      <c r="CK49" s="442">
        <f>1/((-2*LOG10(((CK32/(CK30*3.7))+(2.51/(CK41*SQRT(CK47))))))^2)</f>
        <v>2.1228192112883019E-2</v>
      </c>
      <c r="CL49" s="442"/>
      <c r="CM49" s="442"/>
      <c r="CN49" s="442"/>
      <c r="CO49" s="442"/>
      <c r="CP49" s="442"/>
      <c r="CQ49" s="442">
        <f>1/((-2*LOG10(((CQ32/(CQ30*3.7))+(2.51/(CQ41*SQRT(CQ47))))))^2)</f>
        <v>2.1228192112883019E-2</v>
      </c>
      <c r="CR49" s="442"/>
      <c r="CS49" s="442"/>
      <c r="CT49" s="442"/>
      <c r="CU49" s="442"/>
      <c r="CV49" s="442"/>
      <c r="CW49" s="442">
        <f>1/((-2*LOG10(((CW32/(CW30*3.7))+(2.51/(CW41*SQRT(CW47))))))^2)</f>
        <v>2.1228192112883019E-2</v>
      </c>
      <c r="CX49" s="442"/>
      <c r="CY49" s="442"/>
      <c r="CZ49" s="442"/>
      <c r="DA49" s="442"/>
      <c r="DB49" s="442"/>
      <c r="DC49" s="442">
        <f>1/((-2*LOG10(((DC32/(DC30*3.7))+(2.51/(DC41*SQRT(DC47))))))^2)</f>
        <v>2.1228192112883019E-2</v>
      </c>
      <c r="DD49" s="442"/>
      <c r="DE49" s="442"/>
      <c r="DF49" s="442"/>
      <c r="DG49" s="442"/>
      <c r="DH49" s="442"/>
      <c r="DI49" s="442">
        <f>1/((-2*LOG10(((DI32/(DI30*3.7))+(2.51/(DI41*SQRT(DI47))))))^2)</f>
        <v>2.1228192112883019E-2</v>
      </c>
      <c r="DJ49" s="442"/>
      <c r="DK49" s="442"/>
      <c r="DL49" s="442"/>
      <c r="DM49" s="442"/>
      <c r="DN49" s="442"/>
    </row>
    <row r="50" spans="2:118" x14ac:dyDescent="0.35">
      <c r="B50" s="400"/>
      <c r="C50" s="405" t="s">
        <v>43</v>
      </c>
      <c r="D50" s="188" t="s">
        <v>88</v>
      </c>
      <c r="E50" s="500">
        <f>IF((E41&lt;=2100),E44,IF(E41&lt;=4000,E47,E49))</f>
        <v>1.9146493707408889E-2</v>
      </c>
      <c r="F50" s="501"/>
      <c r="G50" s="501"/>
      <c r="H50" s="501"/>
      <c r="I50" s="501"/>
      <c r="J50" s="502"/>
      <c r="K50" s="439">
        <f>IF((K41&lt;=2100),K44,IF(K41&lt;=4000,K47,K49))</f>
        <v>1.9146660102112665E-2</v>
      </c>
      <c r="L50" s="439"/>
      <c r="M50" s="439"/>
      <c r="N50" s="439"/>
      <c r="O50" s="439"/>
      <c r="P50" s="439"/>
      <c r="Q50" s="439">
        <f>IF((Q41&lt;=2100),Q44,IF(Q41&lt;=4000,Q47,Q49))</f>
        <v>1.9146660102112665E-2</v>
      </c>
      <c r="R50" s="439"/>
      <c r="S50" s="439"/>
      <c r="T50" s="439"/>
      <c r="U50" s="439"/>
      <c r="V50" s="439"/>
      <c r="W50" s="439">
        <f>IF((W41&lt;=2100),W44,IF(W41&lt;=4000,W47,W49))</f>
        <v>1.7660813537015776E-2</v>
      </c>
      <c r="X50" s="439"/>
      <c r="Y50" s="439"/>
      <c r="Z50" s="439"/>
      <c r="AA50" s="439"/>
      <c r="AB50" s="439"/>
      <c r="AC50" s="439">
        <f>IF((AC41&lt;=2100),AC44,IF(AC41&lt;=4000,AC47,AC49))</f>
        <v>1.7871018708124589E-2</v>
      </c>
      <c r="AD50" s="439"/>
      <c r="AE50" s="439"/>
      <c r="AF50" s="439"/>
      <c r="AG50" s="439"/>
      <c r="AH50" s="439"/>
      <c r="AI50" s="439">
        <f>IF((AI41&lt;=2100),AI44,IF(AI41&lt;=4000,AI47,AI49))</f>
        <v>1.7871018708124589E-2</v>
      </c>
      <c r="AJ50" s="439"/>
      <c r="AK50" s="439"/>
      <c r="AL50" s="439"/>
      <c r="AM50" s="439"/>
      <c r="AN50" s="439"/>
      <c r="AO50" s="439">
        <f>IF((AO41&lt;=2100),AO44,IF(AO41&lt;=4000,AO47,AO49))</f>
        <v>1.7871018708124589E-2</v>
      </c>
      <c r="AP50" s="439"/>
      <c r="AQ50" s="439"/>
      <c r="AR50" s="439"/>
      <c r="AS50" s="439"/>
      <c r="AT50" s="439"/>
      <c r="AU50" s="439">
        <f>IF((AU41&lt;=2100),AU44,IF(AU41&lt;=4000,AU47,AU49))</f>
        <v>1.7871405961215676E-2</v>
      </c>
      <c r="AV50" s="439"/>
      <c r="AW50" s="439"/>
      <c r="AX50" s="439"/>
      <c r="AY50" s="439"/>
      <c r="AZ50" s="439"/>
      <c r="BA50" s="439">
        <f>IF((BA41&lt;=2100),BA44,IF(BA41&lt;=4000,BA47,BA49))</f>
        <v>1.7871405961215676E-2</v>
      </c>
      <c r="BB50" s="439"/>
      <c r="BC50" s="439"/>
      <c r="BD50" s="439"/>
      <c r="BE50" s="439"/>
      <c r="BF50" s="439"/>
      <c r="BG50" s="439">
        <f>IF((BG41&lt;=2100),BG44,IF(BG41&lt;=4000,BG47,BG49))</f>
        <v>1.7871405961215676E-2</v>
      </c>
      <c r="BH50" s="439"/>
      <c r="BI50" s="439"/>
      <c r="BJ50" s="439"/>
      <c r="BK50" s="439"/>
      <c r="BL50" s="439"/>
      <c r="BM50" s="439">
        <f>IF((BM41&lt;=2100),BM44,IF(BM41&lt;=4000,BM47,BM49))</f>
        <v>2.1404275091788147E-2</v>
      </c>
      <c r="BN50" s="439"/>
      <c r="BO50" s="439"/>
      <c r="BP50" s="439"/>
      <c r="BQ50" s="439"/>
      <c r="BR50" s="439"/>
      <c r="BS50" s="439">
        <f>IF((BS41&lt;=2100),BS44,IF(BS41&lt;=4000,BS47,BS49))</f>
        <v>2.0329029963564765E-2</v>
      </c>
      <c r="BT50" s="439"/>
      <c r="BU50" s="439"/>
      <c r="BV50" s="439"/>
      <c r="BW50" s="439"/>
      <c r="BX50" s="439"/>
      <c r="BY50" s="439">
        <f>IF((BY41&lt;=2100),BY44,IF(BY41&lt;=4000,BY47,BY49))</f>
        <v>1.9271456868147668E-2</v>
      </c>
      <c r="BZ50" s="439"/>
      <c r="CA50" s="439"/>
      <c r="CB50" s="439"/>
      <c r="CC50" s="439"/>
      <c r="CD50" s="439"/>
      <c r="CE50" s="439">
        <f>IF((CE41&lt;=2100),CE44,IF(CE41&lt;=4000,CE47,CE49))</f>
        <v>1.9271456868147668E-2</v>
      </c>
      <c r="CF50" s="439"/>
      <c r="CG50" s="439"/>
      <c r="CH50" s="439"/>
      <c r="CI50" s="439"/>
      <c r="CJ50" s="439"/>
      <c r="CK50" s="439">
        <f>IF((CK41&lt;=2100),CK44,IF(CK41&lt;=4000,CK47,CK49))</f>
        <v>2.1228192112883019E-2</v>
      </c>
      <c r="CL50" s="439"/>
      <c r="CM50" s="439"/>
      <c r="CN50" s="439"/>
      <c r="CO50" s="439"/>
      <c r="CP50" s="439"/>
      <c r="CQ50" s="439">
        <f>IF((CQ41&lt;=2100),CQ44,IF(CQ41&lt;=4000,CQ47,CQ49))</f>
        <v>2.1228192112883019E-2</v>
      </c>
      <c r="CR50" s="439"/>
      <c r="CS50" s="439"/>
      <c r="CT50" s="439"/>
      <c r="CU50" s="439"/>
      <c r="CV50" s="439"/>
      <c r="CW50" s="439">
        <f>IF((CW41&lt;=2100),CW44,IF(CW41&lt;=4000,CW47,CW49))</f>
        <v>2.1228192112883019E-2</v>
      </c>
      <c r="CX50" s="439"/>
      <c r="CY50" s="439"/>
      <c r="CZ50" s="439"/>
      <c r="DA50" s="439"/>
      <c r="DB50" s="439"/>
      <c r="DC50" s="439">
        <f>IF((DC41&lt;=2100),DC44,IF(DC41&lt;=4000,DC47,DC49))</f>
        <v>2.1228192112883019E-2</v>
      </c>
      <c r="DD50" s="439"/>
      <c r="DE50" s="439"/>
      <c r="DF50" s="439"/>
      <c r="DG50" s="439"/>
      <c r="DH50" s="439"/>
      <c r="DI50" s="439">
        <f>IF((DI41&lt;=2100),DI44,IF(DI41&lt;=4000,DI47,DI49))</f>
        <v>2.1228192112883019E-2</v>
      </c>
      <c r="DJ50" s="439"/>
      <c r="DK50" s="439"/>
      <c r="DL50" s="439"/>
      <c r="DM50" s="439"/>
      <c r="DN50" s="439"/>
    </row>
    <row r="51" spans="2:118" ht="14.5" customHeight="1" x14ac:dyDescent="0.35">
      <c r="B51" s="400"/>
      <c r="C51" s="191" t="s">
        <v>504</v>
      </c>
      <c r="D51" s="188"/>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row>
    <row r="52" spans="2:118" x14ac:dyDescent="0.35">
      <c r="B52" s="400"/>
      <c r="C52" s="405" t="s">
        <v>505</v>
      </c>
      <c r="D52" s="188" t="s">
        <v>63</v>
      </c>
      <c r="E52" s="503">
        <v>50</v>
      </c>
      <c r="F52" s="504"/>
      <c r="G52" s="504"/>
      <c r="H52" s="504"/>
      <c r="I52" s="504"/>
      <c r="J52" s="505"/>
      <c r="K52" s="437">
        <v>100</v>
      </c>
      <c r="L52" s="437"/>
      <c r="M52" s="437"/>
      <c r="N52" s="437"/>
      <c r="O52" s="437"/>
      <c r="P52" s="437"/>
      <c r="Q52" s="437">
        <v>100</v>
      </c>
      <c r="R52" s="437"/>
      <c r="S52" s="437"/>
      <c r="T52" s="437"/>
      <c r="U52" s="437"/>
      <c r="V52" s="437"/>
      <c r="W52" s="437">
        <v>100</v>
      </c>
      <c r="X52" s="437"/>
      <c r="Y52" s="437"/>
      <c r="Z52" s="437"/>
      <c r="AA52" s="437"/>
      <c r="AB52" s="437"/>
      <c r="AC52" s="437">
        <v>100</v>
      </c>
      <c r="AD52" s="437"/>
      <c r="AE52" s="437"/>
      <c r="AF52" s="437"/>
      <c r="AG52" s="437"/>
      <c r="AH52" s="437"/>
      <c r="AI52" s="437">
        <v>100</v>
      </c>
      <c r="AJ52" s="437"/>
      <c r="AK52" s="437"/>
      <c r="AL52" s="437"/>
      <c r="AM52" s="437"/>
      <c r="AN52" s="437"/>
      <c r="AO52" s="437">
        <v>100</v>
      </c>
      <c r="AP52" s="437"/>
      <c r="AQ52" s="437"/>
      <c r="AR52" s="437"/>
      <c r="AS52" s="437"/>
      <c r="AT52" s="437"/>
      <c r="AU52" s="437">
        <v>100</v>
      </c>
      <c r="AV52" s="437"/>
      <c r="AW52" s="437"/>
      <c r="AX52" s="437"/>
      <c r="AY52" s="437"/>
      <c r="AZ52" s="437"/>
      <c r="BA52" s="437">
        <v>100</v>
      </c>
      <c r="BB52" s="437"/>
      <c r="BC52" s="437"/>
      <c r="BD52" s="437"/>
      <c r="BE52" s="437"/>
      <c r="BF52" s="437"/>
      <c r="BG52" s="437">
        <v>100</v>
      </c>
      <c r="BH52" s="437"/>
      <c r="BI52" s="437"/>
      <c r="BJ52" s="437"/>
      <c r="BK52" s="437"/>
      <c r="BL52" s="437"/>
      <c r="BM52" s="437">
        <v>450</v>
      </c>
      <c r="BN52" s="437"/>
      <c r="BO52" s="437"/>
      <c r="BP52" s="437"/>
      <c r="BQ52" s="437"/>
      <c r="BR52" s="437"/>
      <c r="BS52" s="437">
        <v>100</v>
      </c>
      <c r="BT52" s="437"/>
      <c r="BU52" s="437"/>
      <c r="BV52" s="437"/>
      <c r="BW52" s="437"/>
      <c r="BX52" s="437"/>
      <c r="BY52" s="437">
        <v>100</v>
      </c>
      <c r="BZ52" s="437"/>
      <c r="CA52" s="437"/>
      <c r="CB52" s="437"/>
      <c r="CC52" s="437"/>
      <c r="CD52" s="437"/>
      <c r="CE52" s="437">
        <v>100</v>
      </c>
      <c r="CF52" s="437"/>
      <c r="CG52" s="437"/>
      <c r="CH52" s="437"/>
      <c r="CI52" s="437"/>
      <c r="CJ52" s="437"/>
      <c r="CK52" s="437">
        <v>100</v>
      </c>
      <c r="CL52" s="437"/>
      <c r="CM52" s="437"/>
      <c r="CN52" s="437"/>
      <c r="CO52" s="437"/>
      <c r="CP52" s="437"/>
      <c r="CQ52" s="437">
        <v>100</v>
      </c>
      <c r="CR52" s="437"/>
      <c r="CS52" s="437"/>
      <c r="CT52" s="437"/>
      <c r="CU52" s="437"/>
      <c r="CV52" s="437"/>
      <c r="CW52" s="437">
        <v>100</v>
      </c>
      <c r="CX52" s="437"/>
      <c r="CY52" s="437"/>
      <c r="CZ52" s="437"/>
      <c r="DA52" s="437"/>
      <c r="DB52" s="437"/>
      <c r="DC52" s="437">
        <v>100</v>
      </c>
      <c r="DD52" s="437"/>
      <c r="DE52" s="437"/>
      <c r="DF52" s="437"/>
      <c r="DG52" s="437"/>
      <c r="DH52" s="437"/>
      <c r="DI52" s="437">
        <v>100</v>
      </c>
      <c r="DJ52" s="437"/>
      <c r="DK52" s="437"/>
      <c r="DL52" s="437"/>
      <c r="DM52" s="437"/>
      <c r="DN52" s="437"/>
    </row>
    <row r="53" spans="2:118" x14ac:dyDescent="0.35">
      <c r="B53" s="400"/>
      <c r="C53" s="405" t="s">
        <v>506</v>
      </c>
      <c r="D53" s="188" t="s">
        <v>63</v>
      </c>
      <c r="E53" s="503">
        <v>0</v>
      </c>
      <c r="F53" s="504"/>
      <c r="G53" s="504"/>
      <c r="H53" s="504"/>
      <c r="I53" s="504"/>
      <c r="J53" s="505"/>
      <c r="K53" s="437">
        <v>10</v>
      </c>
      <c r="L53" s="437"/>
      <c r="M53" s="437"/>
      <c r="N53" s="437"/>
      <c r="O53" s="437"/>
      <c r="P53" s="437"/>
      <c r="Q53" s="437">
        <v>10</v>
      </c>
      <c r="R53" s="437"/>
      <c r="S53" s="437"/>
      <c r="T53" s="437"/>
      <c r="U53" s="437"/>
      <c r="V53" s="437"/>
      <c r="W53" s="437">
        <v>10</v>
      </c>
      <c r="X53" s="437"/>
      <c r="Y53" s="437"/>
      <c r="Z53" s="437"/>
      <c r="AA53" s="437"/>
      <c r="AB53" s="437"/>
      <c r="AC53" s="437">
        <v>10</v>
      </c>
      <c r="AD53" s="437"/>
      <c r="AE53" s="437"/>
      <c r="AF53" s="437"/>
      <c r="AG53" s="437"/>
      <c r="AH53" s="437"/>
      <c r="AI53" s="437">
        <v>10</v>
      </c>
      <c r="AJ53" s="437"/>
      <c r="AK53" s="437"/>
      <c r="AL53" s="437"/>
      <c r="AM53" s="437"/>
      <c r="AN53" s="437"/>
      <c r="AO53" s="437">
        <v>10</v>
      </c>
      <c r="AP53" s="437"/>
      <c r="AQ53" s="437"/>
      <c r="AR53" s="437"/>
      <c r="AS53" s="437"/>
      <c r="AT53" s="437"/>
      <c r="AU53" s="437">
        <v>10</v>
      </c>
      <c r="AV53" s="437"/>
      <c r="AW53" s="437"/>
      <c r="AX53" s="437"/>
      <c r="AY53" s="437"/>
      <c r="AZ53" s="437"/>
      <c r="BA53" s="437">
        <v>10</v>
      </c>
      <c r="BB53" s="437"/>
      <c r="BC53" s="437"/>
      <c r="BD53" s="437"/>
      <c r="BE53" s="437"/>
      <c r="BF53" s="437"/>
      <c r="BG53" s="437">
        <v>0</v>
      </c>
      <c r="BH53" s="437"/>
      <c r="BI53" s="437"/>
      <c r="BJ53" s="437"/>
      <c r="BK53" s="437"/>
      <c r="BL53" s="437"/>
      <c r="BM53" s="437">
        <v>0</v>
      </c>
      <c r="BN53" s="437"/>
      <c r="BO53" s="437"/>
      <c r="BP53" s="437"/>
      <c r="BQ53" s="437"/>
      <c r="BR53" s="437"/>
      <c r="BS53" s="437">
        <v>10</v>
      </c>
      <c r="BT53" s="437"/>
      <c r="BU53" s="437"/>
      <c r="BV53" s="437"/>
      <c r="BW53" s="437"/>
      <c r="BX53" s="437"/>
      <c r="BY53" s="437">
        <v>10</v>
      </c>
      <c r="BZ53" s="437"/>
      <c r="CA53" s="437"/>
      <c r="CB53" s="437"/>
      <c r="CC53" s="437"/>
      <c r="CD53" s="437"/>
      <c r="CE53" s="437">
        <v>10</v>
      </c>
      <c r="CF53" s="437"/>
      <c r="CG53" s="437"/>
      <c r="CH53" s="437"/>
      <c r="CI53" s="437"/>
      <c r="CJ53" s="437"/>
      <c r="CK53" s="437">
        <v>10</v>
      </c>
      <c r="CL53" s="437"/>
      <c r="CM53" s="437"/>
      <c r="CN53" s="437"/>
      <c r="CO53" s="437"/>
      <c r="CP53" s="437"/>
      <c r="CQ53" s="437">
        <v>10</v>
      </c>
      <c r="CR53" s="437"/>
      <c r="CS53" s="437"/>
      <c r="CT53" s="437"/>
      <c r="CU53" s="437"/>
      <c r="CV53" s="437"/>
      <c r="CW53" s="437">
        <v>10</v>
      </c>
      <c r="CX53" s="437"/>
      <c r="CY53" s="437"/>
      <c r="CZ53" s="437"/>
      <c r="DA53" s="437"/>
      <c r="DB53" s="437"/>
      <c r="DC53" s="437">
        <v>10</v>
      </c>
      <c r="DD53" s="437"/>
      <c r="DE53" s="437"/>
      <c r="DF53" s="437"/>
      <c r="DG53" s="437"/>
      <c r="DH53" s="437"/>
      <c r="DI53" s="437">
        <v>10</v>
      </c>
      <c r="DJ53" s="437"/>
      <c r="DK53" s="437"/>
      <c r="DL53" s="437"/>
      <c r="DM53" s="437"/>
      <c r="DN53" s="437"/>
    </row>
    <row r="54" spans="2:118" x14ac:dyDescent="0.35">
      <c r="B54" s="400"/>
      <c r="C54" s="405" t="s">
        <v>507</v>
      </c>
      <c r="D54" s="188" t="s">
        <v>500</v>
      </c>
      <c r="E54" s="509">
        <f>E169</f>
        <v>4.17686050050761</v>
      </c>
      <c r="F54" s="510"/>
      <c r="G54" s="510"/>
      <c r="H54" s="510"/>
      <c r="I54" s="510"/>
      <c r="J54" s="511"/>
      <c r="K54" s="436">
        <f>K169</f>
        <v>3.9798320301830858</v>
      </c>
      <c r="L54" s="437"/>
      <c r="M54" s="437"/>
      <c r="N54" s="437"/>
      <c r="O54" s="437"/>
      <c r="P54" s="437"/>
      <c r="Q54" s="436">
        <f>Q169</f>
        <v>3.9798320301830858</v>
      </c>
      <c r="R54" s="437"/>
      <c r="S54" s="437"/>
      <c r="T54" s="437"/>
      <c r="U54" s="437"/>
      <c r="V54" s="437"/>
      <c r="W54" s="436">
        <f>W169</f>
        <v>3.9620001342808413</v>
      </c>
      <c r="X54" s="437"/>
      <c r="Y54" s="437"/>
      <c r="Z54" s="437"/>
      <c r="AA54" s="437"/>
      <c r="AB54" s="437"/>
      <c r="AC54" s="436">
        <f>AC169</f>
        <v>4.312409297088494</v>
      </c>
      <c r="AD54" s="437"/>
      <c r="AE54" s="437"/>
      <c r="AF54" s="437"/>
      <c r="AG54" s="437"/>
      <c r="AH54" s="437"/>
      <c r="AI54" s="436">
        <f>AI169</f>
        <v>4.312409297088494</v>
      </c>
      <c r="AJ54" s="437"/>
      <c r="AK54" s="437"/>
      <c r="AL54" s="437"/>
      <c r="AM54" s="437"/>
      <c r="AN54" s="437"/>
      <c r="AO54" s="436">
        <f>AO169</f>
        <v>4.312409297088494</v>
      </c>
      <c r="AP54" s="437"/>
      <c r="AQ54" s="437"/>
      <c r="AR54" s="437"/>
      <c r="AS54" s="437"/>
      <c r="AT54" s="437"/>
      <c r="AU54" s="436">
        <f>AU169</f>
        <v>4.3124133946016396</v>
      </c>
      <c r="AV54" s="437"/>
      <c r="AW54" s="437"/>
      <c r="AX54" s="437"/>
      <c r="AY54" s="437"/>
      <c r="AZ54" s="437"/>
      <c r="BA54" s="436">
        <f>BA169</f>
        <v>4.3124133946016396</v>
      </c>
      <c r="BB54" s="437"/>
      <c r="BC54" s="437"/>
      <c r="BD54" s="437"/>
      <c r="BE54" s="437"/>
      <c r="BF54" s="437"/>
      <c r="BG54" s="436">
        <f>BG169</f>
        <v>4.3124133946016396</v>
      </c>
      <c r="BH54" s="437"/>
      <c r="BI54" s="437"/>
      <c r="BJ54" s="437"/>
      <c r="BK54" s="437"/>
      <c r="BL54" s="437"/>
      <c r="BM54" s="436">
        <f>BM169</f>
        <v>3.7934737942980745</v>
      </c>
      <c r="BN54" s="437"/>
      <c r="BO54" s="437"/>
      <c r="BP54" s="437"/>
      <c r="BQ54" s="437"/>
      <c r="BR54" s="437"/>
      <c r="BS54" s="436">
        <f>BS169</f>
        <v>3.7738795312008708</v>
      </c>
      <c r="BT54" s="437"/>
      <c r="BU54" s="437"/>
      <c r="BV54" s="437"/>
      <c r="BW54" s="437"/>
      <c r="BX54" s="437"/>
      <c r="BY54" s="436">
        <f>BY169</f>
        <v>4.329419309594468</v>
      </c>
      <c r="BZ54" s="437"/>
      <c r="CA54" s="437"/>
      <c r="CB54" s="437"/>
      <c r="CC54" s="437"/>
      <c r="CD54" s="437"/>
      <c r="CE54" s="436">
        <f>CE169</f>
        <v>4.329419309594468</v>
      </c>
      <c r="CF54" s="437"/>
      <c r="CG54" s="437"/>
      <c r="CH54" s="437"/>
      <c r="CI54" s="437"/>
      <c r="CJ54" s="437"/>
      <c r="CK54" s="436">
        <f>CK169</f>
        <v>4.6308778823308403</v>
      </c>
      <c r="CL54" s="437"/>
      <c r="CM54" s="437"/>
      <c r="CN54" s="437"/>
      <c r="CO54" s="437"/>
      <c r="CP54" s="437"/>
      <c r="CQ54" s="436">
        <f>CQ169</f>
        <v>4.6308778823308403</v>
      </c>
      <c r="CR54" s="437"/>
      <c r="CS54" s="437"/>
      <c r="CT54" s="437"/>
      <c r="CU54" s="437"/>
      <c r="CV54" s="437"/>
      <c r="CW54" s="436">
        <f>CW169</f>
        <v>0</v>
      </c>
      <c r="CX54" s="437"/>
      <c r="CY54" s="437"/>
      <c r="CZ54" s="437"/>
      <c r="DA54" s="437"/>
      <c r="DB54" s="437"/>
      <c r="DC54" s="436">
        <f>DC169</f>
        <v>4.6308778823308403</v>
      </c>
      <c r="DD54" s="437"/>
      <c r="DE54" s="437"/>
      <c r="DF54" s="437"/>
      <c r="DG54" s="437"/>
      <c r="DH54" s="437"/>
      <c r="DI54" s="436">
        <f>DI169</f>
        <v>4.6308778823308403</v>
      </c>
      <c r="DJ54" s="437"/>
      <c r="DK54" s="437"/>
      <c r="DL54" s="437"/>
      <c r="DM54" s="437"/>
      <c r="DN54" s="437"/>
    </row>
    <row r="55" spans="2:118" x14ac:dyDescent="0.35">
      <c r="B55" s="400"/>
      <c r="C55" s="191" t="s">
        <v>508</v>
      </c>
      <c r="D55" s="188"/>
      <c r="E55" s="397"/>
      <c r="F55" s="395"/>
      <c r="G55" s="395"/>
      <c r="H55" s="395"/>
      <c r="I55" s="395"/>
      <c r="J55" s="395"/>
      <c r="K55" s="395"/>
      <c r="L55" s="395"/>
      <c r="M55" s="395"/>
      <c r="N55" s="395"/>
      <c r="O55" s="395"/>
      <c r="P55" s="395"/>
      <c r="Q55" s="395"/>
      <c r="R55" s="395"/>
      <c r="S55" s="395"/>
      <c r="T55" s="395"/>
      <c r="U55" s="395"/>
      <c r="V55" s="395"/>
      <c r="W55" s="395"/>
      <c r="X55" s="395"/>
      <c r="Y55" s="395"/>
      <c r="Z55" s="395"/>
      <c r="AA55" s="395"/>
      <c r="AB55" s="395"/>
      <c r="AC55" s="395"/>
      <c r="AD55" s="395"/>
      <c r="AE55" s="395"/>
      <c r="AF55" s="395"/>
      <c r="AG55" s="395"/>
      <c r="AH55" s="395"/>
      <c r="AI55" s="395"/>
      <c r="AJ55" s="395"/>
      <c r="AK55" s="395"/>
      <c r="AL55" s="395"/>
      <c r="AM55" s="395"/>
      <c r="AN55" s="395"/>
      <c r="AO55" s="395"/>
      <c r="AP55" s="395"/>
      <c r="AQ55" s="395"/>
      <c r="AR55" s="395"/>
      <c r="AS55" s="395"/>
      <c r="AT55" s="395"/>
      <c r="AU55" s="395"/>
      <c r="AV55" s="395"/>
      <c r="AW55" s="395"/>
      <c r="AX55" s="395"/>
      <c r="AY55" s="395"/>
      <c r="AZ55" s="395"/>
      <c r="BA55" s="395"/>
      <c r="BB55" s="395"/>
      <c r="BC55" s="395"/>
      <c r="BD55" s="395"/>
      <c r="BE55" s="395"/>
      <c r="BF55" s="395"/>
      <c r="BG55" s="395"/>
      <c r="BH55" s="395"/>
      <c r="BI55" s="395"/>
      <c r="BJ55" s="395"/>
      <c r="BK55" s="395"/>
      <c r="BL55" s="395"/>
      <c r="BM55" s="395"/>
      <c r="BN55" s="395"/>
      <c r="BO55" s="395"/>
      <c r="BP55" s="395"/>
      <c r="BQ55" s="395"/>
      <c r="BR55" s="395"/>
      <c r="BS55" s="395"/>
      <c r="BT55" s="395"/>
      <c r="BU55" s="395"/>
      <c r="BV55" s="395"/>
      <c r="BW55" s="395"/>
      <c r="BX55" s="395"/>
      <c r="BY55" s="395"/>
      <c r="BZ55" s="395"/>
      <c r="CA55" s="395"/>
      <c r="CB55" s="395"/>
      <c r="CC55" s="395"/>
      <c r="CD55" s="395"/>
      <c r="CE55" s="395"/>
      <c r="CF55" s="395"/>
      <c r="CG55" s="395"/>
      <c r="CH55" s="395"/>
      <c r="CI55" s="395"/>
      <c r="CJ55" s="395"/>
      <c r="CK55" s="395"/>
      <c r="CL55" s="395"/>
      <c r="CM55" s="395"/>
      <c r="CN55" s="395"/>
      <c r="CO55" s="395"/>
      <c r="CP55" s="395"/>
      <c r="CQ55" s="395"/>
      <c r="CR55" s="395"/>
      <c r="CS55" s="395"/>
      <c r="CT55" s="395"/>
      <c r="CU55" s="395"/>
      <c r="CV55" s="395"/>
      <c r="CW55" s="395"/>
      <c r="CX55" s="395"/>
      <c r="CY55" s="395"/>
      <c r="CZ55" s="395"/>
      <c r="DA55" s="395"/>
      <c r="DB55" s="395"/>
      <c r="DC55" s="395"/>
      <c r="DD55" s="395"/>
      <c r="DE55" s="395"/>
      <c r="DF55" s="395"/>
      <c r="DG55" s="395"/>
      <c r="DH55" s="395"/>
      <c r="DI55" s="395"/>
      <c r="DJ55" s="395"/>
      <c r="DK55" s="395"/>
      <c r="DL55" s="395"/>
      <c r="DM55" s="395"/>
      <c r="DN55" s="395"/>
    </row>
    <row r="56" spans="2:118" x14ac:dyDescent="0.35">
      <c r="B56" s="400"/>
      <c r="C56" s="405" t="s">
        <v>509</v>
      </c>
      <c r="D56" s="188" t="s">
        <v>512</v>
      </c>
      <c r="E56" s="509">
        <f>(((E50*E52*E36*12/E30)*E40^2)/2)/(144*32.2)</f>
        <v>1.1763862906739547E-3</v>
      </c>
      <c r="F56" s="510"/>
      <c r="G56" s="510"/>
      <c r="H56" s="510"/>
      <c r="I56" s="510"/>
      <c r="J56" s="511"/>
      <c r="K56" s="436">
        <f>(((K50*K52*K36*12/K30)*K40^2)/2)/(144*32.2)</f>
        <v>2.4131026310339554E-3</v>
      </c>
      <c r="L56" s="436"/>
      <c r="M56" s="436"/>
      <c r="N56" s="436"/>
      <c r="O56" s="436"/>
      <c r="P56" s="436"/>
      <c r="Q56" s="436">
        <f>(((Q50*Q52*Q36*12/Q30)*Q40^2)/2)/(144*32.2)</f>
        <v>2.428731534084694E-3</v>
      </c>
      <c r="R56" s="436"/>
      <c r="S56" s="436"/>
      <c r="T56" s="436"/>
      <c r="U56" s="436"/>
      <c r="V56" s="436"/>
      <c r="W56" s="436">
        <f>(((W50*W52*W36*12/W30)*W40^2)/2)/(144*32.2)</f>
        <v>7.5929877033601859E-3</v>
      </c>
      <c r="X56" s="436"/>
      <c r="Y56" s="436"/>
      <c r="Z56" s="436"/>
      <c r="AA56" s="436"/>
      <c r="AB56" s="436"/>
      <c r="AC56" s="436">
        <f>(((AC50*AC52*AC36*12/AC30)*AC40^2)/2)/(144*32.2)</f>
        <v>2.7339456599913371E-2</v>
      </c>
      <c r="AD56" s="436"/>
      <c r="AE56" s="436"/>
      <c r="AF56" s="436"/>
      <c r="AG56" s="436"/>
      <c r="AH56" s="436"/>
      <c r="AI56" s="436">
        <f>(((AI50*AI52*AI36*12/AI30)*AI40^2)/2)/(144*32.2)</f>
        <v>2.2246638195473876E-2</v>
      </c>
      <c r="AJ56" s="436"/>
      <c r="AK56" s="436"/>
      <c r="AL56" s="436"/>
      <c r="AM56" s="436"/>
      <c r="AN56" s="436"/>
      <c r="AO56" s="436">
        <f>(((AO50*AO52*AO36*12/AO30)*AO40^2)/2)/(144*32.2)</f>
        <v>2.1998933726687181E-2</v>
      </c>
      <c r="AP56" s="436"/>
      <c r="AQ56" s="436"/>
      <c r="AR56" s="436"/>
      <c r="AS56" s="436"/>
      <c r="AT56" s="436"/>
      <c r="AU56" s="436">
        <f>(((AU50*AU52*AU36*12/AU30)*AU40^2)/2)/(144*32.2)</f>
        <v>1.965041896515634E-2</v>
      </c>
      <c r="AV56" s="436"/>
      <c r="AW56" s="436"/>
      <c r="AX56" s="436"/>
      <c r="AY56" s="436"/>
      <c r="AZ56" s="436"/>
      <c r="BA56" s="436">
        <f>(((BA50*BA52*BA36*12/BA30)*BA40^2)/2)/(144*32.2)</f>
        <v>2.0138555143911101E-2</v>
      </c>
      <c r="BB56" s="436"/>
      <c r="BC56" s="436"/>
      <c r="BD56" s="436"/>
      <c r="BE56" s="436"/>
      <c r="BF56" s="436"/>
      <c r="BG56" s="436">
        <f>(((BG50*BG52*BG36*12/BG30)*BG40^2)/2)/(144*32.2)</f>
        <v>2.0234590218512486E-2</v>
      </c>
      <c r="BH56" s="436"/>
      <c r="BI56" s="436"/>
      <c r="BJ56" s="436"/>
      <c r="BK56" s="436"/>
      <c r="BL56" s="436"/>
      <c r="BM56" s="436">
        <f>(((BM50*BM52*BM36*12/BM30)*BM40^2)/2)/(144*32.2)</f>
        <v>3.649768853394849E-3</v>
      </c>
      <c r="BN56" s="436"/>
      <c r="BO56" s="436"/>
      <c r="BP56" s="436"/>
      <c r="BQ56" s="436"/>
      <c r="BR56" s="436"/>
      <c r="BS56" s="436">
        <f>(((BS50*BS52*BS36*12/BS30)*BS40^2)/2)/(144*32.2)</f>
        <v>1.9173195910607767E-3</v>
      </c>
      <c r="BT56" s="436"/>
      <c r="BU56" s="436"/>
      <c r="BV56" s="436"/>
      <c r="BW56" s="436"/>
      <c r="BX56" s="436"/>
      <c r="BY56" s="436">
        <f>(((BY50*BY52*BY36*12/BY30)*BY40^2)/2)/(144*32.2)</f>
        <v>1.584613796200848E-2</v>
      </c>
      <c r="BZ56" s="436"/>
      <c r="CA56" s="436"/>
      <c r="CB56" s="436"/>
      <c r="CC56" s="436"/>
      <c r="CD56" s="436"/>
      <c r="CE56" s="436">
        <f>(((CE50*CE52*CE36*12/CE30)*CE40^2)/2)/(144*32.2)</f>
        <v>1.3277930165348922E-2</v>
      </c>
      <c r="CF56" s="436"/>
      <c r="CG56" s="436"/>
      <c r="CH56" s="436"/>
      <c r="CI56" s="436"/>
      <c r="CJ56" s="436"/>
      <c r="CK56" s="436">
        <f>(((CK50*CK52*CK36*12/CK30)*CK40^2)/2)/(144*32.2)</f>
        <v>1.0812725282592623E-2</v>
      </c>
      <c r="CL56" s="436"/>
      <c r="CM56" s="436"/>
      <c r="CN56" s="436"/>
      <c r="CO56" s="436"/>
      <c r="CP56" s="436"/>
      <c r="CQ56" s="436">
        <f>(((CQ50*CQ52*CQ36*12/CQ30)*CQ40^2)/2)/(144*32.2)</f>
        <v>8.1658678356093511E-3</v>
      </c>
      <c r="CR56" s="436"/>
      <c r="CS56" s="436"/>
      <c r="CT56" s="436"/>
      <c r="CU56" s="436"/>
      <c r="CV56" s="436"/>
      <c r="CW56" s="436">
        <f>(((CW50*CW52*CW36*12/CW30)*CW40^2)/2)/(144*32.2)</f>
        <v>7.0294873062558003E-3</v>
      </c>
      <c r="CX56" s="436"/>
      <c r="CY56" s="436"/>
      <c r="CZ56" s="436"/>
      <c r="DA56" s="436"/>
      <c r="DB56" s="436"/>
      <c r="DC56" s="436">
        <f>(((DC50*DC52*DC36*12/DC30)*DC40^2)/2)/(144*32.2)</f>
        <v>6.8811958976749722E-3</v>
      </c>
      <c r="DD56" s="436"/>
      <c r="DE56" s="436"/>
      <c r="DF56" s="436"/>
      <c r="DG56" s="436"/>
      <c r="DH56" s="436"/>
      <c r="DI56" s="436">
        <f>(((DI50*DI52*DI36*12/DI30)*DI40^2)/2)/(144*32.2)</f>
        <v>6.9057979566584417E-3</v>
      </c>
      <c r="DJ56" s="436"/>
      <c r="DK56" s="436"/>
      <c r="DL56" s="436"/>
      <c r="DM56" s="436"/>
      <c r="DN56" s="436"/>
    </row>
    <row r="57" spans="2:118" x14ac:dyDescent="0.35">
      <c r="B57" s="400"/>
      <c r="C57" s="405" t="s">
        <v>511</v>
      </c>
      <c r="D57" s="188" t="s">
        <v>512</v>
      </c>
      <c r="E57" s="509">
        <f>E53*E36/144</f>
        <v>0</v>
      </c>
      <c r="F57" s="510"/>
      <c r="G57" s="510"/>
      <c r="H57" s="510"/>
      <c r="I57" s="510"/>
      <c r="J57" s="511"/>
      <c r="K57" s="436">
        <f>K53*K36/144</f>
        <v>2.5579036285547953E-2</v>
      </c>
      <c r="L57" s="436"/>
      <c r="M57" s="436"/>
      <c r="N57" s="436"/>
      <c r="O57" s="436"/>
      <c r="P57" s="436"/>
      <c r="Q57" s="436">
        <f>Q53*Q36/144</f>
        <v>2.5414435022449184E-2</v>
      </c>
      <c r="R57" s="436"/>
      <c r="S57" s="436"/>
      <c r="T57" s="436"/>
      <c r="U57" s="436"/>
      <c r="V57" s="436"/>
      <c r="W57" s="436">
        <f>W53*W36/144</f>
        <v>2.5226457953067317E-2</v>
      </c>
      <c r="X57" s="436"/>
      <c r="Y57" s="436"/>
      <c r="Z57" s="436"/>
      <c r="AA57" s="436"/>
      <c r="AB57" s="436"/>
      <c r="AC57" s="436">
        <f>AC53*AC36/144</f>
        <v>5.5005088938141836E-2</v>
      </c>
      <c r="AD57" s="436"/>
      <c r="AE57" s="436"/>
      <c r="AF57" s="436"/>
      <c r="AG57" s="436"/>
      <c r="AH57" s="436"/>
      <c r="AI57" s="436">
        <f>AI53*AI36/144</f>
        <v>6.7597145626464003E-2</v>
      </c>
      <c r="AJ57" s="436"/>
      <c r="AK57" s="436"/>
      <c r="AL57" s="436"/>
      <c r="AM57" s="436"/>
      <c r="AN57" s="436"/>
      <c r="AO57" s="436">
        <f>AO53*AO36/144</f>
        <v>6.8358278654861077E-2</v>
      </c>
      <c r="AP57" s="436"/>
      <c r="AQ57" s="436"/>
      <c r="AR57" s="436"/>
      <c r="AS57" s="436"/>
      <c r="AT57" s="436"/>
      <c r="AU57" s="436">
        <f>AU53*AU36/144</f>
        <v>7.6485579610703916E-2</v>
      </c>
      <c r="AV57" s="436"/>
      <c r="AW57" s="436"/>
      <c r="AX57" s="436"/>
      <c r="AY57" s="436"/>
      <c r="AZ57" s="436"/>
      <c r="BA57" s="436">
        <f>BA53*BA36/144</f>
        <v>7.4631654227566374E-2</v>
      </c>
      <c r="BB57" s="436"/>
      <c r="BC57" s="436"/>
      <c r="BD57" s="436"/>
      <c r="BE57" s="436"/>
      <c r="BF57" s="436"/>
      <c r="BG57" s="436">
        <f>BG53*BG36/144</f>
        <v>0</v>
      </c>
      <c r="BH57" s="436"/>
      <c r="BI57" s="436"/>
      <c r="BJ57" s="436"/>
      <c r="BK57" s="436"/>
      <c r="BL57" s="436"/>
      <c r="BM57" s="436">
        <f>BM53*BM36/144</f>
        <v>0</v>
      </c>
      <c r="BN57" s="436"/>
      <c r="BO57" s="436"/>
      <c r="BP57" s="436"/>
      <c r="BQ57" s="436"/>
      <c r="BR57" s="436"/>
      <c r="BS57" s="436">
        <f>BS53*BS36/144</f>
        <v>6.028266093454266E-3</v>
      </c>
      <c r="BT57" s="436"/>
      <c r="BU57" s="436"/>
      <c r="BV57" s="436"/>
      <c r="BW57" s="436"/>
      <c r="BX57" s="436"/>
      <c r="BY57" s="436">
        <f>BY53*BY36/144</f>
        <v>2.1167963794844775E-2</v>
      </c>
      <c r="BZ57" s="436"/>
      <c r="CA57" s="436"/>
      <c r="CB57" s="436"/>
      <c r="CC57" s="436"/>
      <c r="CD57" s="436"/>
      <c r="CE57" s="436">
        <f>CE53*CE36/144</f>
        <v>2.526225627720767E-2</v>
      </c>
      <c r="CF57" s="436"/>
      <c r="CG57" s="436"/>
      <c r="CH57" s="436"/>
      <c r="CI57" s="436"/>
      <c r="CJ57" s="436"/>
      <c r="CK57" s="436">
        <f>CK53*CK36/144</f>
        <v>3.3915957774321277E-2</v>
      </c>
      <c r="CL57" s="436"/>
      <c r="CM57" s="436"/>
      <c r="CN57" s="436"/>
      <c r="CO57" s="436"/>
      <c r="CP57" s="436"/>
      <c r="CQ57" s="436">
        <f>CQ53*CQ36/144</f>
        <v>4.490936438017698E-2</v>
      </c>
      <c r="CR57" s="436"/>
      <c r="CS57" s="436"/>
      <c r="CT57" s="436"/>
      <c r="CU57" s="436"/>
      <c r="CV57" s="436"/>
      <c r="CW57" s="436">
        <f>CW53*CW36/144</f>
        <v>5.2169371411110783E-2</v>
      </c>
      <c r="CX57" s="436"/>
      <c r="CY57" s="436"/>
      <c r="CZ57" s="436"/>
      <c r="DA57" s="436"/>
      <c r="DB57" s="436"/>
      <c r="DC57" s="436">
        <f>DC53*DC36/144</f>
        <v>5.3293633775730265E-2</v>
      </c>
      <c r="DD57" s="436"/>
      <c r="DE57" s="436"/>
      <c r="DF57" s="436"/>
      <c r="DG57" s="436"/>
      <c r="DH57" s="436"/>
      <c r="DI57" s="436">
        <f>DI53*DI36/144</f>
        <v>5.3103774018780706E-2</v>
      </c>
      <c r="DJ57" s="436"/>
      <c r="DK57" s="436"/>
      <c r="DL57" s="436"/>
      <c r="DM57" s="436"/>
      <c r="DN57" s="436"/>
    </row>
    <row r="58" spans="2:118" x14ac:dyDescent="0.35">
      <c r="B58" s="400"/>
      <c r="C58" s="405" t="s">
        <v>510</v>
      </c>
      <c r="D58" s="188" t="s">
        <v>512</v>
      </c>
      <c r="E58" s="512">
        <f>((E54*E40^2/(2*32.174))*E36/144)</f>
        <v>2.596217310302107E-3</v>
      </c>
      <c r="F58" s="513"/>
      <c r="G58" s="513"/>
      <c r="H58" s="513"/>
      <c r="I58" s="513"/>
      <c r="J58" s="514"/>
      <c r="K58" s="438">
        <f>((K54*K40^2/(2*32.174))*K36/144)</f>
        <v>2.537160152089722E-3</v>
      </c>
      <c r="L58" s="438"/>
      <c r="M58" s="438"/>
      <c r="N58" s="438"/>
      <c r="O58" s="438"/>
      <c r="P58" s="438"/>
      <c r="Q58" s="438">
        <f>((Q54*Q40^2/(2*32.174))*Q36/144)</f>
        <v>2.5535925364944482E-3</v>
      </c>
      <c r="R58" s="438"/>
      <c r="S58" s="438"/>
      <c r="T58" s="438"/>
      <c r="U58" s="438"/>
      <c r="V58" s="438"/>
      <c r="W58" s="438">
        <f>((W54*W40^2/(2*32.174))*W36/144)</f>
        <v>8.6162214124578529E-3</v>
      </c>
      <c r="X58" s="438"/>
      <c r="Y58" s="438"/>
      <c r="Z58" s="438"/>
      <c r="AA58" s="438"/>
      <c r="AB58" s="438"/>
      <c r="AC58" s="438">
        <f>((AC54*AC40^2/(2*32.174))*AC36/144)</f>
        <v>2.2151537803621359E-2</v>
      </c>
      <c r="AD58" s="438"/>
      <c r="AE58" s="438"/>
      <c r="AF58" s="438"/>
      <c r="AG58" s="438"/>
      <c r="AH58" s="438"/>
      <c r="AI58" s="438">
        <f>((AI54*AI40^2/(2*32.174))*AI36/144)</f>
        <v>1.8025129548188894E-2</v>
      </c>
      <c r="AJ58" s="438"/>
      <c r="AK58" s="438"/>
      <c r="AL58" s="438"/>
      <c r="AM58" s="438"/>
      <c r="AN58" s="438"/>
      <c r="AO58" s="438">
        <f>((AO54*AO40^2/(2*32.174))*AO36/144)</f>
        <v>1.7824429330011483E-2</v>
      </c>
      <c r="AP58" s="438"/>
      <c r="AQ58" s="438"/>
      <c r="AR58" s="438"/>
      <c r="AS58" s="438"/>
      <c r="AT58" s="438"/>
      <c r="AU58" s="438">
        <f>((AU54*AU40^2/(2*32.174))*AU36/144)</f>
        <v>1.5921237438802402E-2</v>
      </c>
      <c r="AV58" s="438"/>
      <c r="AW58" s="438"/>
      <c r="AX58" s="438"/>
      <c r="AY58" s="438"/>
      <c r="AZ58" s="438"/>
      <c r="BA58" s="438">
        <f>((BA54*BA40^2/(2*32.174))*BA36/144)</f>
        <v>1.6316736996252294E-2</v>
      </c>
      <c r="BB58" s="438"/>
      <c r="BC58" s="438"/>
      <c r="BD58" s="438"/>
      <c r="BE58" s="438"/>
      <c r="BF58" s="438"/>
      <c r="BG58" s="438">
        <f>((BG54*BG40^2/(2*32.174))*BG36/144)</f>
        <v>1.6394546900860077E-2</v>
      </c>
      <c r="BH58" s="438"/>
      <c r="BI58" s="438"/>
      <c r="BJ58" s="438"/>
      <c r="BK58" s="438"/>
      <c r="BL58" s="438"/>
      <c r="BM58" s="438">
        <f>((BM54*BM40^2/(2*32.174))*BM36/144)</f>
        <v>9.5678925657554509E-4</v>
      </c>
      <c r="BN58" s="438"/>
      <c r="BO58" s="438"/>
      <c r="BP58" s="438"/>
      <c r="BQ58" s="438"/>
      <c r="BR58" s="438"/>
      <c r="BS58" s="438">
        <f>((BS54*BS40^2/(2*32.174))*BS36/144)</f>
        <v>2.3691511294628848E-3</v>
      </c>
      <c r="BT58" s="438"/>
      <c r="BU58" s="438"/>
      <c r="BV58" s="438"/>
      <c r="BW58" s="438"/>
      <c r="BX58" s="438"/>
      <c r="BY58" s="438">
        <f>((BY54*BY40^2/(2*32.174))*BY36/144)</f>
        <v>1.195313635988644E-2</v>
      </c>
      <c r="BZ58" s="438"/>
      <c r="CA58" s="438"/>
      <c r="CB58" s="438"/>
      <c r="CC58" s="438"/>
      <c r="CD58" s="438"/>
      <c r="CE58" s="438">
        <f>((CE54*CE40^2/(2*32.174))*CE36/144)</f>
        <v>1.0015873282435344E-2</v>
      </c>
      <c r="CF58" s="438"/>
      <c r="CG58" s="438"/>
      <c r="CH58" s="438"/>
      <c r="CI58" s="438"/>
      <c r="CJ58" s="438"/>
      <c r="CK58" s="438">
        <f>((CK54*CK40^2/(2*32.174))*CK36/144)</f>
        <v>5.7049659214632341E-3</v>
      </c>
      <c r="CL58" s="438"/>
      <c r="CM58" s="438"/>
      <c r="CN58" s="438"/>
      <c r="CO58" s="438"/>
      <c r="CP58" s="438"/>
      <c r="CQ58" s="438">
        <f>((CQ54*CQ40^2/(2*32.174))*CQ36/144)</f>
        <v>4.3084418131220581E-3</v>
      </c>
      <c r="CR58" s="438"/>
      <c r="CS58" s="438"/>
      <c r="CT58" s="438"/>
      <c r="CU58" s="438"/>
      <c r="CV58" s="438"/>
      <c r="CW58" s="438">
        <f>((CW54*CW40^2/(2*32.174))*CW36/144)</f>
        <v>0</v>
      </c>
      <c r="CX58" s="438"/>
      <c r="CY58" s="438"/>
      <c r="CZ58" s="438"/>
      <c r="DA58" s="438"/>
      <c r="DB58" s="438"/>
      <c r="DC58" s="438">
        <f>((DC54*DC40^2/(2*32.174))*DC36/144)</f>
        <v>3.6306284557463086E-3</v>
      </c>
      <c r="DD58" s="438"/>
      <c r="DE58" s="438"/>
      <c r="DF58" s="438"/>
      <c r="DG58" s="438"/>
      <c r="DH58" s="438"/>
      <c r="DI58" s="438">
        <f>((DI54*DI40^2/(2*32.174))*DI36/144)</f>
        <v>3.6436088935573449E-3</v>
      </c>
      <c r="DJ58" s="438"/>
      <c r="DK58" s="438"/>
      <c r="DL58" s="438"/>
      <c r="DM58" s="438"/>
      <c r="DN58" s="438"/>
    </row>
    <row r="59" spans="2:118" x14ac:dyDescent="0.35">
      <c r="B59" s="400"/>
      <c r="C59" s="405" t="s">
        <v>513</v>
      </c>
      <c r="D59" s="188"/>
      <c r="E59" s="509">
        <f>SUM(E56+E57+E58)</f>
        <v>3.7726036009760617E-3</v>
      </c>
      <c r="F59" s="510"/>
      <c r="G59" s="510"/>
      <c r="H59" s="510"/>
      <c r="I59" s="510"/>
      <c r="J59" s="511"/>
      <c r="K59" s="436">
        <f>SUM(K56+K57+K58)</f>
        <v>3.052929906867163E-2</v>
      </c>
      <c r="L59" s="437"/>
      <c r="M59" s="437"/>
      <c r="N59" s="437"/>
      <c r="O59" s="437"/>
      <c r="P59" s="437"/>
      <c r="Q59" s="436">
        <f>SUM(Q56+Q57+Q58)</f>
        <v>3.0396759093028324E-2</v>
      </c>
      <c r="R59" s="437"/>
      <c r="S59" s="437"/>
      <c r="T59" s="437"/>
      <c r="U59" s="437"/>
      <c r="V59" s="437"/>
      <c r="W59" s="436">
        <f>SUM(W56+W57+W58)</f>
        <v>4.1435667068885358E-2</v>
      </c>
      <c r="X59" s="437"/>
      <c r="Y59" s="437"/>
      <c r="Z59" s="437"/>
      <c r="AA59" s="437"/>
      <c r="AB59" s="437"/>
      <c r="AC59" s="436">
        <f>SUM(AC56+AC57+AC58)</f>
        <v>0.10449608334167657</v>
      </c>
      <c r="AD59" s="437"/>
      <c r="AE59" s="437"/>
      <c r="AF59" s="437"/>
      <c r="AG59" s="437"/>
      <c r="AH59" s="437"/>
      <c r="AI59" s="436">
        <f>SUM(AI56+AI57+AI58)</f>
        <v>0.10786891337012677</v>
      </c>
      <c r="AJ59" s="437"/>
      <c r="AK59" s="437"/>
      <c r="AL59" s="437"/>
      <c r="AM59" s="437"/>
      <c r="AN59" s="437"/>
      <c r="AO59" s="436">
        <f>SUM(AO56+AO57+AO58)</f>
        <v>0.10818164171155974</v>
      </c>
      <c r="AP59" s="437"/>
      <c r="AQ59" s="437"/>
      <c r="AR59" s="437"/>
      <c r="AS59" s="437"/>
      <c r="AT59" s="437"/>
      <c r="AU59" s="436">
        <f>SUM(AU56+AU57+AU58)</f>
        <v>0.11205723601466265</v>
      </c>
      <c r="AV59" s="437"/>
      <c r="AW59" s="437"/>
      <c r="AX59" s="437"/>
      <c r="AY59" s="437"/>
      <c r="AZ59" s="437"/>
      <c r="BA59" s="436">
        <f>SUM(BA56+BA57+BA58)</f>
        <v>0.11108694636772978</v>
      </c>
      <c r="BB59" s="437"/>
      <c r="BC59" s="437"/>
      <c r="BD59" s="437"/>
      <c r="BE59" s="437"/>
      <c r="BF59" s="437"/>
      <c r="BG59" s="436">
        <f>SUM(BG56+BG57+BG58)</f>
        <v>3.662913711937256E-2</v>
      </c>
      <c r="BH59" s="437"/>
      <c r="BI59" s="437"/>
      <c r="BJ59" s="437"/>
      <c r="BK59" s="437"/>
      <c r="BL59" s="437"/>
      <c r="BM59" s="436">
        <f>SUM(BM56+BM57+BM58)</f>
        <v>4.6065581099703941E-3</v>
      </c>
      <c r="BN59" s="437"/>
      <c r="BO59" s="437"/>
      <c r="BP59" s="437"/>
      <c r="BQ59" s="437"/>
      <c r="BR59" s="437"/>
      <c r="BS59" s="436">
        <f>SUM(BS56+BS57+BS58)</f>
        <v>1.0314736813977928E-2</v>
      </c>
      <c r="BT59" s="437"/>
      <c r="BU59" s="437"/>
      <c r="BV59" s="437"/>
      <c r="BW59" s="437"/>
      <c r="BX59" s="437"/>
      <c r="BY59" s="436">
        <f>SUM(BY56+BY57+BY58)</f>
        <v>4.8967238116739698E-2</v>
      </c>
      <c r="BZ59" s="437"/>
      <c r="CA59" s="437"/>
      <c r="CB59" s="437"/>
      <c r="CC59" s="437"/>
      <c r="CD59" s="437"/>
      <c r="CE59" s="436">
        <f>SUM(CE56+CE57+CE58)</f>
        <v>4.855605972499194E-2</v>
      </c>
      <c r="CF59" s="437"/>
      <c r="CG59" s="437"/>
      <c r="CH59" s="437"/>
      <c r="CI59" s="437"/>
      <c r="CJ59" s="437"/>
      <c r="CK59" s="436">
        <f>SUM(CK56+CK57+CK58)</f>
        <v>5.0433648978377134E-2</v>
      </c>
      <c r="CL59" s="437"/>
      <c r="CM59" s="437"/>
      <c r="CN59" s="437"/>
      <c r="CO59" s="437"/>
      <c r="CP59" s="437"/>
      <c r="CQ59" s="436">
        <f>SUM(CQ56+CQ57+CQ58)</f>
        <v>5.7383674028908392E-2</v>
      </c>
      <c r="CR59" s="437"/>
      <c r="CS59" s="437"/>
      <c r="CT59" s="437"/>
      <c r="CU59" s="437"/>
      <c r="CV59" s="437"/>
      <c r="CW59" s="436">
        <f>SUM(CW56+CW57+CW58)</f>
        <v>5.9198858717366583E-2</v>
      </c>
      <c r="CX59" s="437"/>
      <c r="CY59" s="437"/>
      <c r="CZ59" s="437"/>
      <c r="DA59" s="437"/>
      <c r="DB59" s="437"/>
      <c r="DC59" s="436">
        <f>SUM(DC56+DC57+DC58)</f>
        <v>6.3805458129151546E-2</v>
      </c>
      <c r="DD59" s="437"/>
      <c r="DE59" s="437"/>
      <c r="DF59" s="437"/>
      <c r="DG59" s="437"/>
      <c r="DH59" s="437"/>
      <c r="DI59" s="436">
        <f>SUM(DI56+DI57+DI58)</f>
        <v>6.365318086899649E-2</v>
      </c>
      <c r="DJ59" s="437"/>
      <c r="DK59" s="437"/>
      <c r="DL59" s="437"/>
      <c r="DM59" s="437"/>
      <c r="DN59" s="437"/>
    </row>
    <row r="60" spans="2:118" x14ac:dyDescent="0.35">
      <c r="B60" s="400"/>
      <c r="C60" s="178" t="s">
        <v>42</v>
      </c>
      <c r="D60" s="190" t="s">
        <v>62</v>
      </c>
      <c r="E60" s="500">
        <f>((((E50*(100/(E30/12)))*E36)*(E40^2))/2)/(144*32.2)</f>
        <v>2.3527725813479086E-3</v>
      </c>
      <c r="F60" s="501"/>
      <c r="G60" s="501"/>
      <c r="H60" s="501"/>
      <c r="I60" s="501"/>
      <c r="J60" s="502"/>
      <c r="K60" s="439">
        <f>((((K50*(100/(K30/12)))*K36)*(K40^2))/2)/(144*32.2)</f>
        <v>2.4131026310339554E-3</v>
      </c>
      <c r="L60" s="439"/>
      <c r="M60" s="439"/>
      <c r="N60" s="439"/>
      <c r="O60" s="439"/>
      <c r="P60" s="439"/>
      <c r="Q60" s="439">
        <f>((((Q50*(100/(Q30/12)))*Q36)*(Q40^2))/2)/(144*32.2)</f>
        <v>2.4287315340846935E-3</v>
      </c>
      <c r="R60" s="439"/>
      <c r="S60" s="439"/>
      <c r="T60" s="439"/>
      <c r="U60" s="439"/>
      <c r="V60" s="439"/>
      <c r="W60" s="439">
        <f>((((W50*(100/(W30/12)))*W36)*(W40^2))/2)/(144*32.2)</f>
        <v>7.5929877033601859E-3</v>
      </c>
      <c r="X60" s="439"/>
      <c r="Y60" s="439"/>
      <c r="Z60" s="439"/>
      <c r="AA60" s="439"/>
      <c r="AB60" s="439"/>
      <c r="AC60" s="439">
        <f>((((AC50*(100/(AC30/12)))*AC36)*(AC40^2))/2)/(144*32.2)</f>
        <v>2.7339456599913371E-2</v>
      </c>
      <c r="AD60" s="439"/>
      <c r="AE60" s="439"/>
      <c r="AF60" s="439"/>
      <c r="AG60" s="439"/>
      <c r="AH60" s="439"/>
      <c r="AI60" s="439">
        <f>((((AI50*(100/(AI30/12)))*AI36)*(AI40^2))/2)/(144*32.2)</f>
        <v>2.2246638195473876E-2</v>
      </c>
      <c r="AJ60" s="439"/>
      <c r="AK60" s="439"/>
      <c r="AL60" s="439"/>
      <c r="AM60" s="439"/>
      <c r="AN60" s="439"/>
      <c r="AO60" s="439">
        <f>((((AO50*(100/(AO30/12)))*AO36)*(AO40^2))/2)/(144*32.2)</f>
        <v>2.1998933726687181E-2</v>
      </c>
      <c r="AP60" s="439"/>
      <c r="AQ60" s="439"/>
      <c r="AR60" s="439"/>
      <c r="AS60" s="439"/>
      <c r="AT60" s="439"/>
      <c r="AU60" s="439">
        <f>((((AU50*(100/(AU30/12)))*AU36)*(AU40^2))/2)/(144*32.2)</f>
        <v>1.965041896515634E-2</v>
      </c>
      <c r="AV60" s="439"/>
      <c r="AW60" s="439"/>
      <c r="AX60" s="439"/>
      <c r="AY60" s="439"/>
      <c r="AZ60" s="439"/>
      <c r="BA60" s="439">
        <f>((((BA50*(100/(BA30/12)))*BA36)*(BA40^2))/2)/(144*32.2)</f>
        <v>2.0138555143911101E-2</v>
      </c>
      <c r="BB60" s="439"/>
      <c r="BC60" s="439"/>
      <c r="BD60" s="439"/>
      <c r="BE60" s="439"/>
      <c r="BF60" s="439"/>
      <c r="BG60" s="439">
        <f>((((BG50*(100/(BG30/12)))*BG36)*(BG40^2))/2)/(144*32.2)</f>
        <v>2.0234590218512486E-2</v>
      </c>
      <c r="BH60" s="439"/>
      <c r="BI60" s="439"/>
      <c r="BJ60" s="439"/>
      <c r="BK60" s="439"/>
      <c r="BL60" s="439"/>
      <c r="BM60" s="439">
        <f>((((BM50*(100/(BM30/12)))*BM36)*(BM40^2))/2)/(144*32.2)</f>
        <v>8.1105974519885536E-4</v>
      </c>
      <c r="BN60" s="439"/>
      <c r="BO60" s="439"/>
      <c r="BP60" s="439"/>
      <c r="BQ60" s="439"/>
      <c r="BR60" s="439"/>
      <c r="BS60" s="439">
        <f>((((BS50*(100/(BS30/12)))*BS36)*(BS40^2))/2)/(144*32.2)</f>
        <v>1.9173195910607767E-3</v>
      </c>
      <c r="BT60" s="439"/>
      <c r="BU60" s="439"/>
      <c r="BV60" s="439"/>
      <c r="BW60" s="439"/>
      <c r="BX60" s="439"/>
      <c r="BY60" s="439">
        <f>((((BY50*(100/(BY30/12)))*BY36)*(BY40^2))/2)/(144*32.2)</f>
        <v>1.584613796200848E-2</v>
      </c>
      <c r="BZ60" s="439"/>
      <c r="CA60" s="439"/>
      <c r="CB60" s="439"/>
      <c r="CC60" s="439"/>
      <c r="CD60" s="439"/>
      <c r="CE60" s="439">
        <f>((((CE50*(100/(CE30/12)))*CE36)*(CE40^2))/2)/(144*32.2)</f>
        <v>1.3277930165348922E-2</v>
      </c>
      <c r="CF60" s="439"/>
      <c r="CG60" s="439"/>
      <c r="CH60" s="439"/>
      <c r="CI60" s="439"/>
      <c r="CJ60" s="439"/>
      <c r="CK60" s="439">
        <f>((((CK50*(100/(CK30/12)))*CK36)*(CK40^2))/2)/(144*32.2)</f>
        <v>1.0812725282592623E-2</v>
      </c>
      <c r="CL60" s="439"/>
      <c r="CM60" s="439"/>
      <c r="CN60" s="439"/>
      <c r="CO60" s="439"/>
      <c r="CP60" s="439"/>
      <c r="CQ60" s="439">
        <f>((((CQ50*(100/(CQ30/12)))*CQ36)*(CQ40^2))/2)/(144*32.2)</f>
        <v>8.1658678356093511E-3</v>
      </c>
      <c r="CR60" s="439"/>
      <c r="CS60" s="439"/>
      <c r="CT60" s="439"/>
      <c r="CU60" s="439"/>
      <c r="CV60" s="439"/>
      <c r="CW60" s="439">
        <f>((((CW50*(100/(CW30/12)))*CW36)*(CW40^2))/2)/(144*32.2)</f>
        <v>7.0294873062558003E-3</v>
      </c>
      <c r="CX60" s="439"/>
      <c r="CY60" s="439"/>
      <c r="CZ60" s="439"/>
      <c r="DA60" s="439"/>
      <c r="DB60" s="439"/>
      <c r="DC60" s="439">
        <f>((((DC50*(100/(DC30/12)))*DC36)*(DC40^2))/2)/(144*32.2)</f>
        <v>6.881195897674974E-3</v>
      </c>
      <c r="DD60" s="439"/>
      <c r="DE60" s="439"/>
      <c r="DF60" s="439"/>
      <c r="DG60" s="439"/>
      <c r="DH60" s="439"/>
      <c r="DI60" s="439">
        <f>((((DI50*(100/(DI30/12)))*DI36)*(DI40^2))/2)/(144*32.2)</f>
        <v>6.9057979566584417E-3</v>
      </c>
      <c r="DJ60" s="439"/>
      <c r="DK60" s="439"/>
      <c r="DL60" s="439"/>
      <c r="DM60" s="439"/>
      <c r="DN60" s="439"/>
    </row>
    <row r="61" spans="2:118" x14ac:dyDescent="0.35">
      <c r="B61" s="400"/>
      <c r="C61" s="191" t="s">
        <v>110</v>
      </c>
      <c r="D61" s="396"/>
      <c r="E61" s="396"/>
      <c r="F61" s="396"/>
      <c r="G61" s="402"/>
      <c r="H61" s="404"/>
      <c r="I61" s="402"/>
      <c r="J61" s="402"/>
      <c r="K61" s="396"/>
      <c r="L61" s="396"/>
      <c r="M61" s="402"/>
      <c r="N61" s="404"/>
      <c r="O61" s="402"/>
      <c r="P61" s="402"/>
      <c r="Q61" s="396"/>
      <c r="R61" s="396"/>
      <c r="S61" s="402"/>
      <c r="T61" s="404"/>
      <c r="U61" s="402"/>
      <c r="V61" s="402"/>
      <c r="W61" s="396"/>
      <c r="X61" s="396"/>
      <c r="Y61" s="402"/>
      <c r="Z61" s="404"/>
      <c r="AA61" s="402"/>
      <c r="AB61" s="402"/>
      <c r="AC61" s="396"/>
      <c r="AD61" s="396"/>
      <c r="AE61" s="402"/>
      <c r="AF61" s="404"/>
      <c r="AG61" s="402"/>
      <c r="AH61" s="402"/>
      <c r="AI61" s="396"/>
      <c r="AJ61" s="396"/>
      <c r="AK61" s="402"/>
      <c r="AL61" s="404"/>
      <c r="AM61" s="402"/>
      <c r="AN61" s="402"/>
      <c r="AO61" s="396"/>
      <c r="AP61" s="396"/>
      <c r="AQ61" s="402"/>
      <c r="AR61" s="404"/>
      <c r="AS61" s="402"/>
      <c r="AT61" s="402"/>
      <c r="AU61" s="396"/>
      <c r="AV61" s="396"/>
      <c r="AW61" s="402"/>
      <c r="AX61" s="404"/>
      <c r="AY61" s="402"/>
      <c r="AZ61" s="402"/>
      <c r="BA61" s="396"/>
      <c r="BB61" s="396"/>
      <c r="BC61" s="402"/>
      <c r="BD61" s="404"/>
      <c r="BE61" s="402"/>
      <c r="BF61" s="402"/>
      <c r="BG61" s="396"/>
      <c r="BH61" s="396"/>
      <c r="BI61" s="402"/>
      <c r="BJ61" s="404"/>
      <c r="BK61" s="402"/>
      <c r="BL61" s="402"/>
      <c r="BM61" s="396"/>
      <c r="BN61" s="396"/>
      <c r="BO61" s="402"/>
      <c r="BP61" s="404"/>
      <c r="BQ61" s="402"/>
      <c r="BR61" s="402"/>
      <c r="BS61" s="396"/>
      <c r="BT61" s="396"/>
      <c r="BU61" s="402"/>
      <c r="BV61" s="404"/>
      <c r="BW61" s="402"/>
      <c r="BX61" s="402"/>
      <c r="BY61" s="396"/>
      <c r="BZ61" s="396"/>
      <c r="CA61" s="402"/>
      <c r="CB61" s="404"/>
      <c r="CC61" s="402"/>
      <c r="CD61" s="402"/>
      <c r="CE61" s="396"/>
      <c r="CF61" s="396"/>
      <c r="CG61" s="402"/>
      <c r="CH61" s="404"/>
      <c r="CI61" s="402"/>
      <c r="CJ61" s="402"/>
      <c r="CK61" s="396"/>
      <c r="CL61" s="396"/>
      <c r="CM61" s="402"/>
      <c r="CN61" s="404"/>
      <c r="CO61" s="402"/>
      <c r="CP61" s="402"/>
      <c r="CQ61" s="396"/>
      <c r="CR61" s="396"/>
      <c r="CS61" s="402"/>
      <c r="CT61" s="404"/>
      <c r="CU61" s="402"/>
      <c r="CV61" s="402"/>
      <c r="CW61" s="396"/>
      <c r="CX61" s="396"/>
      <c r="CY61" s="402"/>
      <c r="CZ61" s="404"/>
      <c r="DA61" s="402"/>
      <c r="DB61" s="402"/>
      <c r="DC61" s="396"/>
      <c r="DD61" s="396"/>
      <c r="DE61" s="402"/>
      <c r="DF61" s="404"/>
      <c r="DG61" s="402"/>
      <c r="DH61" s="402"/>
      <c r="DI61" s="396"/>
      <c r="DJ61" s="396"/>
      <c r="DK61" s="402"/>
      <c r="DL61" s="404"/>
      <c r="DM61" s="402"/>
      <c r="DN61" s="402"/>
    </row>
    <row r="62" spans="2:118" x14ac:dyDescent="0.35">
      <c r="B62" s="400"/>
      <c r="C62" s="178" t="s">
        <v>115</v>
      </c>
      <c r="D62" s="396"/>
      <c r="E62" s="467" t="s">
        <v>100</v>
      </c>
      <c r="F62" s="468"/>
      <c r="G62" s="468"/>
      <c r="H62" s="468"/>
      <c r="I62" s="468"/>
      <c r="J62" s="469"/>
      <c r="K62" s="440" t="s">
        <v>100</v>
      </c>
      <c r="L62" s="440"/>
      <c r="M62" s="440"/>
      <c r="N62" s="440"/>
      <c r="O62" s="440"/>
      <c r="P62" s="440"/>
      <c r="Q62" s="440" t="s">
        <v>100</v>
      </c>
      <c r="R62" s="440"/>
      <c r="S62" s="440"/>
      <c r="T62" s="440"/>
      <c r="U62" s="440"/>
      <c r="V62" s="440"/>
      <c r="W62" s="440" t="s">
        <v>100</v>
      </c>
      <c r="X62" s="440"/>
      <c r="Y62" s="440"/>
      <c r="Z62" s="440"/>
      <c r="AA62" s="440"/>
      <c r="AB62" s="440"/>
      <c r="AC62" s="440" t="s">
        <v>100</v>
      </c>
      <c r="AD62" s="440"/>
      <c r="AE62" s="440"/>
      <c r="AF62" s="440"/>
      <c r="AG62" s="440"/>
      <c r="AH62" s="440"/>
      <c r="AI62" s="440" t="s">
        <v>100</v>
      </c>
      <c r="AJ62" s="440"/>
      <c r="AK62" s="440"/>
      <c r="AL62" s="440"/>
      <c r="AM62" s="440"/>
      <c r="AN62" s="440"/>
      <c r="AO62" s="440" t="s">
        <v>100</v>
      </c>
      <c r="AP62" s="440"/>
      <c r="AQ62" s="440"/>
      <c r="AR62" s="440"/>
      <c r="AS62" s="440"/>
      <c r="AT62" s="440"/>
      <c r="AU62" s="440" t="s">
        <v>100</v>
      </c>
      <c r="AV62" s="440"/>
      <c r="AW62" s="440"/>
      <c r="AX62" s="440"/>
      <c r="AY62" s="440"/>
      <c r="AZ62" s="440"/>
      <c r="BA62" s="440" t="s">
        <v>100</v>
      </c>
      <c r="BB62" s="440"/>
      <c r="BC62" s="440"/>
      <c r="BD62" s="440"/>
      <c r="BE62" s="440"/>
      <c r="BF62" s="440"/>
      <c r="BG62" s="440" t="s">
        <v>100</v>
      </c>
      <c r="BH62" s="440"/>
      <c r="BI62" s="440"/>
      <c r="BJ62" s="440"/>
      <c r="BK62" s="440"/>
      <c r="BL62" s="440"/>
      <c r="BM62" s="440" t="s">
        <v>100</v>
      </c>
      <c r="BN62" s="440"/>
      <c r="BO62" s="440"/>
      <c r="BP62" s="440"/>
      <c r="BQ62" s="440"/>
      <c r="BR62" s="440"/>
      <c r="BS62" s="440" t="s">
        <v>100</v>
      </c>
      <c r="BT62" s="440"/>
      <c r="BU62" s="440"/>
      <c r="BV62" s="440"/>
      <c r="BW62" s="440"/>
      <c r="BX62" s="440"/>
      <c r="BY62" s="440" t="s">
        <v>100</v>
      </c>
      <c r="BZ62" s="440"/>
      <c r="CA62" s="440"/>
      <c r="CB62" s="440"/>
      <c r="CC62" s="440"/>
      <c r="CD62" s="440"/>
      <c r="CE62" s="440" t="s">
        <v>100</v>
      </c>
      <c r="CF62" s="440"/>
      <c r="CG62" s="440"/>
      <c r="CH62" s="440"/>
      <c r="CI62" s="440"/>
      <c r="CJ62" s="440"/>
      <c r="CK62" s="440" t="s">
        <v>100</v>
      </c>
      <c r="CL62" s="440"/>
      <c r="CM62" s="440"/>
      <c r="CN62" s="440"/>
      <c r="CO62" s="440"/>
      <c r="CP62" s="440"/>
      <c r="CQ62" s="440" t="s">
        <v>100</v>
      </c>
      <c r="CR62" s="440"/>
      <c r="CS62" s="440"/>
      <c r="CT62" s="440"/>
      <c r="CU62" s="440"/>
      <c r="CV62" s="440"/>
      <c r="CW62" s="440" t="s">
        <v>100</v>
      </c>
      <c r="CX62" s="440"/>
      <c r="CY62" s="440"/>
      <c r="CZ62" s="440"/>
      <c r="DA62" s="440"/>
      <c r="DB62" s="440"/>
      <c r="DC62" s="440" t="s">
        <v>100</v>
      </c>
      <c r="DD62" s="440"/>
      <c r="DE62" s="440"/>
      <c r="DF62" s="440"/>
      <c r="DG62" s="440"/>
      <c r="DH62" s="440"/>
      <c r="DI62" s="440" t="s">
        <v>100</v>
      </c>
      <c r="DJ62" s="440"/>
      <c r="DK62" s="440"/>
      <c r="DL62" s="440"/>
      <c r="DM62" s="440"/>
      <c r="DN62" s="440"/>
    </row>
    <row r="63" spans="2:118" x14ac:dyDescent="0.35">
      <c r="B63" s="400"/>
      <c r="C63" s="178" t="s">
        <v>114</v>
      </c>
      <c r="D63" s="396"/>
      <c r="E63" s="467" t="s">
        <v>109</v>
      </c>
      <c r="F63" s="468"/>
      <c r="G63" s="468"/>
      <c r="H63" s="468"/>
      <c r="I63" s="468"/>
      <c r="J63" s="469"/>
      <c r="K63" s="440" t="s">
        <v>109</v>
      </c>
      <c r="L63" s="440"/>
      <c r="M63" s="440"/>
      <c r="N63" s="440"/>
      <c r="O63" s="440"/>
      <c r="P63" s="440"/>
      <c r="Q63" s="440" t="s">
        <v>109</v>
      </c>
      <c r="R63" s="440"/>
      <c r="S63" s="440"/>
      <c r="T63" s="440"/>
      <c r="U63" s="440"/>
      <c r="V63" s="440"/>
      <c r="W63" s="440" t="s">
        <v>109</v>
      </c>
      <c r="X63" s="440"/>
      <c r="Y63" s="440"/>
      <c r="Z63" s="440"/>
      <c r="AA63" s="440"/>
      <c r="AB63" s="440"/>
      <c r="AC63" s="440" t="s">
        <v>109</v>
      </c>
      <c r="AD63" s="440"/>
      <c r="AE63" s="440"/>
      <c r="AF63" s="440"/>
      <c r="AG63" s="440"/>
      <c r="AH63" s="440"/>
      <c r="AI63" s="440" t="s">
        <v>109</v>
      </c>
      <c r="AJ63" s="440"/>
      <c r="AK63" s="440"/>
      <c r="AL63" s="440"/>
      <c r="AM63" s="440"/>
      <c r="AN63" s="440"/>
      <c r="AO63" s="440" t="s">
        <v>109</v>
      </c>
      <c r="AP63" s="440"/>
      <c r="AQ63" s="440"/>
      <c r="AR63" s="440"/>
      <c r="AS63" s="440"/>
      <c r="AT63" s="440"/>
      <c r="AU63" s="440" t="s">
        <v>109</v>
      </c>
      <c r="AV63" s="440"/>
      <c r="AW63" s="440"/>
      <c r="AX63" s="440"/>
      <c r="AY63" s="440"/>
      <c r="AZ63" s="440"/>
      <c r="BA63" s="440" t="s">
        <v>109</v>
      </c>
      <c r="BB63" s="440"/>
      <c r="BC63" s="440"/>
      <c r="BD63" s="440"/>
      <c r="BE63" s="440"/>
      <c r="BF63" s="440"/>
      <c r="BG63" s="440" t="s">
        <v>109</v>
      </c>
      <c r="BH63" s="440"/>
      <c r="BI63" s="440"/>
      <c r="BJ63" s="440"/>
      <c r="BK63" s="440"/>
      <c r="BL63" s="440"/>
      <c r="BM63" s="440" t="s">
        <v>101</v>
      </c>
      <c r="BN63" s="440"/>
      <c r="BO63" s="440"/>
      <c r="BP63" s="440"/>
      <c r="BQ63" s="440"/>
      <c r="BR63" s="440"/>
      <c r="BS63" s="440" t="s">
        <v>101</v>
      </c>
      <c r="BT63" s="440"/>
      <c r="BU63" s="440"/>
      <c r="BV63" s="440"/>
      <c r="BW63" s="440"/>
      <c r="BX63" s="440"/>
      <c r="BY63" s="440" t="s">
        <v>109</v>
      </c>
      <c r="BZ63" s="440"/>
      <c r="CA63" s="440"/>
      <c r="CB63" s="440"/>
      <c r="CC63" s="440"/>
      <c r="CD63" s="440"/>
      <c r="CE63" s="440" t="s">
        <v>109</v>
      </c>
      <c r="CF63" s="440"/>
      <c r="CG63" s="440"/>
      <c r="CH63" s="440"/>
      <c r="CI63" s="440"/>
      <c r="CJ63" s="440"/>
      <c r="CK63" s="440" t="s">
        <v>109</v>
      </c>
      <c r="CL63" s="440"/>
      <c r="CM63" s="440"/>
      <c r="CN63" s="440"/>
      <c r="CO63" s="440"/>
      <c r="CP63" s="440"/>
      <c r="CQ63" s="440" t="s">
        <v>109</v>
      </c>
      <c r="CR63" s="440"/>
      <c r="CS63" s="440"/>
      <c r="CT63" s="440"/>
      <c r="CU63" s="440"/>
      <c r="CV63" s="440"/>
      <c r="CW63" s="440" t="s">
        <v>102</v>
      </c>
      <c r="CX63" s="440"/>
      <c r="CY63" s="440"/>
      <c r="CZ63" s="440"/>
      <c r="DA63" s="440"/>
      <c r="DB63" s="440"/>
      <c r="DC63" s="440" t="s">
        <v>102</v>
      </c>
      <c r="DD63" s="440"/>
      <c r="DE63" s="440"/>
      <c r="DF63" s="440"/>
      <c r="DG63" s="440"/>
      <c r="DH63" s="440"/>
      <c r="DI63" s="440" t="s">
        <v>102</v>
      </c>
      <c r="DJ63" s="440"/>
      <c r="DK63" s="440"/>
      <c r="DL63" s="440"/>
      <c r="DM63" s="440"/>
      <c r="DN63" s="440"/>
    </row>
    <row r="64" spans="2:118" x14ac:dyDescent="0.35">
      <c r="B64" s="400"/>
      <c r="C64" s="178" t="s">
        <v>116</v>
      </c>
      <c r="D64" s="396"/>
      <c r="E64" s="470" t="str">
        <f>IF(E$60&lt;=VLOOKUP(E$63,'Calculation Basis'!$X$37:$AB$51,2,FALSE),"Reduce the line size",IF(E$60&gt;=VLOOKUP(E$63,'Calculation Basis'!$X$37:$AB$51,3,FALSE),"Increase the line size","Line Size is Okay"))</f>
        <v>Reduce the line size</v>
      </c>
      <c r="F64" s="471"/>
      <c r="G64" s="471"/>
      <c r="H64" s="471"/>
      <c r="I64" s="471"/>
      <c r="J64" s="472"/>
      <c r="K64" s="434" t="str">
        <f>IF(K$60&lt;=VLOOKUP(K$63,'Calculation Basis'!$X$37:$AB$51,2,FALSE),"Reduce the line size",IF(K$60&gt;=VLOOKUP(K$63,'Calculation Basis'!$X$37:$AB$51,3,FALSE),"Increase the line size","Line Size is Okay"))</f>
        <v>Reduce the line size</v>
      </c>
      <c r="L64" s="434"/>
      <c r="M64" s="434"/>
      <c r="N64" s="434"/>
      <c r="O64" s="434"/>
      <c r="P64" s="434"/>
      <c r="Q64" s="434" t="str">
        <f>IF(Q$60&lt;=VLOOKUP(Q$63,'Calculation Basis'!$X$37:$AB$51,2,FALSE),"Reduce the line size",IF(Q$60&gt;=VLOOKUP(Q$63,'Calculation Basis'!$X$37:$AB$51,3,FALSE),"Increase the line size","Line Size is Okay"))</f>
        <v>Reduce the line size</v>
      </c>
      <c r="R64" s="434"/>
      <c r="S64" s="434"/>
      <c r="T64" s="434"/>
      <c r="U64" s="434"/>
      <c r="V64" s="434"/>
      <c r="W64" s="434" t="str">
        <f>IF(W$60&lt;=VLOOKUP(W$63,'Calculation Basis'!$X$37:$AB$51,2,FALSE),"Reduce the line size",IF(W$60&gt;=VLOOKUP(W$63,'Calculation Basis'!$X$37:$AB$51,3,FALSE),"Increase the line size","Line Size is Okay"))</f>
        <v>Reduce the line size</v>
      </c>
      <c r="X64" s="434"/>
      <c r="Y64" s="434"/>
      <c r="Z64" s="434"/>
      <c r="AA64" s="434"/>
      <c r="AB64" s="434"/>
      <c r="AC64" s="434" t="str">
        <f>IF(AC$60&lt;=VLOOKUP(AC$63,'Calculation Basis'!$X$37:$AB$51,2,FALSE),"Reduce the line size",IF(AC$60&gt;=VLOOKUP(AC$63,'Calculation Basis'!$X$37:$AB$51,3,FALSE),"Increase the line size","Line Size is Okay"))</f>
        <v>Reduce the line size</v>
      </c>
      <c r="AD64" s="434"/>
      <c r="AE64" s="434"/>
      <c r="AF64" s="434"/>
      <c r="AG64" s="434"/>
      <c r="AH64" s="434"/>
      <c r="AI64" s="434" t="str">
        <f>IF(AI$60&lt;=VLOOKUP(AI$63,'Calculation Basis'!$X$37:$AB$51,2,FALSE),"Reduce the line size",IF(AI$60&gt;=VLOOKUP(AI$63,'Calculation Basis'!$X$37:$AB$51,3,FALSE),"Increase the line size","Line Size is Okay"))</f>
        <v>Reduce the line size</v>
      </c>
      <c r="AJ64" s="434"/>
      <c r="AK64" s="434"/>
      <c r="AL64" s="434"/>
      <c r="AM64" s="434"/>
      <c r="AN64" s="434"/>
      <c r="AO64" s="434" t="str">
        <f>IF(AO$60&lt;=VLOOKUP(AO$63,'Calculation Basis'!$X$37:$AB$51,2,FALSE),"Reduce the line size",IF(AO$60&gt;=VLOOKUP(AO$63,'Calculation Basis'!$X$37:$AB$51,3,FALSE),"Increase the line size","Line Size is Okay"))</f>
        <v>Reduce the line size</v>
      </c>
      <c r="AP64" s="434"/>
      <c r="AQ64" s="434"/>
      <c r="AR64" s="434"/>
      <c r="AS64" s="434"/>
      <c r="AT64" s="434"/>
      <c r="AU64" s="434" t="str">
        <f>IF(AU$60&lt;=VLOOKUP(AU$63,'Calculation Basis'!$X$37:$AB$51,2,FALSE),"Reduce the line size",IF(AU$60&gt;=VLOOKUP(AU$63,'Calculation Basis'!$X$37:$AB$51,3,FALSE),"Increase the line size","Line Size is Okay"))</f>
        <v>Reduce the line size</v>
      </c>
      <c r="AV64" s="434"/>
      <c r="AW64" s="434"/>
      <c r="AX64" s="434"/>
      <c r="AY64" s="434"/>
      <c r="AZ64" s="434"/>
      <c r="BA64" s="434" t="str">
        <f>IF(BA$60&lt;=VLOOKUP(BA$63,'Calculation Basis'!$X$37:$AB$51,2,FALSE),"Reduce the line size",IF(BA$60&gt;=VLOOKUP(BA$63,'Calculation Basis'!$X$37:$AB$51,3,FALSE),"Increase the line size","Line Size is Okay"))</f>
        <v>Reduce the line size</v>
      </c>
      <c r="BB64" s="434"/>
      <c r="BC64" s="434"/>
      <c r="BD64" s="434"/>
      <c r="BE64" s="434"/>
      <c r="BF64" s="434"/>
      <c r="BG64" s="434" t="str">
        <f>IF(BG$60&lt;=VLOOKUP(BG$63,'Calculation Basis'!$X$37:$AB$51,2,FALSE),"Reduce the line size",IF(BG$60&gt;=VLOOKUP(BG$63,'Calculation Basis'!$X$37:$AB$51,3,FALSE),"Increase the line size","Line Size is Okay"))</f>
        <v>Reduce the line size</v>
      </c>
      <c r="BH64" s="434"/>
      <c r="BI64" s="434"/>
      <c r="BJ64" s="434"/>
      <c r="BK64" s="434"/>
      <c r="BL64" s="434"/>
      <c r="BM64" s="434" t="str">
        <f>IF(BM$60&lt;=VLOOKUP(BM$63,'Calculation Basis'!$X$37:$AB$51,2,FALSE),"Reduce the line size",IF(BM$60&gt;=VLOOKUP(BM$63,'Calculation Basis'!$X$37:$AB$51,3,FALSE),"Increase the line size","Line Size is Okay"))</f>
        <v>Reduce the line size</v>
      </c>
      <c r="BN64" s="434"/>
      <c r="BO64" s="434"/>
      <c r="BP64" s="434"/>
      <c r="BQ64" s="434"/>
      <c r="BR64" s="434"/>
      <c r="BS64" s="434" t="str">
        <f>IF(BS$60&lt;=VLOOKUP(BS$63,'Calculation Basis'!$X$37:$AB$51,2,FALSE),"Reduce the line size",IF(BS$60&gt;=VLOOKUP(BS$63,'Calculation Basis'!$X$37:$AB$51,3,FALSE),"Increase the line size","Line Size is Okay"))</f>
        <v>Reduce the line size</v>
      </c>
      <c r="BT64" s="434"/>
      <c r="BU64" s="434"/>
      <c r="BV64" s="434"/>
      <c r="BW64" s="434"/>
      <c r="BX64" s="434"/>
      <c r="BY64" s="434" t="str">
        <f>IF(BY$60&lt;=VLOOKUP(BY$63,'Calculation Basis'!$X$37:$AB$51,2,FALSE),"Reduce the line size",IF(BY$60&gt;=VLOOKUP(BY$63,'Calculation Basis'!$X$37:$AB$51,3,FALSE),"Increase the line size","Line Size is Okay"))</f>
        <v>Reduce the line size</v>
      </c>
      <c r="BZ64" s="434"/>
      <c r="CA64" s="434"/>
      <c r="CB64" s="434"/>
      <c r="CC64" s="434"/>
      <c r="CD64" s="434"/>
      <c r="CE64" s="434" t="str">
        <f>IF(CE$60&lt;=VLOOKUP(CE$63,'Calculation Basis'!$X$37:$AB$51,2,FALSE),"Reduce the line size",IF(CE$60&gt;=VLOOKUP(CE$63,'Calculation Basis'!$X$37:$AB$51,3,FALSE),"Increase the line size","Line Size is Okay"))</f>
        <v>Reduce the line size</v>
      </c>
      <c r="CF64" s="434"/>
      <c r="CG64" s="434"/>
      <c r="CH64" s="434"/>
      <c r="CI64" s="434"/>
      <c r="CJ64" s="434"/>
      <c r="CK64" s="434" t="str">
        <f>IF(CK$60&lt;=VLOOKUP(CK$63,'Calculation Basis'!$X$37:$AB$51,2,FALSE),"Reduce the line size",IF(CK$60&gt;=VLOOKUP(CK$63,'Calculation Basis'!$X$37:$AB$51,3,FALSE),"Increase the line size","Line Size is Okay"))</f>
        <v>Reduce the line size</v>
      </c>
      <c r="CL64" s="434"/>
      <c r="CM64" s="434"/>
      <c r="CN64" s="434"/>
      <c r="CO64" s="434"/>
      <c r="CP64" s="434"/>
      <c r="CQ64" s="434" t="str">
        <f>IF(CQ$60&lt;=VLOOKUP(CQ$63,'Calculation Basis'!$X$37:$AB$51,2,FALSE),"Reduce the line size",IF(CQ$60&gt;=VLOOKUP(CQ$63,'Calculation Basis'!$X$37:$AB$51,3,FALSE),"Increase the line size","Line Size is Okay"))</f>
        <v>Reduce the line size</v>
      </c>
      <c r="CR64" s="434"/>
      <c r="CS64" s="434"/>
      <c r="CT64" s="434"/>
      <c r="CU64" s="434"/>
      <c r="CV64" s="434"/>
      <c r="CW64" s="434" t="str">
        <f>IF(CW$60&lt;=VLOOKUP(CW$63,'Calculation Basis'!$X$37:$AB$51,2,FALSE),"Reduce the line size",IF(CW$60&gt;=VLOOKUP(CW$63,'Calculation Basis'!$X$37:$AB$51,3,FALSE),"Increase the line size","Line Size is Okay"))</f>
        <v>Reduce the line size</v>
      </c>
      <c r="CX64" s="434"/>
      <c r="CY64" s="434"/>
      <c r="CZ64" s="434"/>
      <c r="DA64" s="434"/>
      <c r="DB64" s="434"/>
      <c r="DC64" s="434" t="str">
        <f>IF(DC$60&lt;=VLOOKUP(DC$63,'Calculation Basis'!$X$37:$AB$51,2,FALSE),"Reduce the line size",IF(DC$60&gt;=VLOOKUP(DC$63,'Calculation Basis'!$X$37:$AB$51,3,FALSE),"Increase the line size","Line Size is Okay"))</f>
        <v>Reduce the line size</v>
      </c>
      <c r="DD64" s="434"/>
      <c r="DE64" s="434"/>
      <c r="DF64" s="434"/>
      <c r="DG64" s="434"/>
      <c r="DH64" s="434"/>
      <c r="DI64" s="434" t="str">
        <f>IF(DI$60&lt;=VLOOKUP(DI$63,'Calculation Basis'!$X$37:$AB$51,2,FALSE),"Reduce the line size",IF(DI$60&gt;=VLOOKUP(DI$63,'Calculation Basis'!$X$37:$AB$51,3,FALSE),"Increase the line size","Line Size is Okay"))</f>
        <v>Reduce the line size</v>
      </c>
      <c r="DJ64" s="434"/>
      <c r="DK64" s="434"/>
      <c r="DL64" s="434"/>
      <c r="DM64" s="434"/>
      <c r="DN64" s="434"/>
    </row>
    <row r="65" spans="2:118" x14ac:dyDescent="0.35">
      <c r="B65" s="400"/>
      <c r="C65" s="178" t="s">
        <v>117</v>
      </c>
      <c r="D65" s="396"/>
      <c r="E65" s="470" t="str">
        <f>IF(E62="Liquid",IF(E$60&lt;=VLOOKUP(E$63,'Calculation Basis'!$X$37:$AB$51,2,FALSE),"Reduce the line size",IF(E$60&gt;=VLOOKUP(E$63,'Calculation Basis'!$X$37:$AB$51,3,FALSE),"Increase the line size","Line Size is Okay")),"Refer Pressure Drop Criteria")</f>
        <v>Refer Pressure Drop Criteria</v>
      </c>
      <c r="F65" s="471"/>
      <c r="G65" s="471"/>
      <c r="H65" s="471"/>
      <c r="I65" s="471"/>
      <c r="J65" s="472"/>
      <c r="K65" s="434" t="str">
        <f>IF(K62="Liquid",IF(K$60&lt;=VLOOKUP(K$63,'Calculation Basis'!$X$37:$AB$51,2,FALSE),"Reduce the line size",IF(K$60&gt;=VLOOKUP(K$63,'Calculation Basis'!$X$37:$AB$51,3,FALSE),"Increase the line size","Line Size is Okay")),"Refer Pressure Drop Criteria")</f>
        <v>Refer Pressure Drop Criteria</v>
      </c>
      <c r="L65" s="434"/>
      <c r="M65" s="434"/>
      <c r="N65" s="434"/>
      <c r="O65" s="434"/>
      <c r="P65" s="434"/>
      <c r="Q65" s="434" t="str">
        <f>IF(Q62="Liquid",IF(Q$60&lt;=VLOOKUP(Q$63,'Calculation Basis'!$X$37:$AB$51,2,FALSE),"Reduce the line size",IF(Q$60&gt;=VLOOKUP(Q$63,'Calculation Basis'!$X$37:$AB$51,3,FALSE),"Increase the line size","Line Size is Okay")),"Refer Pressure Drop Criteria")</f>
        <v>Refer Pressure Drop Criteria</v>
      </c>
      <c r="R65" s="434"/>
      <c r="S65" s="434"/>
      <c r="T65" s="434"/>
      <c r="U65" s="434"/>
      <c r="V65" s="434"/>
      <c r="W65" s="434" t="str">
        <f>IF(W62="Liquid",IF(W$60&lt;=VLOOKUP(W$63,'Calculation Basis'!$X$37:$AB$51,2,FALSE),"Reduce the line size",IF(W$60&gt;=VLOOKUP(W$63,'Calculation Basis'!$X$37:$AB$51,3,FALSE),"Increase the line size","Line Size is Okay")),"Refer Pressure Drop Criteria")</f>
        <v>Refer Pressure Drop Criteria</v>
      </c>
      <c r="X65" s="434"/>
      <c r="Y65" s="434"/>
      <c r="Z65" s="434"/>
      <c r="AA65" s="434"/>
      <c r="AB65" s="434"/>
      <c r="AC65" s="434" t="str">
        <f>IF(AC62="Liquid",IF(AC$60&lt;=VLOOKUP(AC$63,'Calculation Basis'!$X$37:$AB$51,2,FALSE),"Reduce the line size",IF(AC$60&gt;=VLOOKUP(AC$63,'Calculation Basis'!$X$37:$AB$51,3,FALSE),"Increase the line size","Line Size is Okay")),"Refer Pressure Drop Criteria")</f>
        <v>Refer Pressure Drop Criteria</v>
      </c>
      <c r="AD65" s="434"/>
      <c r="AE65" s="434"/>
      <c r="AF65" s="434"/>
      <c r="AG65" s="434"/>
      <c r="AH65" s="434"/>
      <c r="AI65" s="434" t="str">
        <f>IF(AI62="Liquid",IF(AI$60&lt;=VLOOKUP(AI$63,'Calculation Basis'!$X$37:$AB$51,2,FALSE),"Reduce the line size",IF(AI$60&gt;=VLOOKUP(AI$63,'Calculation Basis'!$X$37:$AB$51,3,FALSE),"Increase the line size","Line Size is Okay")),"Refer Pressure Drop Criteria")</f>
        <v>Refer Pressure Drop Criteria</v>
      </c>
      <c r="AJ65" s="434"/>
      <c r="AK65" s="434"/>
      <c r="AL65" s="434"/>
      <c r="AM65" s="434"/>
      <c r="AN65" s="434"/>
      <c r="AO65" s="434" t="str">
        <f>IF(AO62="Liquid",IF(AO$60&lt;=VLOOKUP(AO$63,'Calculation Basis'!$X$37:$AB$51,2,FALSE),"Reduce the line size",IF(AO$60&gt;=VLOOKUP(AO$63,'Calculation Basis'!$X$37:$AB$51,3,FALSE),"Increase the line size","Line Size is Okay")),"Refer Pressure Drop Criteria")</f>
        <v>Refer Pressure Drop Criteria</v>
      </c>
      <c r="AP65" s="434"/>
      <c r="AQ65" s="434"/>
      <c r="AR65" s="434"/>
      <c r="AS65" s="434"/>
      <c r="AT65" s="434"/>
      <c r="AU65" s="434" t="str">
        <f>IF(AU62="Liquid",IF(AU$60&lt;=VLOOKUP(AU$63,'Calculation Basis'!$X$37:$AB$51,2,FALSE),"Reduce the line size",IF(AU$60&gt;=VLOOKUP(AU$63,'Calculation Basis'!$X$37:$AB$51,3,FALSE),"Increase the line size","Line Size is Okay")),"Refer Pressure Drop Criteria")</f>
        <v>Refer Pressure Drop Criteria</v>
      </c>
      <c r="AV65" s="434"/>
      <c r="AW65" s="434"/>
      <c r="AX65" s="434"/>
      <c r="AY65" s="434"/>
      <c r="AZ65" s="434"/>
      <c r="BA65" s="434" t="str">
        <f>IF(BA62="Liquid",IF(BA$60&lt;=VLOOKUP(BA$63,'Calculation Basis'!$X$37:$AB$51,2,FALSE),"Reduce the line size",IF(BA$60&gt;=VLOOKUP(BA$63,'Calculation Basis'!$X$37:$AB$51,3,FALSE),"Increase the line size","Line Size is Okay")),"Refer Pressure Drop Criteria")</f>
        <v>Refer Pressure Drop Criteria</v>
      </c>
      <c r="BB65" s="434"/>
      <c r="BC65" s="434"/>
      <c r="BD65" s="434"/>
      <c r="BE65" s="434"/>
      <c r="BF65" s="434"/>
      <c r="BG65" s="434" t="str">
        <f>IF(BG62="Liquid",IF(BG$60&lt;=VLOOKUP(BG$63,'Calculation Basis'!$X$37:$AB$51,2,FALSE),"Reduce the line size",IF(BG$60&gt;=VLOOKUP(BG$63,'Calculation Basis'!$X$37:$AB$51,3,FALSE),"Increase the line size","Line Size is Okay")),"Refer Pressure Drop Criteria")</f>
        <v>Refer Pressure Drop Criteria</v>
      </c>
      <c r="BH65" s="434"/>
      <c r="BI65" s="434"/>
      <c r="BJ65" s="434"/>
      <c r="BK65" s="434"/>
      <c r="BL65" s="434"/>
      <c r="BM65" s="434" t="str">
        <f>IF(BM62="Liquid",IF(BM$60&lt;=VLOOKUP(BM$63,'Calculation Basis'!$X$37:$AB$51,2,FALSE),"Reduce the line size",IF(BM$60&gt;=VLOOKUP(BM$63,'Calculation Basis'!$X$37:$AB$51,3,FALSE),"Increase the line size","Line Size is Okay")),"Refer Pressure Drop Criteria")</f>
        <v>Refer Pressure Drop Criteria</v>
      </c>
      <c r="BN65" s="434"/>
      <c r="BO65" s="434"/>
      <c r="BP65" s="434"/>
      <c r="BQ65" s="434"/>
      <c r="BR65" s="434"/>
      <c r="BS65" s="434" t="str">
        <f>IF(BS62="Liquid",IF(BS$60&lt;=VLOOKUP(BS$63,'Calculation Basis'!$X$37:$AB$51,2,FALSE),"Reduce the line size",IF(BS$60&gt;=VLOOKUP(BS$63,'Calculation Basis'!$X$37:$AB$51,3,FALSE),"Increase the line size","Line Size is Okay")),"Refer Pressure Drop Criteria")</f>
        <v>Refer Pressure Drop Criteria</v>
      </c>
      <c r="BT65" s="434"/>
      <c r="BU65" s="434"/>
      <c r="BV65" s="434"/>
      <c r="BW65" s="434"/>
      <c r="BX65" s="434"/>
      <c r="BY65" s="434" t="str">
        <f>IF(BY62="Liquid",IF(BY$60&lt;=VLOOKUP(BY$63,'Calculation Basis'!$X$37:$AB$51,2,FALSE),"Reduce the line size",IF(BY$60&gt;=VLOOKUP(BY$63,'Calculation Basis'!$X$37:$AB$51,3,FALSE),"Increase the line size","Line Size is Okay")),"Refer Pressure Drop Criteria")</f>
        <v>Refer Pressure Drop Criteria</v>
      </c>
      <c r="BZ65" s="434"/>
      <c r="CA65" s="434"/>
      <c r="CB65" s="434"/>
      <c r="CC65" s="434"/>
      <c r="CD65" s="434"/>
      <c r="CE65" s="434" t="str">
        <f>IF(CE62="Liquid",IF(CE$60&lt;=VLOOKUP(CE$63,'Calculation Basis'!$X$37:$AB$51,2,FALSE),"Reduce the line size",IF(CE$60&gt;=VLOOKUP(CE$63,'Calculation Basis'!$X$37:$AB$51,3,FALSE),"Increase the line size","Line Size is Okay")),"Refer Pressure Drop Criteria")</f>
        <v>Refer Pressure Drop Criteria</v>
      </c>
      <c r="CF65" s="434"/>
      <c r="CG65" s="434"/>
      <c r="CH65" s="434"/>
      <c r="CI65" s="434"/>
      <c r="CJ65" s="434"/>
      <c r="CK65" s="434" t="str">
        <f>IF(CK62="Liquid",IF(CK$60&lt;=VLOOKUP(CK$63,'Calculation Basis'!$X$37:$AB$51,2,FALSE),"Reduce the line size",IF(CK$60&gt;=VLOOKUP(CK$63,'Calculation Basis'!$X$37:$AB$51,3,FALSE),"Increase the line size","Line Size is Okay")),"Refer Pressure Drop Criteria")</f>
        <v>Refer Pressure Drop Criteria</v>
      </c>
      <c r="CL65" s="434"/>
      <c r="CM65" s="434"/>
      <c r="CN65" s="434"/>
      <c r="CO65" s="434"/>
      <c r="CP65" s="434"/>
      <c r="CQ65" s="434" t="str">
        <f>IF(CQ62="Liquid",IF(CQ$60&lt;=VLOOKUP(CQ$63,'Calculation Basis'!$X$37:$AB$51,2,FALSE),"Reduce the line size",IF(CQ$60&gt;=VLOOKUP(CQ$63,'Calculation Basis'!$X$37:$AB$51,3,FALSE),"Increase the line size","Line Size is Okay")),"Refer Pressure Drop Criteria")</f>
        <v>Refer Pressure Drop Criteria</v>
      </c>
      <c r="CR65" s="434"/>
      <c r="CS65" s="434"/>
      <c r="CT65" s="434"/>
      <c r="CU65" s="434"/>
      <c r="CV65" s="434"/>
      <c r="CW65" s="434" t="str">
        <f>IF(CW62="Liquid",IF(CW$60&lt;=VLOOKUP(CW$63,'Calculation Basis'!$X$37:$AB$51,2,FALSE),"Reduce the line size",IF(CW$60&gt;=VLOOKUP(CW$63,'Calculation Basis'!$X$37:$AB$51,3,FALSE),"Increase the line size","Line Size is Okay")),"Refer Pressure Drop Criteria")</f>
        <v>Refer Pressure Drop Criteria</v>
      </c>
      <c r="CX65" s="434"/>
      <c r="CY65" s="434"/>
      <c r="CZ65" s="434"/>
      <c r="DA65" s="434"/>
      <c r="DB65" s="434"/>
      <c r="DC65" s="434" t="str">
        <f>IF(DC62="Liquid",IF(DC$60&lt;=VLOOKUP(DC$63,'Calculation Basis'!$X$37:$AB$51,2,FALSE),"Reduce the line size",IF(DC$60&gt;=VLOOKUP(DC$63,'Calculation Basis'!$X$37:$AB$51,3,FALSE),"Increase the line size","Line Size is Okay")),"Refer Pressure Drop Criteria")</f>
        <v>Refer Pressure Drop Criteria</v>
      </c>
      <c r="DD65" s="434"/>
      <c r="DE65" s="434"/>
      <c r="DF65" s="434"/>
      <c r="DG65" s="434"/>
      <c r="DH65" s="434"/>
      <c r="DI65" s="434" t="str">
        <f>IF(DI62="Liquid",IF(DI$60&lt;=VLOOKUP(DI$63,'Calculation Basis'!$X$37:$AB$51,2,FALSE),"Reduce the line size",IF(DI$60&gt;=VLOOKUP(DI$63,'Calculation Basis'!$X$37:$AB$51,3,FALSE),"Increase the line size","Line Size is Okay")),"Refer Pressure Drop Criteria")</f>
        <v>Refer Pressure Drop Criteria</v>
      </c>
      <c r="DJ65" s="434"/>
      <c r="DK65" s="434"/>
      <c r="DL65" s="434"/>
      <c r="DM65" s="434"/>
      <c r="DN65" s="434"/>
    </row>
    <row r="66" spans="2:118" x14ac:dyDescent="0.35">
      <c r="B66" s="400"/>
      <c r="C66" s="178"/>
      <c r="D66" s="396"/>
      <c r="E66" s="393"/>
      <c r="F66" s="393"/>
      <c r="G66" s="393"/>
      <c r="H66" s="393"/>
      <c r="I66" s="393"/>
      <c r="J66" s="393"/>
      <c r="K66" s="393"/>
      <c r="L66" s="393"/>
      <c r="M66" s="393"/>
      <c r="N66" s="393"/>
      <c r="O66" s="393"/>
      <c r="P66" s="393"/>
      <c r="Q66" s="393"/>
      <c r="R66" s="393"/>
      <c r="S66" s="393"/>
      <c r="T66" s="393"/>
      <c r="U66" s="393"/>
      <c r="V66" s="393"/>
      <c r="W66" s="393"/>
      <c r="X66" s="393"/>
      <c r="Y66" s="393"/>
      <c r="Z66" s="393"/>
      <c r="AA66" s="393"/>
      <c r="AB66" s="393"/>
      <c r="AC66" s="393"/>
      <c r="AD66" s="393"/>
      <c r="AE66" s="393"/>
      <c r="AF66" s="393"/>
      <c r="AG66" s="393"/>
      <c r="AH66" s="393"/>
      <c r="AI66" s="393"/>
      <c r="AJ66" s="393"/>
      <c r="AK66" s="393"/>
      <c r="AL66" s="393"/>
      <c r="AM66" s="393"/>
      <c r="AN66" s="393"/>
      <c r="AO66" s="393"/>
      <c r="AP66" s="393"/>
      <c r="AQ66" s="393"/>
      <c r="AR66" s="393"/>
      <c r="AS66" s="393"/>
      <c r="AT66" s="393"/>
      <c r="AU66" s="393"/>
      <c r="AV66" s="393"/>
      <c r="AW66" s="393"/>
      <c r="AX66" s="393"/>
      <c r="AY66" s="393"/>
      <c r="AZ66" s="393"/>
      <c r="BA66" s="393"/>
      <c r="BB66" s="393"/>
      <c r="BC66" s="393"/>
      <c r="BD66" s="393"/>
      <c r="BE66" s="393"/>
      <c r="BF66" s="393"/>
      <c r="BG66" s="393"/>
      <c r="BH66" s="393"/>
      <c r="BI66" s="393"/>
      <c r="BJ66" s="393"/>
      <c r="BK66" s="393"/>
      <c r="BL66" s="393"/>
      <c r="BM66" s="393"/>
      <c r="BN66" s="393"/>
      <c r="BO66" s="393"/>
      <c r="BP66" s="393"/>
      <c r="BQ66" s="393"/>
      <c r="BR66" s="393"/>
      <c r="BS66" s="393"/>
      <c r="BT66" s="393"/>
      <c r="BU66" s="393"/>
      <c r="BV66" s="393"/>
      <c r="BW66" s="393"/>
      <c r="BX66" s="393"/>
      <c r="BY66" s="393"/>
      <c r="BZ66" s="393"/>
      <c r="CA66" s="393"/>
      <c r="CB66" s="393"/>
      <c r="CC66" s="393"/>
      <c r="CD66" s="393"/>
      <c r="CE66" s="393"/>
      <c r="CF66" s="393"/>
      <c r="CG66" s="393"/>
      <c r="CH66" s="393"/>
      <c r="CI66" s="393"/>
      <c r="CJ66" s="393"/>
      <c r="CK66" s="393"/>
      <c r="CL66" s="393"/>
      <c r="CM66" s="393"/>
      <c r="CN66" s="393"/>
      <c r="CO66" s="393"/>
      <c r="CP66" s="393"/>
      <c r="CQ66" s="393"/>
      <c r="CR66" s="393"/>
      <c r="CS66" s="393"/>
      <c r="CT66" s="393"/>
      <c r="CU66" s="393"/>
      <c r="CV66" s="393"/>
      <c r="CW66" s="393"/>
      <c r="CX66" s="393"/>
      <c r="CY66" s="393"/>
      <c r="CZ66" s="393"/>
      <c r="DA66" s="393"/>
      <c r="DB66" s="393"/>
      <c r="DC66" s="393"/>
      <c r="DD66" s="393"/>
      <c r="DE66" s="393"/>
      <c r="DF66" s="393"/>
      <c r="DG66" s="393"/>
      <c r="DH66" s="393"/>
      <c r="DI66" s="393"/>
      <c r="DJ66" s="393"/>
      <c r="DK66" s="13"/>
      <c r="DL66" s="13"/>
      <c r="DM66" s="13"/>
      <c r="DN66" s="13"/>
    </row>
    <row r="67" spans="2:118" x14ac:dyDescent="0.35">
      <c r="B67" s="200" t="s">
        <v>426</v>
      </c>
      <c r="C67" s="200"/>
      <c r="D67" s="200"/>
      <c r="E67" s="464" t="s">
        <v>516</v>
      </c>
      <c r="F67" s="465"/>
      <c r="G67" s="465"/>
      <c r="H67" s="465"/>
      <c r="I67" s="465"/>
      <c r="J67" s="466"/>
      <c r="K67" s="435" t="s">
        <v>516</v>
      </c>
      <c r="L67" s="435"/>
      <c r="M67" s="435"/>
      <c r="N67" s="435"/>
      <c r="O67" s="435"/>
      <c r="P67" s="435"/>
      <c r="Q67" s="435" t="s">
        <v>516</v>
      </c>
      <c r="R67" s="435"/>
      <c r="S67" s="435"/>
      <c r="T67" s="435"/>
      <c r="U67" s="435"/>
      <c r="V67" s="435"/>
      <c r="W67" s="435" t="s">
        <v>516</v>
      </c>
      <c r="X67" s="435"/>
      <c r="Y67" s="435"/>
      <c r="Z67" s="435"/>
      <c r="AA67" s="435"/>
      <c r="AB67" s="435"/>
      <c r="AC67" s="435" t="s">
        <v>516</v>
      </c>
      <c r="AD67" s="435"/>
      <c r="AE67" s="435"/>
      <c r="AF67" s="435"/>
      <c r="AG67" s="435"/>
      <c r="AH67" s="435"/>
      <c r="AI67" s="435" t="s">
        <v>516</v>
      </c>
      <c r="AJ67" s="435"/>
      <c r="AK67" s="435"/>
      <c r="AL67" s="435"/>
      <c r="AM67" s="435"/>
      <c r="AN67" s="435"/>
      <c r="AO67" s="435" t="s">
        <v>516</v>
      </c>
      <c r="AP67" s="435"/>
      <c r="AQ67" s="435"/>
      <c r="AR67" s="435"/>
      <c r="AS67" s="435"/>
      <c r="AT67" s="435"/>
      <c r="AU67" s="435" t="s">
        <v>516</v>
      </c>
      <c r="AV67" s="435"/>
      <c r="AW67" s="435"/>
      <c r="AX67" s="435"/>
      <c r="AY67" s="435"/>
      <c r="AZ67" s="435"/>
      <c r="BA67" s="435" t="s">
        <v>516</v>
      </c>
      <c r="BB67" s="435"/>
      <c r="BC67" s="435"/>
      <c r="BD67" s="435"/>
      <c r="BE67" s="435"/>
      <c r="BF67" s="435"/>
      <c r="BG67" s="435" t="s">
        <v>516</v>
      </c>
      <c r="BH67" s="435"/>
      <c r="BI67" s="435"/>
      <c r="BJ67" s="435"/>
      <c r="BK67" s="435"/>
      <c r="BL67" s="435"/>
      <c r="BM67" s="435" t="s">
        <v>516</v>
      </c>
      <c r="BN67" s="435"/>
      <c r="BO67" s="435"/>
      <c r="BP67" s="435"/>
      <c r="BQ67" s="435"/>
      <c r="BR67" s="435"/>
      <c r="BS67" s="435" t="s">
        <v>516</v>
      </c>
      <c r="BT67" s="435"/>
      <c r="BU67" s="435"/>
      <c r="BV67" s="435"/>
      <c r="BW67" s="435"/>
      <c r="BX67" s="435"/>
      <c r="BY67" s="435" t="s">
        <v>516</v>
      </c>
      <c r="BZ67" s="435"/>
      <c r="CA67" s="435"/>
      <c r="CB67" s="435"/>
      <c r="CC67" s="435"/>
      <c r="CD67" s="435"/>
      <c r="CE67" s="435" t="s">
        <v>516</v>
      </c>
      <c r="CF67" s="435"/>
      <c r="CG67" s="435"/>
      <c r="CH67" s="435"/>
      <c r="CI67" s="435"/>
      <c r="CJ67" s="435"/>
      <c r="CK67" s="435" t="s">
        <v>516</v>
      </c>
      <c r="CL67" s="435"/>
      <c r="CM67" s="435"/>
      <c r="CN67" s="435"/>
      <c r="CO67" s="435"/>
      <c r="CP67" s="435"/>
      <c r="CQ67" s="435" t="s">
        <v>516</v>
      </c>
      <c r="CR67" s="435"/>
      <c r="CS67" s="435"/>
      <c r="CT67" s="435"/>
      <c r="CU67" s="435"/>
      <c r="CV67" s="435"/>
      <c r="CW67" s="435" t="s">
        <v>516</v>
      </c>
      <c r="CX67" s="435"/>
      <c r="CY67" s="435"/>
      <c r="CZ67" s="435"/>
      <c r="DA67" s="435"/>
      <c r="DB67" s="435"/>
      <c r="DC67" s="435" t="s">
        <v>516</v>
      </c>
      <c r="DD67" s="435"/>
      <c r="DE67" s="435"/>
      <c r="DF67" s="435"/>
      <c r="DG67" s="435"/>
      <c r="DH67" s="435"/>
      <c r="DI67" s="435" t="s">
        <v>516</v>
      </c>
      <c r="DJ67" s="435"/>
      <c r="DK67" s="435"/>
      <c r="DL67" s="435"/>
      <c r="DM67" s="435"/>
      <c r="DN67" s="435"/>
    </row>
    <row r="68" spans="2:118" ht="6.75" customHeight="1" x14ac:dyDescent="0.35">
      <c r="B68" s="201"/>
      <c r="C68" s="13"/>
      <c r="D68" s="202"/>
      <c r="E68" s="202"/>
      <c r="F68" s="13"/>
      <c r="G68" s="13"/>
      <c r="H68" s="13"/>
      <c r="I68" s="13"/>
      <c r="J68" s="13"/>
      <c r="K68" s="202"/>
      <c r="L68" s="13"/>
      <c r="M68" s="13"/>
      <c r="N68" s="13"/>
      <c r="O68" s="13"/>
      <c r="P68" s="13"/>
      <c r="Q68" s="202"/>
      <c r="R68" s="13"/>
      <c r="S68" s="13"/>
      <c r="T68" s="13"/>
      <c r="U68" s="13"/>
      <c r="V68" s="13"/>
      <c r="W68" s="202"/>
      <c r="X68" s="13"/>
      <c r="Y68" s="13"/>
      <c r="Z68" s="13"/>
      <c r="AA68" s="13"/>
      <c r="AB68" s="13"/>
      <c r="AC68" s="202"/>
      <c r="AD68" s="13"/>
      <c r="AE68" s="13"/>
      <c r="AF68" s="13"/>
      <c r="AG68" s="13"/>
      <c r="AH68" s="13"/>
      <c r="AI68" s="202"/>
      <c r="AJ68" s="13"/>
      <c r="AK68" s="13"/>
      <c r="AL68" s="13"/>
      <c r="AM68" s="13"/>
      <c r="AN68" s="13"/>
      <c r="AO68" s="202"/>
      <c r="AP68" s="13"/>
      <c r="AQ68" s="13"/>
      <c r="AR68" s="13"/>
      <c r="AS68" s="13"/>
      <c r="AT68" s="13"/>
      <c r="AU68" s="202"/>
      <c r="AV68" s="13"/>
      <c r="AW68" s="13"/>
      <c r="AX68" s="13"/>
      <c r="AY68" s="13"/>
      <c r="AZ68" s="13"/>
      <c r="BA68" s="202"/>
      <c r="BB68" s="13"/>
      <c r="BC68" s="13"/>
      <c r="BD68" s="13"/>
      <c r="BE68" s="13"/>
      <c r="BF68" s="13"/>
      <c r="BG68" s="202"/>
      <c r="BH68" s="13"/>
      <c r="BI68" s="13"/>
      <c r="BJ68" s="13"/>
      <c r="BK68" s="13"/>
      <c r="BL68" s="13"/>
      <c r="BM68" s="202"/>
      <c r="BN68" s="13"/>
      <c r="BO68" s="13"/>
      <c r="BP68" s="13"/>
      <c r="BQ68" s="13"/>
      <c r="BR68" s="13"/>
      <c r="BS68" s="202"/>
      <c r="BT68" s="13"/>
      <c r="BU68" s="13"/>
      <c r="BV68" s="13"/>
      <c r="BW68" s="13"/>
      <c r="BX68" s="13"/>
      <c r="BY68" s="202"/>
      <c r="BZ68" s="13"/>
      <c r="CA68" s="13"/>
      <c r="CB68" s="13"/>
      <c r="CC68" s="13"/>
      <c r="CD68" s="13"/>
      <c r="CE68" s="202"/>
      <c r="CF68" s="13"/>
      <c r="CG68" s="13"/>
      <c r="CH68" s="13"/>
      <c r="CI68" s="13"/>
      <c r="CJ68" s="13"/>
      <c r="CK68" s="202"/>
      <c r="CL68" s="13"/>
      <c r="CM68" s="13"/>
      <c r="CN68" s="13"/>
      <c r="CO68" s="13"/>
      <c r="CP68" s="13"/>
      <c r="CQ68" s="202"/>
      <c r="CR68" s="13"/>
      <c r="CS68" s="13"/>
      <c r="CT68" s="13"/>
      <c r="CU68" s="13"/>
      <c r="CV68" s="13"/>
      <c r="CW68" s="435" t="s">
        <v>516</v>
      </c>
      <c r="CX68" s="435"/>
      <c r="CY68" s="435"/>
      <c r="CZ68" s="435"/>
      <c r="DA68" s="435"/>
      <c r="DB68" s="435"/>
      <c r="DC68" s="202"/>
      <c r="DD68" s="13"/>
      <c r="DE68" s="13"/>
      <c r="DF68" s="13"/>
      <c r="DG68" s="13"/>
      <c r="DH68" s="13"/>
      <c r="DI68" s="202"/>
      <c r="DJ68" s="13"/>
      <c r="DK68" s="13"/>
      <c r="DL68" s="13"/>
      <c r="DM68" s="13"/>
      <c r="DN68" s="13"/>
    </row>
    <row r="69" spans="2:118" ht="26" x14ac:dyDescent="0.35">
      <c r="B69" s="203" t="s">
        <v>427</v>
      </c>
      <c r="C69" s="203"/>
      <c r="D69" s="203"/>
      <c r="E69" s="204" t="s">
        <v>515</v>
      </c>
      <c r="F69" s="204" t="s">
        <v>428</v>
      </c>
      <c r="G69" s="204" t="s">
        <v>429</v>
      </c>
      <c r="H69" s="204" t="s">
        <v>430</v>
      </c>
      <c r="I69" s="204" t="s">
        <v>431</v>
      </c>
      <c r="J69" s="204" t="s">
        <v>432</v>
      </c>
      <c r="K69" s="326" t="s">
        <v>515</v>
      </c>
      <c r="L69" s="204" t="s">
        <v>428</v>
      </c>
      <c r="M69" s="204" t="s">
        <v>429</v>
      </c>
      <c r="N69" s="204" t="s">
        <v>430</v>
      </c>
      <c r="O69" s="204" t="s">
        <v>431</v>
      </c>
      <c r="P69" s="204" t="s">
        <v>432</v>
      </c>
      <c r="Q69" s="204" t="s">
        <v>515</v>
      </c>
      <c r="R69" s="204" t="s">
        <v>428</v>
      </c>
      <c r="S69" s="204" t="s">
        <v>429</v>
      </c>
      <c r="T69" s="204" t="s">
        <v>430</v>
      </c>
      <c r="U69" s="204" t="s">
        <v>431</v>
      </c>
      <c r="V69" s="204" t="s">
        <v>432</v>
      </c>
      <c r="W69" s="204" t="s">
        <v>515</v>
      </c>
      <c r="X69" s="204" t="s">
        <v>428</v>
      </c>
      <c r="Y69" s="204" t="s">
        <v>429</v>
      </c>
      <c r="Z69" s="204" t="s">
        <v>430</v>
      </c>
      <c r="AA69" s="204" t="s">
        <v>431</v>
      </c>
      <c r="AB69" s="204" t="s">
        <v>432</v>
      </c>
      <c r="AC69" s="204" t="s">
        <v>515</v>
      </c>
      <c r="AD69" s="204" t="s">
        <v>428</v>
      </c>
      <c r="AE69" s="204" t="s">
        <v>429</v>
      </c>
      <c r="AF69" s="204" t="s">
        <v>430</v>
      </c>
      <c r="AG69" s="204" t="s">
        <v>431</v>
      </c>
      <c r="AH69" s="204" t="s">
        <v>432</v>
      </c>
      <c r="AI69" s="204" t="s">
        <v>515</v>
      </c>
      <c r="AJ69" s="204" t="s">
        <v>428</v>
      </c>
      <c r="AK69" s="204" t="s">
        <v>429</v>
      </c>
      <c r="AL69" s="204" t="s">
        <v>430</v>
      </c>
      <c r="AM69" s="204" t="s">
        <v>431</v>
      </c>
      <c r="AN69" s="204" t="s">
        <v>432</v>
      </c>
      <c r="AO69" s="204" t="s">
        <v>515</v>
      </c>
      <c r="AP69" s="204" t="s">
        <v>428</v>
      </c>
      <c r="AQ69" s="204" t="s">
        <v>429</v>
      </c>
      <c r="AR69" s="204" t="s">
        <v>430</v>
      </c>
      <c r="AS69" s="204" t="s">
        <v>431</v>
      </c>
      <c r="AT69" s="204" t="s">
        <v>432</v>
      </c>
      <c r="AU69" s="204" t="s">
        <v>515</v>
      </c>
      <c r="AV69" s="204" t="s">
        <v>428</v>
      </c>
      <c r="AW69" s="204" t="s">
        <v>429</v>
      </c>
      <c r="AX69" s="204" t="s">
        <v>430</v>
      </c>
      <c r="AY69" s="204" t="s">
        <v>431</v>
      </c>
      <c r="AZ69" s="204" t="s">
        <v>432</v>
      </c>
      <c r="BA69" s="204" t="s">
        <v>515</v>
      </c>
      <c r="BB69" s="204" t="s">
        <v>428</v>
      </c>
      <c r="BC69" s="204" t="s">
        <v>429</v>
      </c>
      <c r="BD69" s="204" t="s">
        <v>430</v>
      </c>
      <c r="BE69" s="204" t="s">
        <v>431</v>
      </c>
      <c r="BF69" s="204" t="s">
        <v>432</v>
      </c>
      <c r="BG69" s="204" t="s">
        <v>515</v>
      </c>
      <c r="BH69" s="204" t="s">
        <v>428</v>
      </c>
      <c r="BI69" s="204" t="s">
        <v>429</v>
      </c>
      <c r="BJ69" s="204" t="s">
        <v>430</v>
      </c>
      <c r="BK69" s="204" t="s">
        <v>431</v>
      </c>
      <c r="BL69" s="204" t="s">
        <v>432</v>
      </c>
      <c r="BM69" s="204" t="s">
        <v>515</v>
      </c>
      <c r="BN69" s="204" t="s">
        <v>428</v>
      </c>
      <c r="BO69" s="204" t="s">
        <v>429</v>
      </c>
      <c r="BP69" s="204" t="s">
        <v>430</v>
      </c>
      <c r="BQ69" s="204" t="s">
        <v>431</v>
      </c>
      <c r="BR69" s="204" t="s">
        <v>432</v>
      </c>
      <c r="BS69" s="204" t="s">
        <v>515</v>
      </c>
      <c r="BT69" s="204" t="s">
        <v>428</v>
      </c>
      <c r="BU69" s="204" t="s">
        <v>429</v>
      </c>
      <c r="BV69" s="204" t="s">
        <v>430</v>
      </c>
      <c r="BW69" s="204" t="s">
        <v>431</v>
      </c>
      <c r="BX69" s="204" t="s">
        <v>432</v>
      </c>
      <c r="BY69" s="204" t="s">
        <v>515</v>
      </c>
      <c r="BZ69" s="204" t="s">
        <v>428</v>
      </c>
      <c r="CA69" s="204" t="s">
        <v>429</v>
      </c>
      <c r="CB69" s="204" t="s">
        <v>430</v>
      </c>
      <c r="CC69" s="204" t="s">
        <v>431</v>
      </c>
      <c r="CD69" s="204" t="s">
        <v>432</v>
      </c>
      <c r="CE69" s="204" t="s">
        <v>515</v>
      </c>
      <c r="CF69" s="204" t="s">
        <v>428</v>
      </c>
      <c r="CG69" s="204" t="s">
        <v>429</v>
      </c>
      <c r="CH69" s="204" t="s">
        <v>430</v>
      </c>
      <c r="CI69" s="204" t="s">
        <v>431</v>
      </c>
      <c r="CJ69" s="204" t="s">
        <v>432</v>
      </c>
      <c r="CK69" s="204" t="s">
        <v>515</v>
      </c>
      <c r="CL69" s="204" t="s">
        <v>428</v>
      </c>
      <c r="CM69" s="204" t="s">
        <v>429</v>
      </c>
      <c r="CN69" s="204" t="s">
        <v>430</v>
      </c>
      <c r="CO69" s="204" t="s">
        <v>431</v>
      </c>
      <c r="CP69" s="204" t="s">
        <v>432</v>
      </c>
      <c r="CQ69" s="204" t="s">
        <v>515</v>
      </c>
      <c r="CR69" s="204" t="s">
        <v>428</v>
      </c>
      <c r="CS69" s="204" t="s">
        <v>429</v>
      </c>
      <c r="CT69" s="204" t="s">
        <v>430</v>
      </c>
      <c r="CU69" s="204" t="s">
        <v>431</v>
      </c>
      <c r="CV69" s="204" t="s">
        <v>432</v>
      </c>
      <c r="CW69" s="202"/>
      <c r="CX69" s="13"/>
      <c r="CY69" s="13"/>
      <c r="CZ69" s="13"/>
      <c r="DA69" s="13"/>
      <c r="DB69" s="13"/>
      <c r="DC69" s="204" t="s">
        <v>515</v>
      </c>
      <c r="DD69" s="204" t="s">
        <v>428</v>
      </c>
      <c r="DE69" s="204" t="s">
        <v>429</v>
      </c>
      <c r="DF69" s="204" t="s">
        <v>430</v>
      </c>
      <c r="DG69" s="204" t="s">
        <v>431</v>
      </c>
      <c r="DH69" s="204" t="s">
        <v>432</v>
      </c>
      <c r="DI69" s="204" t="s">
        <v>515</v>
      </c>
      <c r="DJ69" s="204" t="s">
        <v>428</v>
      </c>
      <c r="DK69" s="204" t="s">
        <v>429</v>
      </c>
      <c r="DL69" s="204" t="s">
        <v>430</v>
      </c>
      <c r="DM69" s="204" t="s">
        <v>431</v>
      </c>
      <c r="DN69" s="204" t="s">
        <v>432</v>
      </c>
    </row>
    <row r="70" spans="2:118" x14ac:dyDescent="0.35">
      <c r="B70" s="201" t="s">
        <v>433</v>
      </c>
      <c r="C70" s="13"/>
      <c r="D70" s="13"/>
      <c r="E70" s="202">
        <v>0</v>
      </c>
      <c r="F70" s="205">
        <f>IF(ISNUMBER(E70),E70*(G70/E$41+H70*(1+I70/E$28^0.3)),0)</f>
        <v>0</v>
      </c>
      <c r="G70" s="202">
        <v>800</v>
      </c>
      <c r="H70" s="202">
        <v>0.14000000000000001</v>
      </c>
      <c r="I70" s="202">
        <v>4</v>
      </c>
      <c r="J70" s="202" t="s">
        <v>434</v>
      </c>
      <c r="K70" s="324">
        <v>0</v>
      </c>
      <c r="L70" s="205">
        <f>IF(ISNUMBER(K70),K70*(M70/K$41+N70*(1+O70/K$28^0.3)),0)</f>
        <v>0</v>
      </c>
      <c r="M70" s="202">
        <v>800</v>
      </c>
      <c r="N70" s="202">
        <v>0.14000000000000001</v>
      </c>
      <c r="O70" s="202">
        <v>4</v>
      </c>
      <c r="P70" s="202" t="s">
        <v>434</v>
      </c>
      <c r="Q70" s="202">
        <v>0</v>
      </c>
      <c r="R70" s="205">
        <f>IF(ISNUMBER(Q70),Q70*(S70/Q$41+T70*(1+U70/Q$28^0.3)),0)</f>
        <v>0</v>
      </c>
      <c r="S70" s="202">
        <v>800</v>
      </c>
      <c r="T70" s="202">
        <v>0.14000000000000001</v>
      </c>
      <c r="U70" s="202">
        <v>4</v>
      </c>
      <c r="V70" s="202" t="s">
        <v>434</v>
      </c>
      <c r="W70" s="202">
        <v>0</v>
      </c>
      <c r="X70" s="205">
        <f>IF(ISNUMBER(W70),W70*(Y70/W$41+Z70*(1+AA70/W$28^0.3)),0)</f>
        <v>0</v>
      </c>
      <c r="Y70" s="202">
        <v>800</v>
      </c>
      <c r="Z70" s="202">
        <v>0.14000000000000001</v>
      </c>
      <c r="AA70" s="202">
        <v>4</v>
      </c>
      <c r="AB70" s="202" t="s">
        <v>434</v>
      </c>
      <c r="AC70" s="202">
        <v>0</v>
      </c>
      <c r="AD70" s="205">
        <f>IF(ISNUMBER(AC70),AC70*(AE70/AC$41+AF70*(1+AG70/AC$28^0.3)),0)</f>
        <v>0</v>
      </c>
      <c r="AE70" s="202">
        <v>800</v>
      </c>
      <c r="AF70" s="202">
        <v>0.14000000000000001</v>
      </c>
      <c r="AG70" s="202">
        <v>4</v>
      </c>
      <c r="AH70" s="202" t="s">
        <v>434</v>
      </c>
      <c r="AI70" s="202">
        <v>0</v>
      </c>
      <c r="AJ70" s="205">
        <f>IF(ISNUMBER(AI70),AI70*(AK70/AI$41+AL70*(1+AM70/AI$28^0.3)),0)</f>
        <v>0</v>
      </c>
      <c r="AK70" s="202">
        <v>800</v>
      </c>
      <c r="AL70" s="202">
        <v>0.14000000000000001</v>
      </c>
      <c r="AM70" s="202">
        <v>4</v>
      </c>
      <c r="AN70" s="202" t="s">
        <v>434</v>
      </c>
      <c r="AO70" s="202">
        <v>0</v>
      </c>
      <c r="AP70" s="205">
        <f>IF(ISNUMBER(AO70),AO70*(AQ70/AO$41+AR70*(1+AS70/AO$28^0.3)),0)</f>
        <v>0</v>
      </c>
      <c r="AQ70" s="202">
        <v>800</v>
      </c>
      <c r="AR70" s="202">
        <v>0.14000000000000001</v>
      </c>
      <c r="AS70" s="202">
        <v>4</v>
      </c>
      <c r="AT70" s="202" t="s">
        <v>434</v>
      </c>
      <c r="AU70" s="202">
        <v>0</v>
      </c>
      <c r="AV70" s="205">
        <f>IF(ISNUMBER(AU70),AU70*(AW70/AU$41+AX70*(1+AY70/AU$28^0.3)),0)</f>
        <v>0</v>
      </c>
      <c r="AW70" s="202">
        <v>800</v>
      </c>
      <c r="AX70" s="202">
        <v>0.14000000000000001</v>
      </c>
      <c r="AY70" s="202">
        <v>4</v>
      </c>
      <c r="AZ70" s="202" t="s">
        <v>434</v>
      </c>
      <c r="BA70" s="202">
        <v>0</v>
      </c>
      <c r="BB70" s="205">
        <f>IF(ISNUMBER(BA70),BA70*(BC70/BA$41+BD70*(1+BE70/BA$28^0.3)),0)</f>
        <v>0</v>
      </c>
      <c r="BC70" s="202">
        <v>800</v>
      </c>
      <c r="BD70" s="202">
        <v>0.14000000000000001</v>
      </c>
      <c r="BE70" s="202">
        <v>4</v>
      </c>
      <c r="BF70" s="202" t="s">
        <v>434</v>
      </c>
      <c r="BG70" s="202">
        <v>0</v>
      </c>
      <c r="BH70" s="205">
        <f>IF(ISNUMBER(BG70),BG70*(BI70/BG$41+BJ70*(1+BK70/BG$28^0.3)),0)</f>
        <v>0</v>
      </c>
      <c r="BI70" s="202">
        <v>800</v>
      </c>
      <c r="BJ70" s="202">
        <v>0.14000000000000001</v>
      </c>
      <c r="BK70" s="202">
        <v>4</v>
      </c>
      <c r="BL70" s="202" t="s">
        <v>434</v>
      </c>
      <c r="BM70" s="202">
        <v>0</v>
      </c>
      <c r="BN70" s="205">
        <f>IF(ISNUMBER(BM70),BM70*(BO70/BM$41+BP70*(1+BQ70/BM$28^0.3)),0)</f>
        <v>0</v>
      </c>
      <c r="BO70" s="202">
        <v>800</v>
      </c>
      <c r="BP70" s="202">
        <v>0.14000000000000001</v>
      </c>
      <c r="BQ70" s="202">
        <v>4</v>
      </c>
      <c r="BR70" s="202" t="s">
        <v>434</v>
      </c>
      <c r="BS70" s="202">
        <v>0</v>
      </c>
      <c r="BT70" s="205">
        <f>IF(ISNUMBER(BS70),BS70*(BU70/BS$41+BV70*(1+BW70/BS$28^0.3)),0)</f>
        <v>0</v>
      </c>
      <c r="BU70" s="202">
        <v>800</v>
      </c>
      <c r="BV70" s="202">
        <v>0.14000000000000001</v>
      </c>
      <c r="BW70" s="202">
        <v>4</v>
      </c>
      <c r="BX70" s="202" t="s">
        <v>434</v>
      </c>
      <c r="BY70" s="202">
        <v>0</v>
      </c>
      <c r="BZ70" s="205">
        <f>IF(ISNUMBER(BY70),BY70*(CA70/BY$41+CB70*(1+CC70/BY$28^0.3)),0)</f>
        <v>0</v>
      </c>
      <c r="CA70" s="202">
        <v>800</v>
      </c>
      <c r="CB70" s="202">
        <v>0.14000000000000001</v>
      </c>
      <c r="CC70" s="202">
        <v>4</v>
      </c>
      <c r="CD70" s="202" t="s">
        <v>434</v>
      </c>
      <c r="CE70" s="202">
        <v>0</v>
      </c>
      <c r="CF70" s="205">
        <f>IF(ISNUMBER(CE70),CE70*(CG70/CE$41+CH70*(1+CI70/CE$28^0.3)),0)</f>
        <v>0</v>
      </c>
      <c r="CG70" s="202">
        <v>800</v>
      </c>
      <c r="CH70" s="202">
        <v>0.14000000000000001</v>
      </c>
      <c r="CI70" s="202">
        <v>4</v>
      </c>
      <c r="CJ70" s="202" t="s">
        <v>434</v>
      </c>
      <c r="CK70" s="202">
        <v>0</v>
      </c>
      <c r="CL70" s="205">
        <f>IF(ISNUMBER(CK70),CK70*(CM70/CK$41+CN70*(1+CO70/CK$28^0.3)),0)</f>
        <v>0</v>
      </c>
      <c r="CM70" s="202">
        <v>800</v>
      </c>
      <c r="CN70" s="202">
        <v>0.14000000000000001</v>
      </c>
      <c r="CO70" s="202">
        <v>4</v>
      </c>
      <c r="CP70" s="202" t="s">
        <v>434</v>
      </c>
      <c r="CQ70" s="202">
        <v>0</v>
      </c>
      <c r="CR70" s="205">
        <f>IF(ISNUMBER(CQ70),CQ70*(CS70/CQ$41+CT70*(1+CU70/CQ$28^0.3)),0)</f>
        <v>0</v>
      </c>
      <c r="CS70" s="202">
        <v>800</v>
      </c>
      <c r="CT70" s="202">
        <v>0.14000000000000001</v>
      </c>
      <c r="CU70" s="202">
        <v>4</v>
      </c>
      <c r="CV70" s="202" t="s">
        <v>434</v>
      </c>
      <c r="CW70" s="204" t="s">
        <v>515</v>
      </c>
      <c r="CX70" s="204" t="s">
        <v>428</v>
      </c>
      <c r="CY70" s="204" t="s">
        <v>429</v>
      </c>
      <c r="CZ70" s="204" t="s">
        <v>430</v>
      </c>
      <c r="DA70" s="204" t="s">
        <v>431</v>
      </c>
      <c r="DB70" s="204" t="s">
        <v>432</v>
      </c>
      <c r="DC70" s="202">
        <v>0</v>
      </c>
      <c r="DD70" s="205">
        <f>IF(ISNUMBER(DC70),DC70*(DE70/DC$41+DF70*(1+DG70/DC$28^0.3)),0)</f>
        <v>0</v>
      </c>
      <c r="DE70" s="202">
        <v>800</v>
      </c>
      <c r="DF70" s="202">
        <v>0.14000000000000001</v>
      </c>
      <c r="DG70" s="202">
        <v>4</v>
      </c>
      <c r="DH70" s="202" t="s">
        <v>434</v>
      </c>
      <c r="DI70" s="202">
        <v>0</v>
      </c>
      <c r="DJ70" s="205">
        <f>IF(ISNUMBER(DI70),DI70*(DK70/DI$41+DL70*(1+DM70/DI$28^0.3)),0)</f>
        <v>0</v>
      </c>
      <c r="DK70" s="202">
        <v>800</v>
      </c>
      <c r="DL70" s="202">
        <v>0.14000000000000001</v>
      </c>
      <c r="DM70" s="202">
        <v>4</v>
      </c>
      <c r="DN70" s="202" t="s">
        <v>434</v>
      </c>
    </row>
    <row r="71" spans="2:118" x14ac:dyDescent="0.35">
      <c r="B71" s="201" t="s">
        <v>435</v>
      </c>
      <c r="C71" s="13"/>
      <c r="D71" s="13"/>
      <c r="E71" s="202">
        <v>0</v>
      </c>
      <c r="F71" s="205">
        <f t="shared" ref="F71:F77" si="109">IF(ISNUMBER(E71),E71*(G71/E$41+H71*(1+I71/E$28^0.3)),0)</f>
        <v>0</v>
      </c>
      <c r="G71" s="202">
        <v>800</v>
      </c>
      <c r="H71" s="202">
        <v>7.0999999999999994E-2</v>
      </c>
      <c r="I71" s="202">
        <v>4.2</v>
      </c>
      <c r="J71" s="202" t="s">
        <v>434</v>
      </c>
      <c r="K71" s="324">
        <v>1</v>
      </c>
      <c r="L71" s="205">
        <f t="shared" ref="L71:L77" si="110">IF(ISNUMBER(K71),K71*(M71/K$41+N71*(1+O71/K$28^0.3)),0)</f>
        <v>0.25241633715834899</v>
      </c>
      <c r="M71" s="202">
        <v>800</v>
      </c>
      <c r="N71" s="202">
        <v>7.0999999999999994E-2</v>
      </c>
      <c r="O71" s="202">
        <v>4.2</v>
      </c>
      <c r="P71" s="202" t="s">
        <v>434</v>
      </c>
      <c r="Q71" s="202">
        <v>1</v>
      </c>
      <c r="R71" s="205">
        <f t="shared" ref="R71:R77" si="111">IF(ISNUMBER(Q71),Q71*(S71/Q$41+T71*(1+U71/Q$28^0.3)),0)</f>
        <v>0.25241633715834899</v>
      </c>
      <c r="S71" s="202">
        <v>800</v>
      </c>
      <c r="T71" s="202">
        <v>7.0999999999999994E-2</v>
      </c>
      <c r="U71" s="202">
        <v>4.2</v>
      </c>
      <c r="V71" s="202" t="s">
        <v>434</v>
      </c>
      <c r="W71" s="202">
        <v>1</v>
      </c>
      <c r="X71" s="205">
        <f t="shared" ref="X71:X77" si="112">IF(ISNUMBER(W71),W71*(Y71/W$41+Z71*(1+AA71/W$28^0.3)),0)</f>
        <v>0.24913690802690175</v>
      </c>
      <c r="Y71" s="202">
        <v>800</v>
      </c>
      <c r="Z71" s="202">
        <v>7.0999999999999994E-2</v>
      </c>
      <c r="AA71" s="202">
        <v>4.2</v>
      </c>
      <c r="AB71" s="202" t="s">
        <v>434</v>
      </c>
      <c r="AC71" s="202">
        <v>1</v>
      </c>
      <c r="AD71" s="205">
        <f t="shared" ref="AD71:AD77" si="113">IF(ISNUMBER(AC71),AC71*(AE71/AC$41+AF71*(1+AG71/AC$28^0.3)),0)</f>
        <v>0.27034822556385613</v>
      </c>
      <c r="AE71" s="202">
        <v>800</v>
      </c>
      <c r="AF71" s="202">
        <v>7.0999999999999994E-2</v>
      </c>
      <c r="AG71" s="202">
        <v>4.2</v>
      </c>
      <c r="AH71" s="202" t="s">
        <v>434</v>
      </c>
      <c r="AI71" s="202">
        <v>1</v>
      </c>
      <c r="AJ71" s="205">
        <f t="shared" ref="AJ71:AJ77" si="114">IF(ISNUMBER(AI71),AI71*(AK71/AI$41+AL71*(1+AM71/AI$28^0.3)),0)</f>
        <v>0.27034822556385613</v>
      </c>
      <c r="AK71" s="202">
        <v>800</v>
      </c>
      <c r="AL71" s="202">
        <v>7.0999999999999994E-2</v>
      </c>
      <c r="AM71" s="202">
        <v>4.2</v>
      </c>
      <c r="AN71" s="202" t="s">
        <v>434</v>
      </c>
      <c r="AO71" s="202">
        <v>1</v>
      </c>
      <c r="AP71" s="205">
        <f t="shared" ref="AP71:AP77" si="115">IF(ISNUMBER(AO71),AO71*(AQ71/AO$41+AR71*(1+AS71/AO$28^0.3)),0)</f>
        <v>0.27034822556385613</v>
      </c>
      <c r="AQ71" s="202">
        <v>800</v>
      </c>
      <c r="AR71" s="202">
        <v>7.0999999999999994E-2</v>
      </c>
      <c r="AS71" s="202">
        <v>4.2</v>
      </c>
      <c r="AT71" s="202" t="s">
        <v>434</v>
      </c>
      <c r="AU71" s="202">
        <v>1</v>
      </c>
      <c r="AV71" s="205">
        <f t="shared" ref="AV71:AV77" si="116">IF(ISNUMBER(AU71),AU71*(AW71/AU$41+AX71*(1+AY71/AU$28^0.3)),0)</f>
        <v>0.27034897912949218</v>
      </c>
      <c r="AW71" s="202">
        <v>800</v>
      </c>
      <c r="AX71" s="202">
        <v>7.0999999999999994E-2</v>
      </c>
      <c r="AY71" s="202">
        <v>4.2</v>
      </c>
      <c r="AZ71" s="202" t="s">
        <v>434</v>
      </c>
      <c r="BA71" s="202">
        <v>1</v>
      </c>
      <c r="BB71" s="205">
        <f t="shared" ref="BB71:BB77" si="117">IF(ISNUMBER(BA71),BA71*(BC71/BA$41+BD71*(1+BE71/BA$28^0.3)),0)</f>
        <v>0.27034897912949218</v>
      </c>
      <c r="BC71" s="202">
        <v>800</v>
      </c>
      <c r="BD71" s="202">
        <v>7.0999999999999994E-2</v>
      </c>
      <c r="BE71" s="202">
        <v>4.2</v>
      </c>
      <c r="BF71" s="202" t="s">
        <v>434</v>
      </c>
      <c r="BG71" s="202">
        <v>1</v>
      </c>
      <c r="BH71" s="205">
        <f t="shared" ref="BH71:BH77" si="118">IF(ISNUMBER(BG71),BG71*(BI71/BG$41+BJ71*(1+BK71/BG$28^0.3)),0)</f>
        <v>0.27034897912949218</v>
      </c>
      <c r="BI71" s="202">
        <v>800</v>
      </c>
      <c r="BJ71" s="202">
        <v>7.0999999999999994E-2</v>
      </c>
      <c r="BK71" s="202">
        <v>4.2</v>
      </c>
      <c r="BL71" s="202" t="s">
        <v>434</v>
      </c>
      <c r="BM71" s="202">
        <v>1</v>
      </c>
      <c r="BN71" s="205">
        <f t="shared" ref="BN71:BN77" si="119">IF(ISNUMBER(BM71),BM71*(BO71/BM$41+BP71*(1+BQ71/BM$28^0.3)),0)</f>
        <v>0.24577952482640458</v>
      </c>
      <c r="BO71" s="202">
        <v>800</v>
      </c>
      <c r="BP71" s="202">
        <v>7.0999999999999994E-2</v>
      </c>
      <c r="BQ71" s="202">
        <v>4.2</v>
      </c>
      <c r="BR71" s="202" t="s">
        <v>434</v>
      </c>
      <c r="BS71" s="202">
        <v>1</v>
      </c>
      <c r="BT71" s="205">
        <f t="shared" ref="BT71:BT77" si="120">IF(ISNUMBER(BS71),BS71*(BU71/BS$41+BV71*(1+BW71/BS$28^0.3)),0)</f>
        <v>0.24217598218783828</v>
      </c>
      <c r="BU71" s="202">
        <v>800</v>
      </c>
      <c r="BV71" s="202">
        <v>7.0999999999999994E-2</v>
      </c>
      <c r="BW71" s="202">
        <v>4.2</v>
      </c>
      <c r="BX71" s="202" t="s">
        <v>434</v>
      </c>
      <c r="BY71" s="202">
        <v>1</v>
      </c>
      <c r="BZ71" s="205">
        <f t="shared" ref="BZ71:BZ77" si="121">IF(ISNUMBER(BY71),BY71*(CA71/BY$41+CB71*(1+CC71/BY$28^0.3)),0)</f>
        <v>0.27347650372587434</v>
      </c>
      <c r="CA71" s="202">
        <v>800</v>
      </c>
      <c r="CB71" s="202">
        <v>7.0999999999999994E-2</v>
      </c>
      <c r="CC71" s="202">
        <v>4.2</v>
      </c>
      <c r="CD71" s="202" t="s">
        <v>434</v>
      </c>
      <c r="CE71" s="202">
        <v>1</v>
      </c>
      <c r="CF71" s="205">
        <f t="shared" ref="CF71:CF77" si="122">IF(ISNUMBER(CE71),CE71*(CG71/CE$41+CH71*(1+CI71/CE$28^0.3)),0)</f>
        <v>0.27347650372587434</v>
      </c>
      <c r="CG71" s="202">
        <v>800</v>
      </c>
      <c r="CH71" s="202">
        <v>7.0999999999999994E-2</v>
      </c>
      <c r="CI71" s="202">
        <v>4.2</v>
      </c>
      <c r="CJ71" s="202" t="s">
        <v>434</v>
      </c>
      <c r="CK71" s="202">
        <v>1</v>
      </c>
      <c r="CL71" s="205">
        <f t="shared" ref="CL71:CL77" si="123">IF(ISNUMBER(CK71),CK71*(CM71/CK$41+CN71*(1+CO71/CK$28^0.3)),0)</f>
        <v>0.29489329479365878</v>
      </c>
      <c r="CM71" s="202">
        <v>800</v>
      </c>
      <c r="CN71" s="202">
        <v>7.0999999999999994E-2</v>
      </c>
      <c r="CO71" s="202">
        <v>4.2</v>
      </c>
      <c r="CP71" s="202" t="s">
        <v>434</v>
      </c>
      <c r="CQ71" s="202">
        <v>1</v>
      </c>
      <c r="CR71" s="205">
        <f t="shared" ref="CR71:CR77" si="124">IF(ISNUMBER(CQ71),CQ71*(CS71/CQ$41+CT71*(1+CU71/CQ$28^0.3)),0)</f>
        <v>0.29489329479365878</v>
      </c>
      <c r="CS71" s="202">
        <v>800</v>
      </c>
      <c r="CT71" s="202">
        <v>7.0999999999999994E-2</v>
      </c>
      <c r="CU71" s="202">
        <v>4.2</v>
      </c>
      <c r="CV71" s="202" t="s">
        <v>434</v>
      </c>
      <c r="CW71" s="202">
        <v>0</v>
      </c>
      <c r="CX71" s="205">
        <f>IF(ISNUMBER(CW71),CW71*(CY71/CW$41+CZ71*(1+DA71/CW$28^0.3)),0)</f>
        <v>0</v>
      </c>
      <c r="CY71" s="202">
        <v>800</v>
      </c>
      <c r="CZ71" s="202">
        <v>0.14000000000000001</v>
      </c>
      <c r="DA71" s="202">
        <v>4</v>
      </c>
      <c r="DB71" s="202" t="s">
        <v>434</v>
      </c>
      <c r="DC71" s="202">
        <v>1</v>
      </c>
      <c r="DD71" s="205">
        <f t="shared" ref="DD71:DD77" si="125">IF(ISNUMBER(DC71),DC71*(DE71/DC$41+DF71*(1+DG71/DC$28^0.3)),0)</f>
        <v>0.29489329479365878</v>
      </c>
      <c r="DE71" s="202">
        <v>800</v>
      </c>
      <c r="DF71" s="202">
        <v>7.0999999999999994E-2</v>
      </c>
      <c r="DG71" s="202">
        <v>4.2</v>
      </c>
      <c r="DH71" s="202" t="s">
        <v>434</v>
      </c>
      <c r="DI71" s="202">
        <v>1</v>
      </c>
      <c r="DJ71" s="205">
        <f t="shared" ref="DJ71:DJ77" si="126">IF(ISNUMBER(DI71),DI71*(DK71/DI$41+DL71*(1+DM71/DI$28^0.3)),0)</f>
        <v>0.29489329479365883</v>
      </c>
      <c r="DK71" s="202">
        <v>800</v>
      </c>
      <c r="DL71" s="202">
        <v>7.0999999999999994E-2</v>
      </c>
      <c r="DM71" s="202">
        <v>4.2</v>
      </c>
      <c r="DN71" s="202" t="s">
        <v>434</v>
      </c>
    </row>
    <row r="72" spans="2:118" x14ac:dyDescent="0.35">
      <c r="B72" s="201" t="s">
        <v>436</v>
      </c>
      <c r="C72" s="13"/>
      <c r="D72" s="13"/>
      <c r="E72" s="202">
        <v>4</v>
      </c>
      <c r="F72" s="205">
        <f t="shared" si="109"/>
        <v>1.2434226584413639</v>
      </c>
      <c r="G72" s="202">
        <v>800</v>
      </c>
      <c r="H72" s="202">
        <v>9.0999999999999998E-2</v>
      </c>
      <c r="I72" s="202">
        <v>4</v>
      </c>
      <c r="J72" s="202" t="s">
        <v>434</v>
      </c>
      <c r="K72" s="324">
        <v>0</v>
      </c>
      <c r="L72" s="205">
        <f t="shared" si="110"/>
        <v>0</v>
      </c>
      <c r="M72" s="202">
        <v>800</v>
      </c>
      <c r="N72" s="202">
        <v>9.0999999999999998E-2</v>
      </c>
      <c r="O72" s="202">
        <v>4</v>
      </c>
      <c r="P72" s="202" t="s">
        <v>434</v>
      </c>
      <c r="Q72" s="202">
        <v>0</v>
      </c>
      <c r="R72" s="205">
        <f t="shared" si="111"/>
        <v>0</v>
      </c>
      <c r="S72" s="202">
        <v>800</v>
      </c>
      <c r="T72" s="202">
        <v>9.0999999999999998E-2</v>
      </c>
      <c r="U72" s="202">
        <v>4</v>
      </c>
      <c r="V72" s="202" t="s">
        <v>434</v>
      </c>
      <c r="W72" s="202">
        <v>0</v>
      </c>
      <c r="X72" s="205">
        <f t="shared" si="112"/>
        <v>0</v>
      </c>
      <c r="Y72" s="202">
        <v>800</v>
      </c>
      <c r="Z72" s="202">
        <v>9.0999999999999998E-2</v>
      </c>
      <c r="AA72" s="202">
        <v>4</v>
      </c>
      <c r="AB72" s="202" t="s">
        <v>434</v>
      </c>
      <c r="AC72" s="202">
        <v>0</v>
      </c>
      <c r="AD72" s="205">
        <f t="shared" si="113"/>
        <v>0</v>
      </c>
      <c r="AE72" s="202">
        <v>800</v>
      </c>
      <c r="AF72" s="202">
        <v>9.0999999999999998E-2</v>
      </c>
      <c r="AG72" s="202">
        <v>4</v>
      </c>
      <c r="AH72" s="202" t="s">
        <v>434</v>
      </c>
      <c r="AI72" s="202">
        <v>0</v>
      </c>
      <c r="AJ72" s="205">
        <f t="shared" si="114"/>
        <v>0</v>
      </c>
      <c r="AK72" s="202">
        <v>800</v>
      </c>
      <c r="AL72" s="202">
        <v>9.0999999999999998E-2</v>
      </c>
      <c r="AM72" s="202">
        <v>4</v>
      </c>
      <c r="AN72" s="202" t="s">
        <v>434</v>
      </c>
      <c r="AO72" s="202">
        <v>0</v>
      </c>
      <c r="AP72" s="205">
        <f t="shared" si="115"/>
        <v>0</v>
      </c>
      <c r="AQ72" s="202">
        <v>800</v>
      </c>
      <c r="AR72" s="202">
        <v>9.0999999999999998E-2</v>
      </c>
      <c r="AS72" s="202">
        <v>4</v>
      </c>
      <c r="AT72" s="202" t="s">
        <v>434</v>
      </c>
      <c r="AU72" s="202">
        <v>0</v>
      </c>
      <c r="AV72" s="205">
        <f t="shared" si="116"/>
        <v>0</v>
      </c>
      <c r="AW72" s="202">
        <v>800</v>
      </c>
      <c r="AX72" s="202">
        <v>9.0999999999999998E-2</v>
      </c>
      <c r="AY72" s="202">
        <v>4</v>
      </c>
      <c r="AZ72" s="202" t="s">
        <v>434</v>
      </c>
      <c r="BA72" s="202">
        <v>0</v>
      </c>
      <c r="BB72" s="205">
        <f t="shared" si="117"/>
        <v>0</v>
      </c>
      <c r="BC72" s="202">
        <v>800</v>
      </c>
      <c r="BD72" s="202">
        <v>9.0999999999999998E-2</v>
      </c>
      <c r="BE72" s="202">
        <v>4</v>
      </c>
      <c r="BF72" s="202" t="s">
        <v>434</v>
      </c>
      <c r="BG72" s="202">
        <v>0</v>
      </c>
      <c r="BH72" s="205">
        <f t="shared" si="118"/>
        <v>0</v>
      </c>
      <c r="BI72" s="202">
        <v>800</v>
      </c>
      <c r="BJ72" s="202">
        <v>9.0999999999999998E-2</v>
      </c>
      <c r="BK72" s="202">
        <v>4</v>
      </c>
      <c r="BL72" s="202" t="s">
        <v>434</v>
      </c>
      <c r="BM72" s="202">
        <v>0</v>
      </c>
      <c r="BN72" s="205">
        <f t="shared" si="119"/>
        <v>0</v>
      </c>
      <c r="BO72" s="202">
        <v>800</v>
      </c>
      <c r="BP72" s="202">
        <v>9.0999999999999998E-2</v>
      </c>
      <c r="BQ72" s="202">
        <v>4</v>
      </c>
      <c r="BR72" s="202" t="s">
        <v>434</v>
      </c>
      <c r="BS72" s="202">
        <v>0</v>
      </c>
      <c r="BT72" s="205">
        <f t="shared" si="120"/>
        <v>0</v>
      </c>
      <c r="BU72" s="202">
        <v>800</v>
      </c>
      <c r="BV72" s="202">
        <v>9.0999999999999998E-2</v>
      </c>
      <c r="BW72" s="202">
        <v>4</v>
      </c>
      <c r="BX72" s="202" t="s">
        <v>434</v>
      </c>
      <c r="BY72" s="202">
        <v>0</v>
      </c>
      <c r="BZ72" s="205">
        <f t="shared" si="121"/>
        <v>0</v>
      </c>
      <c r="CA72" s="202">
        <v>800</v>
      </c>
      <c r="CB72" s="202">
        <v>9.0999999999999998E-2</v>
      </c>
      <c r="CC72" s="202">
        <v>4</v>
      </c>
      <c r="CD72" s="202" t="s">
        <v>434</v>
      </c>
      <c r="CE72" s="202">
        <v>0</v>
      </c>
      <c r="CF72" s="205">
        <f t="shared" si="122"/>
        <v>0</v>
      </c>
      <c r="CG72" s="202">
        <v>800</v>
      </c>
      <c r="CH72" s="202">
        <v>9.0999999999999998E-2</v>
      </c>
      <c r="CI72" s="202">
        <v>4</v>
      </c>
      <c r="CJ72" s="202" t="s">
        <v>434</v>
      </c>
      <c r="CK72" s="202">
        <v>0</v>
      </c>
      <c r="CL72" s="205">
        <f t="shared" si="123"/>
        <v>0</v>
      </c>
      <c r="CM72" s="202">
        <v>800</v>
      </c>
      <c r="CN72" s="202">
        <v>9.0999999999999998E-2</v>
      </c>
      <c r="CO72" s="202">
        <v>4</v>
      </c>
      <c r="CP72" s="202" t="s">
        <v>434</v>
      </c>
      <c r="CQ72" s="202">
        <v>0</v>
      </c>
      <c r="CR72" s="205">
        <f t="shared" si="124"/>
        <v>0</v>
      </c>
      <c r="CS72" s="202">
        <v>800</v>
      </c>
      <c r="CT72" s="202">
        <v>9.0999999999999998E-2</v>
      </c>
      <c r="CU72" s="202">
        <v>4</v>
      </c>
      <c r="CV72" s="202" t="s">
        <v>434</v>
      </c>
      <c r="CW72" s="202">
        <v>1</v>
      </c>
      <c r="CX72" s="205">
        <f t="shared" ref="CX72:CX78" si="127">IF(ISNUMBER(CW72),CW72*(CY72/CW$41+CZ72*(1+DA72/CW$28^0.3)),0)</f>
        <v>0.29489329479365878</v>
      </c>
      <c r="CY72" s="202">
        <v>800</v>
      </c>
      <c r="CZ72" s="202">
        <v>7.0999999999999994E-2</v>
      </c>
      <c r="DA72" s="202">
        <v>4.2</v>
      </c>
      <c r="DB72" s="202" t="s">
        <v>434</v>
      </c>
      <c r="DC72" s="202">
        <v>0</v>
      </c>
      <c r="DD72" s="205">
        <f t="shared" si="125"/>
        <v>0</v>
      </c>
      <c r="DE72" s="202">
        <v>800</v>
      </c>
      <c r="DF72" s="202">
        <v>9.0999999999999998E-2</v>
      </c>
      <c r="DG72" s="202">
        <v>4</v>
      </c>
      <c r="DH72" s="202" t="s">
        <v>434</v>
      </c>
      <c r="DI72" s="202">
        <v>0</v>
      </c>
      <c r="DJ72" s="205">
        <f t="shared" si="126"/>
        <v>0</v>
      </c>
      <c r="DK72" s="202">
        <v>800</v>
      </c>
      <c r="DL72" s="202">
        <v>9.0999999999999998E-2</v>
      </c>
      <c r="DM72" s="202">
        <v>4</v>
      </c>
      <c r="DN72" s="202" t="s">
        <v>434</v>
      </c>
    </row>
    <row r="73" spans="2:118" x14ac:dyDescent="0.35">
      <c r="B73" s="201" t="s">
        <v>437</v>
      </c>
      <c r="C73" s="13"/>
      <c r="D73" s="13"/>
      <c r="E73" s="202">
        <v>0</v>
      </c>
      <c r="F73" s="205">
        <f t="shared" si="109"/>
        <v>0</v>
      </c>
      <c r="G73" s="202">
        <v>800</v>
      </c>
      <c r="H73" s="202">
        <v>5.6000000000000001E-2</v>
      </c>
      <c r="I73" s="202">
        <v>3.9</v>
      </c>
      <c r="J73" s="202" t="s">
        <v>434</v>
      </c>
      <c r="K73" s="324">
        <v>0</v>
      </c>
      <c r="L73" s="205">
        <f t="shared" si="110"/>
        <v>0</v>
      </c>
      <c r="M73" s="202">
        <v>800</v>
      </c>
      <c r="N73" s="202">
        <v>5.6000000000000001E-2</v>
      </c>
      <c r="O73" s="202">
        <v>3.9</v>
      </c>
      <c r="P73" s="202" t="s">
        <v>434</v>
      </c>
      <c r="Q73" s="202">
        <v>0</v>
      </c>
      <c r="R73" s="205">
        <f t="shared" si="111"/>
        <v>0</v>
      </c>
      <c r="S73" s="202">
        <v>800</v>
      </c>
      <c r="T73" s="202">
        <v>5.6000000000000001E-2</v>
      </c>
      <c r="U73" s="202">
        <v>3.9</v>
      </c>
      <c r="V73" s="202" t="s">
        <v>434</v>
      </c>
      <c r="W73" s="202">
        <v>0</v>
      </c>
      <c r="X73" s="205">
        <f t="shared" si="112"/>
        <v>0</v>
      </c>
      <c r="Y73" s="202">
        <v>800</v>
      </c>
      <c r="Z73" s="202">
        <v>5.6000000000000001E-2</v>
      </c>
      <c r="AA73" s="202">
        <v>3.9</v>
      </c>
      <c r="AB73" s="202" t="s">
        <v>434</v>
      </c>
      <c r="AC73" s="202">
        <v>0</v>
      </c>
      <c r="AD73" s="205">
        <f t="shared" si="113"/>
        <v>0</v>
      </c>
      <c r="AE73" s="202">
        <v>800</v>
      </c>
      <c r="AF73" s="202">
        <v>5.6000000000000001E-2</v>
      </c>
      <c r="AG73" s="202">
        <v>3.9</v>
      </c>
      <c r="AH73" s="202" t="s">
        <v>434</v>
      </c>
      <c r="AI73" s="202">
        <v>0</v>
      </c>
      <c r="AJ73" s="205">
        <f t="shared" si="114"/>
        <v>0</v>
      </c>
      <c r="AK73" s="202">
        <v>800</v>
      </c>
      <c r="AL73" s="202">
        <v>5.6000000000000001E-2</v>
      </c>
      <c r="AM73" s="202">
        <v>3.9</v>
      </c>
      <c r="AN73" s="202" t="s">
        <v>434</v>
      </c>
      <c r="AO73" s="202">
        <v>0</v>
      </c>
      <c r="AP73" s="205">
        <f t="shared" si="115"/>
        <v>0</v>
      </c>
      <c r="AQ73" s="202">
        <v>800</v>
      </c>
      <c r="AR73" s="202">
        <v>5.6000000000000001E-2</v>
      </c>
      <c r="AS73" s="202">
        <v>3.9</v>
      </c>
      <c r="AT73" s="202" t="s">
        <v>434</v>
      </c>
      <c r="AU73" s="202">
        <v>0</v>
      </c>
      <c r="AV73" s="205">
        <f t="shared" si="116"/>
        <v>0</v>
      </c>
      <c r="AW73" s="202">
        <v>800</v>
      </c>
      <c r="AX73" s="202">
        <v>5.6000000000000001E-2</v>
      </c>
      <c r="AY73" s="202">
        <v>3.9</v>
      </c>
      <c r="AZ73" s="202" t="s">
        <v>434</v>
      </c>
      <c r="BA73" s="202">
        <v>0</v>
      </c>
      <c r="BB73" s="205">
        <f t="shared" si="117"/>
        <v>0</v>
      </c>
      <c r="BC73" s="202">
        <v>800</v>
      </c>
      <c r="BD73" s="202">
        <v>5.6000000000000001E-2</v>
      </c>
      <c r="BE73" s="202">
        <v>3.9</v>
      </c>
      <c r="BF73" s="202" t="s">
        <v>434</v>
      </c>
      <c r="BG73" s="202">
        <v>0</v>
      </c>
      <c r="BH73" s="205">
        <f t="shared" si="118"/>
        <v>0</v>
      </c>
      <c r="BI73" s="202">
        <v>800</v>
      </c>
      <c r="BJ73" s="202">
        <v>5.6000000000000001E-2</v>
      </c>
      <c r="BK73" s="202">
        <v>3.9</v>
      </c>
      <c r="BL73" s="202" t="s">
        <v>434</v>
      </c>
      <c r="BM73" s="202">
        <v>0</v>
      </c>
      <c r="BN73" s="205">
        <f t="shared" si="119"/>
        <v>0</v>
      </c>
      <c r="BO73" s="202">
        <v>800</v>
      </c>
      <c r="BP73" s="202">
        <v>5.6000000000000001E-2</v>
      </c>
      <c r="BQ73" s="202">
        <v>3.9</v>
      </c>
      <c r="BR73" s="202" t="s">
        <v>434</v>
      </c>
      <c r="BS73" s="202">
        <v>0</v>
      </c>
      <c r="BT73" s="205">
        <f t="shared" si="120"/>
        <v>0</v>
      </c>
      <c r="BU73" s="202">
        <v>800</v>
      </c>
      <c r="BV73" s="202">
        <v>5.6000000000000001E-2</v>
      </c>
      <c r="BW73" s="202">
        <v>3.9</v>
      </c>
      <c r="BX73" s="202" t="s">
        <v>434</v>
      </c>
      <c r="BY73" s="202">
        <v>0</v>
      </c>
      <c r="BZ73" s="205">
        <f t="shared" si="121"/>
        <v>0</v>
      </c>
      <c r="CA73" s="202">
        <v>800</v>
      </c>
      <c r="CB73" s="202">
        <v>5.6000000000000001E-2</v>
      </c>
      <c r="CC73" s="202">
        <v>3.9</v>
      </c>
      <c r="CD73" s="202" t="s">
        <v>434</v>
      </c>
      <c r="CE73" s="202">
        <v>0</v>
      </c>
      <c r="CF73" s="205">
        <f t="shared" si="122"/>
        <v>0</v>
      </c>
      <c r="CG73" s="202">
        <v>800</v>
      </c>
      <c r="CH73" s="202">
        <v>5.6000000000000001E-2</v>
      </c>
      <c r="CI73" s="202">
        <v>3.9</v>
      </c>
      <c r="CJ73" s="202" t="s">
        <v>434</v>
      </c>
      <c r="CK73" s="202">
        <v>0</v>
      </c>
      <c r="CL73" s="205">
        <f t="shared" si="123"/>
        <v>0</v>
      </c>
      <c r="CM73" s="202">
        <v>800</v>
      </c>
      <c r="CN73" s="202">
        <v>5.6000000000000001E-2</v>
      </c>
      <c r="CO73" s="202">
        <v>3.9</v>
      </c>
      <c r="CP73" s="202" t="s">
        <v>434</v>
      </c>
      <c r="CQ73" s="202">
        <v>0</v>
      </c>
      <c r="CR73" s="205">
        <f t="shared" si="124"/>
        <v>0</v>
      </c>
      <c r="CS73" s="202">
        <v>800</v>
      </c>
      <c r="CT73" s="202">
        <v>5.6000000000000001E-2</v>
      </c>
      <c r="CU73" s="202">
        <v>3.9</v>
      </c>
      <c r="CV73" s="202" t="s">
        <v>434</v>
      </c>
      <c r="CW73" s="202">
        <v>0</v>
      </c>
      <c r="CX73" s="205">
        <f t="shared" si="127"/>
        <v>0</v>
      </c>
      <c r="CY73" s="202">
        <v>800</v>
      </c>
      <c r="CZ73" s="202">
        <v>9.0999999999999998E-2</v>
      </c>
      <c r="DA73" s="202">
        <v>4</v>
      </c>
      <c r="DB73" s="202" t="s">
        <v>434</v>
      </c>
      <c r="DC73" s="202">
        <v>0</v>
      </c>
      <c r="DD73" s="205">
        <f t="shared" si="125"/>
        <v>0</v>
      </c>
      <c r="DE73" s="202">
        <v>800</v>
      </c>
      <c r="DF73" s="202">
        <v>5.6000000000000001E-2</v>
      </c>
      <c r="DG73" s="202">
        <v>3.9</v>
      </c>
      <c r="DH73" s="202" t="s">
        <v>434</v>
      </c>
      <c r="DI73" s="202">
        <v>0</v>
      </c>
      <c r="DJ73" s="205">
        <f t="shared" si="126"/>
        <v>0</v>
      </c>
      <c r="DK73" s="202">
        <v>800</v>
      </c>
      <c r="DL73" s="202">
        <v>5.6000000000000001E-2</v>
      </c>
      <c r="DM73" s="202">
        <v>3.9</v>
      </c>
      <c r="DN73" s="202" t="s">
        <v>434</v>
      </c>
    </row>
    <row r="74" spans="2:118" x14ac:dyDescent="0.35">
      <c r="B74" s="201" t="s">
        <v>438</v>
      </c>
      <c r="C74" s="13"/>
      <c r="D74" s="13"/>
      <c r="E74" s="202">
        <v>0</v>
      </c>
      <c r="F74" s="205">
        <f t="shared" si="109"/>
        <v>0</v>
      </c>
      <c r="G74" s="202">
        <v>800</v>
      </c>
      <c r="H74" s="202">
        <v>6.6000000000000003E-2</v>
      </c>
      <c r="I74" s="202">
        <v>3.9</v>
      </c>
      <c r="J74" s="202" t="s">
        <v>434</v>
      </c>
      <c r="K74" s="324">
        <v>0</v>
      </c>
      <c r="L74" s="205">
        <f t="shared" si="110"/>
        <v>0</v>
      </c>
      <c r="M74" s="202">
        <v>800</v>
      </c>
      <c r="N74" s="202">
        <v>6.6000000000000003E-2</v>
      </c>
      <c r="O74" s="202">
        <v>3.9</v>
      </c>
      <c r="P74" s="202" t="s">
        <v>434</v>
      </c>
      <c r="Q74" s="202">
        <v>0</v>
      </c>
      <c r="R74" s="205">
        <f t="shared" si="111"/>
        <v>0</v>
      </c>
      <c r="S74" s="202">
        <v>800</v>
      </c>
      <c r="T74" s="202">
        <v>6.6000000000000003E-2</v>
      </c>
      <c r="U74" s="202">
        <v>3.9</v>
      </c>
      <c r="V74" s="202" t="s">
        <v>434</v>
      </c>
      <c r="W74" s="202">
        <v>0</v>
      </c>
      <c r="X74" s="205">
        <f t="shared" si="112"/>
        <v>0</v>
      </c>
      <c r="Y74" s="202">
        <v>800</v>
      </c>
      <c r="Z74" s="202">
        <v>6.6000000000000003E-2</v>
      </c>
      <c r="AA74" s="202">
        <v>3.9</v>
      </c>
      <c r="AB74" s="202" t="s">
        <v>434</v>
      </c>
      <c r="AC74" s="202">
        <v>0</v>
      </c>
      <c r="AD74" s="205">
        <f t="shared" si="113"/>
        <v>0</v>
      </c>
      <c r="AE74" s="202">
        <v>800</v>
      </c>
      <c r="AF74" s="202">
        <v>6.6000000000000003E-2</v>
      </c>
      <c r="AG74" s="202">
        <v>3.9</v>
      </c>
      <c r="AH74" s="202" t="s">
        <v>434</v>
      </c>
      <c r="AI74" s="202">
        <v>0</v>
      </c>
      <c r="AJ74" s="205">
        <f t="shared" si="114"/>
        <v>0</v>
      </c>
      <c r="AK74" s="202">
        <v>800</v>
      </c>
      <c r="AL74" s="202">
        <v>6.6000000000000003E-2</v>
      </c>
      <c r="AM74" s="202">
        <v>3.9</v>
      </c>
      <c r="AN74" s="202" t="s">
        <v>434</v>
      </c>
      <c r="AO74" s="202">
        <v>0</v>
      </c>
      <c r="AP74" s="205">
        <f t="shared" si="115"/>
        <v>0</v>
      </c>
      <c r="AQ74" s="202">
        <v>800</v>
      </c>
      <c r="AR74" s="202">
        <v>6.6000000000000003E-2</v>
      </c>
      <c r="AS74" s="202">
        <v>3.9</v>
      </c>
      <c r="AT74" s="202" t="s">
        <v>434</v>
      </c>
      <c r="AU74" s="202">
        <v>0</v>
      </c>
      <c r="AV74" s="205">
        <f t="shared" si="116"/>
        <v>0</v>
      </c>
      <c r="AW74" s="202">
        <v>800</v>
      </c>
      <c r="AX74" s="202">
        <v>6.6000000000000003E-2</v>
      </c>
      <c r="AY74" s="202">
        <v>3.9</v>
      </c>
      <c r="AZ74" s="202" t="s">
        <v>434</v>
      </c>
      <c r="BA74" s="202">
        <v>0</v>
      </c>
      <c r="BB74" s="205">
        <f t="shared" si="117"/>
        <v>0</v>
      </c>
      <c r="BC74" s="202">
        <v>800</v>
      </c>
      <c r="BD74" s="202">
        <v>6.6000000000000003E-2</v>
      </c>
      <c r="BE74" s="202">
        <v>3.9</v>
      </c>
      <c r="BF74" s="202" t="s">
        <v>434</v>
      </c>
      <c r="BG74" s="202">
        <v>0</v>
      </c>
      <c r="BH74" s="205">
        <f t="shared" si="118"/>
        <v>0</v>
      </c>
      <c r="BI74" s="202">
        <v>800</v>
      </c>
      <c r="BJ74" s="202">
        <v>6.6000000000000003E-2</v>
      </c>
      <c r="BK74" s="202">
        <v>3.9</v>
      </c>
      <c r="BL74" s="202" t="s">
        <v>434</v>
      </c>
      <c r="BM74" s="202">
        <v>0</v>
      </c>
      <c r="BN74" s="205">
        <f t="shared" si="119"/>
        <v>0</v>
      </c>
      <c r="BO74" s="202">
        <v>800</v>
      </c>
      <c r="BP74" s="202">
        <v>6.6000000000000003E-2</v>
      </c>
      <c r="BQ74" s="202">
        <v>3.9</v>
      </c>
      <c r="BR74" s="202" t="s">
        <v>434</v>
      </c>
      <c r="BS74" s="202">
        <v>0</v>
      </c>
      <c r="BT74" s="205">
        <f t="shared" si="120"/>
        <v>0</v>
      </c>
      <c r="BU74" s="202">
        <v>800</v>
      </c>
      <c r="BV74" s="202">
        <v>6.6000000000000003E-2</v>
      </c>
      <c r="BW74" s="202">
        <v>3.9</v>
      </c>
      <c r="BX74" s="202" t="s">
        <v>434</v>
      </c>
      <c r="BY74" s="202">
        <v>0</v>
      </c>
      <c r="BZ74" s="205">
        <f t="shared" si="121"/>
        <v>0</v>
      </c>
      <c r="CA74" s="202">
        <v>800</v>
      </c>
      <c r="CB74" s="202">
        <v>6.6000000000000003E-2</v>
      </c>
      <c r="CC74" s="202">
        <v>3.9</v>
      </c>
      <c r="CD74" s="202" t="s">
        <v>434</v>
      </c>
      <c r="CE74" s="202">
        <v>0</v>
      </c>
      <c r="CF74" s="205">
        <f t="shared" si="122"/>
        <v>0</v>
      </c>
      <c r="CG74" s="202">
        <v>800</v>
      </c>
      <c r="CH74" s="202">
        <v>6.6000000000000003E-2</v>
      </c>
      <c r="CI74" s="202">
        <v>3.9</v>
      </c>
      <c r="CJ74" s="202" t="s">
        <v>434</v>
      </c>
      <c r="CK74" s="202">
        <v>0</v>
      </c>
      <c r="CL74" s="205">
        <f t="shared" si="123"/>
        <v>0</v>
      </c>
      <c r="CM74" s="202">
        <v>800</v>
      </c>
      <c r="CN74" s="202">
        <v>6.6000000000000003E-2</v>
      </c>
      <c r="CO74" s="202">
        <v>3.9</v>
      </c>
      <c r="CP74" s="202" t="s">
        <v>434</v>
      </c>
      <c r="CQ74" s="202">
        <v>0</v>
      </c>
      <c r="CR74" s="205">
        <f t="shared" si="124"/>
        <v>0</v>
      </c>
      <c r="CS74" s="202">
        <v>800</v>
      </c>
      <c r="CT74" s="202">
        <v>6.6000000000000003E-2</v>
      </c>
      <c r="CU74" s="202">
        <v>3.9</v>
      </c>
      <c r="CV74" s="202" t="s">
        <v>434</v>
      </c>
      <c r="CW74" s="202">
        <v>0</v>
      </c>
      <c r="CX74" s="205">
        <f t="shared" si="127"/>
        <v>0</v>
      </c>
      <c r="CY74" s="202">
        <v>800</v>
      </c>
      <c r="CZ74" s="202">
        <v>5.6000000000000001E-2</v>
      </c>
      <c r="DA74" s="202">
        <v>3.9</v>
      </c>
      <c r="DB74" s="202" t="s">
        <v>434</v>
      </c>
      <c r="DC74" s="202">
        <v>0</v>
      </c>
      <c r="DD74" s="205">
        <f t="shared" si="125"/>
        <v>0</v>
      </c>
      <c r="DE74" s="202">
        <v>800</v>
      </c>
      <c r="DF74" s="202">
        <v>6.6000000000000003E-2</v>
      </c>
      <c r="DG74" s="202">
        <v>3.9</v>
      </c>
      <c r="DH74" s="202" t="s">
        <v>434</v>
      </c>
      <c r="DI74" s="202">
        <v>0</v>
      </c>
      <c r="DJ74" s="205">
        <f t="shared" si="126"/>
        <v>0</v>
      </c>
      <c r="DK74" s="202">
        <v>800</v>
      </c>
      <c r="DL74" s="202">
        <v>6.6000000000000003E-2</v>
      </c>
      <c r="DM74" s="202">
        <v>3.9</v>
      </c>
      <c r="DN74" s="202" t="s">
        <v>434</v>
      </c>
    </row>
    <row r="75" spans="2:118" x14ac:dyDescent="0.35">
      <c r="B75" s="201" t="s">
        <v>439</v>
      </c>
      <c r="C75" s="13"/>
      <c r="D75" s="13"/>
      <c r="E75" s="202">
        <v>0</v>
      </c>
      <c r="F75" s="205">
        <f t="shared" si="109"/>
        <v>0</v>
      </c>
      <c r="G75" s="202">
        <v>800</v>
      </c>
      <c r="H75" s="202">
        <v>7.4999999999999997E-2</v>
      </c>
      <c r="I75" s="202">
        <v>4.2</v>
      </c>
      <c r="J75" s="202" t="s">
        <v>434</v>
      </c>
      <c r="K75" s="324">
        <v>0</v>
      </c>
      <c r="L75" s="205">
        <f t="shared" si="110"/>
        <v>0</v>
      </c>
      <c r="M75" s="202">
        <v>800</v>
      </c>
      <c r="N75" s="202">
        <v>7.4999999999999997E-2</v>
      </c>
      <c r="O75" s="202">
        <v>4.2</v>
      </c>
      <c r="P75" s="202" t="s">
        <v>434</v>
      </c>
      <c r="Q75" s="202">
        <v>0</v>
      </c>
      <c r="R75" s="205">
        <f t="shared" si="111"/>
        <v>0</v>
      </c>
      <c r="S75" s="202">
        <v>800</v>
      </c>
      <c r="T75" s="202">
        <v>7.4999999999999997E-2</v>
      </c>
      <c r="U75" s="202">
        <v>4.2</v>
      </c>
      <c r="V75" s="202" t="s">
        <v>434</v>
      </c>
      <c r="W75" s="202">
        <v>0</v>
      </c>
      <c r="X75" s="205">
        <f t="shared" si="112"/>
        <v>0</v>
      </c>
      <c r="Y75" s="202">
        <v>800</v>
      </c>
      <c r="Z75" s="202">
        <v>7.4999999999999997E-2</v>
      </c>
      <c r="AA75" s="202">
        <v>4.2</v>
      </c>
      <c r="AB75" s="202" t="s">
        <v>434</v>
      </c>
      <c r="AC75" s="202">
        <v>0</v>
      </c>
      <c r="AD75" s="205">
        <f t="shared" si="113"/>
        <v>0</v>
      </c>
      <c r="AE75" s="202">
        <v>800</v>
      </c>
      <c r="AF75" s="202">
        <v>7.4999999999999997E-2</v>
      </c>
      <c r="AG75" s="202">
        <v>4.2</v>
      </c>
      <c r="AH75" s="202" t="s">
        <v>434</v>
      </c>
      <c r="AI75" s="202">
        <v>0</v>
      </c>
      <c r="AJ75" s="205">
        <f t="shared" si="114"/>
        <v>0</v>
      </c>
      <c r="AK75" s="202">
        <v>800</v>
      </c>
      <c r="AL75" s="202">
        <v>7.4999999999999997E-2</v>
      </c>
      <c r="AM75" s="202">
        <v>4.2</v>
      </c>
      <c r="AN75" s="202" t="s">
        <v>434</v>
      </c>
      <c r="AO75" s="202">
        <v>0</v>
      </c>
      <c r="AP75" s="205">
        <f t="shared" si="115"/>
        <v>0</v>
      </c>
      <c r="AQ75" s="202">
        <v>800</v>
      </c>
      <c r="AR75" s="202">
        <v>7.4999999999999997E-2</v>
      </c>
      <c r="AS75" s="202">
        <v>4.2</v>
      </c>
      <c r="AT75" s="202" t="s">
        <v>434</v>
      </c>
      <c r="AU75" s="202">
        <v>0</v>
      </c>
      <c r="AV75" s="205">
        <f t="shared" si="116"/>
        <v>0</v>
      </c>
      <c r="AW75" s="202">
        <v>800</v>
      </c>
      <c r="AX75" s="202">
        <v>7.4999999999999997E-2</v>
      </c>
      <c r="AY75" s="202">
        <v>4.2</v>
      </c>
      <c r="AZ75" s="202" t="s">
        <v>434</v>
      </c>
      <c r="BA75" s="202">
        <v>0</v>
      </c>
      <c r="BB75" s="205">
        <f t="shared" si="117"/>
        <v>0</v>
      </c>
      <c r="BC75" s="202">
        <v>800</v>
      </c>
      <c r="BD75" s="202">
        <v>7.4999999999999997E-2</v>
      </c>
      <c r="BE75" s="202">
        <v>4.2</v>
      </c>
      <c r="BF75" s="202" t="s">
        <v>434</v>
      </c>
      <c r="BG75" s="202">
        <v>0</v>
      </c>
      <c r="BH75" s="205">
        <f t="shared" si="118"/>
        <v>0</v>
      </c>
      <c r="BI75" s="202">
        <v>800</v>
      </c>
      <c r="BJ75" s="202">
        <v>7.4999999999999997E-2</v>
      </c>
      <c r="BK75" s="202">
        <v>4.2</v>
      </c>
      <c r="BL75" s="202" t="s">
        <v>434</v>
      </c>
      <c r="BM75" s="202">
        <v>0</v>
      </c>
      <c r="BN75" s="205">
        <f t="shared" si="119"/>
        <v>0</v>
      </c>
      <c r="BO75" s="202">
        <v>800</v>
      </c>
      <c r="BP75" s="202">
        <v>7.4999999999999997E-2</v>
      </c>
      <c r="BQ75" s="202">
        <v>4.2</v>
      </c>
      <c r="BR75" s="202" t="s">
        <v>434</v>
      </c>
      <c r="BS75" s="202">
        <v>0</v>
      </c>
      <c r="BT75" s="205">
        <f t="shared" si="120"/>
        <v>0</v>
      </c>
      <c r="BU75" s="202">
        <v>800</v>
      </c>
      <c r="BV75" s="202">
        <v>7.4999999999999997E-2</v>
      </c>
      <c r="BW75" s="202">
        <v>4.2</v>
      </c>
      <c r="BX75" s="202" t="s">
        <v>434</v>
      </c>
      <c r="BY75" s="202">
        <v>0</v>
      </c>
      <c r="BZ75" s="205">
        <f t="shared" si="121"/>
        <v>0</v>
      </c>
      <c r="CA75" s="202">
        <v>800</v>
      </c>
      <c r="CB75" s="202">
        <v>7.4999999999999997E-2</v>
      </c>
      <c r="CC75" s="202">
        <v>4.2</v>
      </c>
      <c r="CD75" s="202" t="s">
        <v>434</v>
      </c>
      <c r="CE75" s="202">
        <v>0</v>
      </c>
      <c r="CF75" s="205">
        <f t="shared" si="122"/>
        <v>0</v>
      </c>
      <c r="CG75" s="202">
        <v>800</v>
      </c>
      <c r="CH75" s="202">
        <v>7.4999999999999997E-2</v>
      </c>
      <c r="CI75" s="202">
        <v>4.2</v>
      </c>
      <c r="CJ75" s="202" t="s">
        <v>434</v>
      </c>
      <c r="CK75" s="202">
        <v>0</v>
      </c>
      <c r="CL75" s="205">
        <f t="shared" si="123"/>
        <v>0</v>
      </c>
      <c r="CM75" s="202">
        <v>800</v>
      </c>
      <c r="CN75" s="202">
        <v>7.4999999999999997E-2</v>
      </c>
      <c r="CO75" s="202">
        <v>4.2</v>
      </c>
      <c r="CP75" s="202" t="s">
        <v>434</v>
      </c>
      <c r="CQ75" s="202">
        <v>0</v>
      </c>
      <c r="CR75" s="205">
        <f t="shared" si="124"/>
        <v>0</v>
      </c>
      <c r="CS75" s="202">
        <v>800</v>
      </c>
      <c r="CT75" s="202">
        <v>7.4999999999999997E-2</v>
      </c>
      <c r="CU75" s="202">
        <v>4.2</v>
      </c>
      <c r="CV75" s="202" t="s">
        <v>434</v>
      </c>
      <c r="CW75" s="202">
        <v>0</v>
      </c>
      <c r="CX75" s="205">
        <f t="shared" si="127"/>
        <v>0</v>
      </c>
      <c r="CY75" s="202">
        <v>800</v>
      </c>
      <c r="CZ75" s="202">
        <v>6.6000000000000003E-2</v>
      </c>
      <c r="DA75" s="202">
        <v>3.9</v>
      </c>
      <c r="DB75" s="202" t="s">
        <v>434</v>
      </c>
      <c r="DC75" s="202">
        <v>0</v>
      </c>
      <c r="DD75" s="205">
        <f t="shared" si="125"/>
        <v>0</v>
      </c>
      <c r="DE75" s="202">
        <v>800</v>
      </c>
      <c r="DF75" s="202">
        <v>7.4999999999999997E-2</v>
      </c>
      <c r="DG75" s="202">
        <v>4.2</v>
      </c>
      <c r="DH75" s="202" t="s">
        <v>434</v>
      </c>
      <c r="DI75" s="202">
        <v>0</v>
      </c>
      <c r="DJ75" s="205">
        <f t="shared" si="126"/>
        <v>0</v>
      </c>
      <c r="DK75" s="202">
        <v>800</v>
      </c>
      <c r="DL75" s="202">
        <v>7.4999999999999997E-2</v>
      </c>
      <c r="DM75" s="202">
        <v>4.2</v>
      </c>
      <c r="DN75" s="202" t="s">
        <v>434</v>
      </c>
    </row>
    <row r="76" spans="2:118" x14ac:dyDescent="0.35">
      <c r="B76" s="201" t="s">
        <v>440</v>
      </c>
      <c r="C76" s="13"/>
      <c r="D76" s="13"/>
      <c r="E76" s="202">
        <v>0</v>
      </c>
      <c r="F76" s="205">
        <f t="shared" si="109"/>
        <v>0</v>
      </c>
      <c r="G76" s="202">
        <v>1000</v>
      </c>
      <c r="H76" s="202">
        <v>0.27</v>
      </c>
      <c r="I76" s="202">
        <v>4</v>
      </c>
      <c r="J76" s="202" t="s">
        <v>434</v>
      </c>
      <c r="K76" s="324">
        <v>0</v>
      </c>
      <c r="L76" s="205">
        <f t="shared" si="110"/>
        <v>0</v>
      </c>
      <c r="M76" s="202">
        <v>1000</v>
      </c>
      <c r="N76" s="202">
        <v>0.27</v>
      </c>
      <c r="O76" s="202">
        <v>4</v>
      </c>
      <c r="P76" s="202" t="s">
        <v>434</v>
      </c>
      <c r="Q76" s="202">
        <v>0</v>
      </c>
      <c r="R76" s="205">
        <f t="shared" si="111"/>
        <v>0</v>
      </c>
      <c r="S76" s="202">
        <v>1000</v>
      </c>
      <c r="T76" s="202">
        <v>0.27</v>
      </c>
      <c r="U76" s="202">
        <v>4</v>
      </c>
      <c r="V76" s="202" t="s">
        <v>434</v>
      </c>
      <c r="W76" s="202">
        <v>0</v>
      </c>
      <c r="X76" s="205">
        <f t="shared" si="112"/>
        <v>0</v>
      </c>
      <c r="Y76" s="202">
        <v>1000</v>
      </c>
      <c r="Z76" s="202">
        <v>0.27</v>
      </c>
      <c r="AA76" s="202">
        <v>4</v>
      </c>
      <c r="AB76" s="202" t="s">
        <v>434</v>
      </c>
      <c r="AC76" s="202">
        <v>0</v>
      </c>
      <c r="AD76" s="205">
        <f t="shared" si="113"/>
        <v>0</v>
      </c>
      <c r="AE76" s="202">
        <v>1000</v>
      </c>
      <c r="AF76" s="202">
        <v>0.27</v>
      </c>
      <c r="AG76" s="202">
        <v>4</v>
      </c>
      <c r="AH76" s="202" t="s">
        <v>434</v>
      </c>
      <c r="AI76" s="202">
        <v>0</v>
      </c>
      <c r="AJ76" s="205">
        <f t="shared" si="114"/>
        <v>0</v>
      </c>
      <c r="AK76" s="202">
        <v>1000</v>
      </c>
      <c r="AL76" s="202">
        <v>0.27</v>
      </c>
      <c r="AM76" s="202">
        <v>4</v>
      </c>
      <c r="AN76" s="202" t="s">
        <v>434</v>
      </c>
      <c r="AO76" s="202">
        <v>0</v>
      </c>
      <c r="AP76" s="205">
        <f t="shared" si="115"/>
        <v>0</v>
      </c>
      <c r="AQ76" s="202">
        <v>1000</v>
      </c>
      <c r="AR76" s="202">
        <v>0.27</v>
      </c>
      <c r="AS76" s="202">
        <v>4</v>
      </c>
      <c r="AT76" s="202" t="s">
        <v>434</v>
      </c>
      <c r="AU76" s="202">
        <v>0</v>
      </c>
      <c r="AV76" s="205">
        <f t="shared" si="116"/>
        <v>0</v>
      </c>
      <c r="AW76" s="202">
        <v>1000</v>
      </c>
      <c r="AX76" s="202">
        <v>0.27</v>
      </c>
      <c r="AY76" s="202">
        <v>4</v>
      </c>
      <c r="AZ76" s="202" t="s">
        <v>434</v>
      </c>
      <c r="BA76" s="202">
        <v>0</v>
      </c>
      <c r="BB76" s="205">
        <f t="shared" si="117"/>
        <v>0</v>
      </c>
      <c r="BC76" s="202">
        <v>1000</v>
      </c>
      <c r="BD76" s="202">
        <v>0.27</v>
      </c>
      <c r="BE76" s="202">
        <v>4</v>
      </c>
      <c r="BF76" s="202" t="s">
        <v>434</v>
      </c>
      <c r="BG76" s="202">
        <v>0</v>
      </c>
      <c r="BH76" s="205">
        <f t="shared" si="118"/>
        <v>0</v>
      </c>
      <c r="BI76" s="202">
        <v>1000</v>
      </c>
      <c r="BJ76" s="202">
        <v>0.27</v>
      </c>
      <c r="BK76" s="202">
        <v>4</v>
      </c>
      <c r="BL76" s="202" t="s">
        <v>434</v>
      </c>
      <c r="BM76" s="202">
        <v>0</v>
      </c>
      <c r="BN76" s="205">
        <f t="shared" si="119"/>
        <v>0</v>
      </c>
      <c r="BO76" s="202">
        <v>1000</v>
      </c>
      <c r="BP76" s="202">
        <v>0.27</v>
      </c>
      <c r="BQ76" s="202">
        <v>4</v>
      </c>
      <c r="BR76" s="202" t="s">
        <v>434</v>
      </c>
      <c r="BS76" s="202">
        <v>0</v>
      </c>
      <c r="BT76" s="205">
        <f t="shared" si="120"/>
        <v>0</v>
      </c>
      <c r="BU76" s="202">
        <v>1000</v>
      </c>
      <c r="BV76" s="202">
        <v>0.27</v>
      </c>
      <c r="BW76" s="202">
        <v>4</v>
      </c>
      <c r="BX76" s="202" t="s">
        <v>434</v>
      </c>
      <c r="BY76" s="202">
        <v>0</v>
      </c>
      <c r="BZ76" s="205">
        <f t="shared" si="121"/>
        <v>0</v>
      </c>
      <c r="CA76" s="202">
        <v>1000</v>
      </c>
      <c r="CB76" s="202">
        <v>0.27</v>
      </c>
      <c r="CC76" s="202">
        <v>4</v>
      </c>
      <c r="CD76" s="202" t="s">
        <v>434</v>
      </c>
      <c r="CE76" s="202">
        <v>0</v>
      </c>
      <c r="CF76" s="205">
        <f t="shared" si="122"/>
        <v>0</v>
      </c>
      <c r="CG76" s="202">
        <v>1000</v>
      </c>
      <c r="CH76" s="202">
        <v>0.27</v>
      </c>
      <c r="CI76" s="202">
        <v>4</v>
      </c>
      <c r="CJ76" s="202" t="s">
        <v>434</v>
      </c>
      <c r="CK76" s="202">
        <v>0</v>
      </c>
      <c r="CL76" s="205">
        <f t="shared" si="123"/>
        <v>0</v>
      </c>
      <c r="CM76" s="202">
        <v>1000</v>
      </c>
      <c r="CN76" s="202">
        <v>0.27</v>
      </c>
      <c r="CO76" s="202">
        <v>4</v>
      </c>
      <c r="CP76" s="202" t="s">
        <v>434</v>
      </c>
      <c r="CQ76" s="202">
        <v>0</v>
      </c>
      <c r="CR76" s="205">
        <f t="shared" si="124"/>
        <v>0</v>
      </c>
      <c r="CS76" s="202">
        <v>1000</v>
      </c>
      <c r="CT76" s="202">
        <v>0.27</v>
      </c>
      <c r="CU76" s="202">
        <v>4</v>
      </c>
      <c r="CV76" s="202" t="s">
        <v>434</v>
      </c>
      <c r="CW76" s="202">
        <v>0</v>
      </c>
      <c r="CX76" s="205">
        <f t="shared" si="127"/>
        <v>0</v>
      </c>
      <c r="CY76" s="202">
        <v>800</v>
      </c>
      <c r="CZ76" s="202">
        <v>7.4999999999999997E-2</v>
      </c>
      <c r="DA76" s="202">
        <v>4.2</v>
      </c>
      <c r="DB76" s="202" t="s">
        <v>434</v>
      </c>
      <c r="DC76" s="202">
        <v>0</v>
      </c>
      <c r="DD76" s="205">
        <f t="shared" si="125"/>
        <v>0</v>
      </c>
      <c r="DE76" s="202">
        <v>1000</v>
      </c>
      <c r="DF76" s="202">
        <v>0.27</v>
      </c>
      <c r="DG76" s="202">
        <v>4</v>
      </c>
      <c r="DH76" s="202" t="s">
        <v>434</v>
      </c>
      <c r="DI76" s="202">
        <v>0</v>
      </c>
      <c r="DJ76" s="205">
        <f t="shared" si="126"/>
        <v>0</v>
      </c>
      <c r="DK76" s="202">
        <v>1000</v>
      </c>
      <c r="DL76" s="202">
        <v>0.27</v>
      </c>
      <c r="DM76" s="202">
        <v>4</v>
      </c>
      <c r="DN76" s="202" t="s">
        <v>434</v>
      </c>
    </row>
    <row r="77" spans="2:118" x14ac:dyDescent="0.35">
      <c r="B77" s="201" t="s">
        <v>441</v>
      </c>
      <c r="C77" s="13"/>
      <c r="D77" s="13"/>
      <c r="E77" s="202">
        <v>0</v>
      </c>
      <c r="F77" s="205">
        <f t="shared" si="109"/>
        <v>0</v>
      </c>
      <c r="G77" s="202">
        <v>800</v>
      </c>
      <c r="H77" s="202">
        <v>6.8000000000000005E-2</v>
      </c>
      <c r="I77" s="202">
        <v>4.0999999999999996</v>
      </c>
      <c r="J77" s="202" t="s">
        <v>434</v>
      </c>
      <c r="K77" s="324">
        <v>0</v>
      </c>
      <c r="L77" s="205">
        <f t="shared" si="110"/>
        <v>0</v>
      </c>
      <c r="M77" s="202">
        <v>800</v>
      </c>
      <c r="N77" s="202">
        <v>6.8000000000000005E-2</v>
      </c>
      <c r="O77" s="202">
        <v>4.0999999999999996</v>
      </c>
      <c r="P77" s="202" t="s">
        <v>434</v>
      </c>
      <c r="Q77" s="202">
        <v>0</v>
      </c>
      <c r="R77" s="205">
        <f t="shared" si="111"/>
        <v>0</v>
      </c>
      <c r="S77" s="202">
        <v>800</v>
      </c>
      <c r="T77" s="202">
        <v>6.8000000000000005E-2</v>
      </c>
      <c r="U77" s="202">
        <v>4.0999999999999996</v>
      </c>
      <c r="V77" s="202" t="s">
        <v>434</v>
      </c>
      <c r="W77" s="202">
        <v>0</v>
      </c>
      <c r="X77" s="205">
        <f t="shared" si="112"/>
        <v>0</v>
      </c>
      <c r="Y77" s="202">
        <v>800</v>
      </c>
      <c r="Z77" s="202">
        <v>6.8000000000000005E-2</v>
      </c>
      <c r="AA77" s="202">
        <v>4.0999999999999996</v>
      </c>
      <c r="AB77" s="202" t="s">
        <v>434</v>
      </c>
      <c r="AC77" s="202">
        <v>0</v>
      </c>
      <c r="AD77" s="205">
        <f t="shared" si="113"/>
        <v>0</v>
      </c>
      <c r="AE77" s="202">
        <v>800</v>
      </c>
      <c r="AF77" s="202">
        <v>6.8000000000000005E-2</v>
      </c>
      <c r="AG77" s="202">
        <v>4.0999999999999996</v>
      </c>
      <c r="AH77" s="202" t="s">
        <v>434</v>
      </c>
      <c r="AI77" s="202">
        <v>0</v>
      </c>
      <c r="AJ77" s="205">
        <f t="shared" si="114"/>
        <v>0</v>
      </c>
      <c r="AK77" s="202">
        <v>800</v>
      </c>
      <c r="AL77" s="202">
        <v>6.8000000000000005E-2</v>
      </c>
      <c r="AM77" s="202">
        <v>4.0999999999999996</v>
      </c>
      <c r="AN77" s="202" t="s">
        <v>434</v>
      </c>
      <c r="AO77" s="202">
        <v>0</v>
      </c>
      <c r="AP77" s="205">
        <f t="shared" si="115"/>
        <v>0</v>
      </c>
      <c r="AQ77" s="202">
        <v>800</v>
      </c>
      <c r="AR77" s="202">
        <v>6.8000000000000005E-2</v>
      </c>
      <c r="AS77" s="202">
        <v>4.0999999999999996</v>
      </c>
      <c r="AT77" s="202" t="s">
        <v>434</v>
      </c>
      <c r="AU77" s="202">
        <v>0</v>
      </c>
      <c r="AV77" s="205">
        <f t="shared" si="116"/>
        <v>0</v>
      </c>
      <c r="AW77" s="202">
        <v>800</v>
      </c>
      <c r="AX77" s="202">
        <v>6.8000000000000005E-2</v>
      </c>
      <c r="AY77" s="202">
        <v>4.0999999999999996</v>
      </c>
      <c r="AZ77" s="202" t="s">
        <v>434</v>
      </c>
      <c r="BA77" s="202">
        <v>0</v>
      </c>
      <c r="BB77" s="205">
        <f t="shared" si="117"/>
        <v>0</v>
      </c>
      <c r="BC77" s="202">
        <v>800</v>
      </c>
      <c r="BD77" s="202">
        <v>6.8000000000000005E-2</v>
      </c>
      <c r="BE77" s="202">
        <v>4.0999999999999996</v>
      </c>
      <c r="BF77" s="202" t="s">
        <v>434</v>
      </c>
      <c r="BG77" s="202">
        <v>0</v>
      </c>
      <c r="BH77" s="205">
        <f t="shared" si="118"/>
        <v>0</v>
      </c>
      <c r="BI77" s="202">
        <v>800</v>
      </c>
      <c r="BJ77" s="202">
        <v>6.8000000000000005E-2</v>
      </c>
      <c r="BK77" s="202">
        <v>4.0999999999999996</v>
      </c>
      <c r="BL77" s="202" t="s">
        <v>434</v>
      </c>
      <c r="BM77" s="202">
        <v>0</v>
      </c>
      <c r="BN77" s="205">
        <f t="shared" si="119"/>
        <v>0</v>
      </c>
      <c r="BO77" s="202">
        <v>800</v>
      </c>
      <c r="BP77" s="202">
        <v>6.8000000000000005E-2</v>
      </c>
      <c r="BQ77" s="202">
        <v>4.0999999999999996</v>
      </c>
      <c r="BR77" s="202" t="s">
        <v>434</v>
      </c>
      <c r="BS77" s="202">
        <v>0</v>
      </c>
      <c r="BT77" s="205">
        <f t="shared" si="120"/>
        <v>0</v>
      </c>
      <c r="BU77" s="202">
        <v>800</v>
      </c>
      <c r="BV77" s="202">
        <v>6.8000000000000005E-2</v>
      </c>
      <c r="BW77" s="202">
        <v>4.0999999999999996</v>
      </c>
      <c r="BX77" s="202" t="s">
        <v>434</v>
      </c>
      <c r="BY77" s="202">
        <v>0</v>
      </c>
      <c r="BZ77" s="205">
        <f t="shared" si="121"/>
        <v>0</v>
      </c>
      <c r="CA77" s="202">
        <v>800</v>
      </c>
      <c r="CB77" s="202">
        <v>6.8000000000000005E-2</v>
      </c>
      <c r="CC77" s="202">
        <v>4.0999999999999996</v>
      </c>
      <c r="CD77" s="202" t="s">
        <v>434</v>
      </c>
      <c r="CE77" s="202">
        <v>0</v>
      </c>
      <c r="CF77" s="205">
        <f t="shared" si="122"/>
        <v>0</v>
      </c>
      <c r="CG77" s="202">
        <v>800</v>
      </c>
      <c r="CH77" s="202">
        <v>6.8000000000000005E-2</v>
      </c>
      <c r="CI77" s="202">
        <v>4.0999999999999996</v>
      </c>
      <c r="CJ77" s="202" t="s">
        <v>434</v>
      </c>
      <c r="CK77" s="202">
        <v>0</v>
      </c>
      <c r="CL77" s="205">
        <f t="shared" si="123"/>
        <v>0</v>
      </c>
      <c r="CM77" s="202">
        <v>800</v>
      </c>
      <c r="CN77" s="202">
        <v>6.8000000000000005E-2</v>
      </c>
      <c r="CO77" s="202">
        <v>4.0999999999999996</v>
      </c>
      <c r="CP77" s="202" t="s">
        <v>434</v>
      </c>
      <c r="CQ77" s="202">
        <v>0</v>
      </c>
      <c r="CR77" s="205">
        <f t="shared" si="124"/>
        <v>0</v>
      </c>
      <c r="CS77" s="202">
        <v>800</v>
      </c>
      <c r="CT77" s="202">
        <v>6.8000000000000005E-2</v>
      </c>
      <c r="CU77" s="202">
        <v>4.0999999999999996</v>
      </c>
      <c r="CV77" s="202" t="s">
        <v>434</v>
      </c>
      <c r="CW77" s="202">
        <v>0</v>
      </c>
      <c r="CX77" s="205">
        <f t="shared" si="127"/>
        <v>0</v>
      </c>
      <c r="CY77" s="202">
        <v>1000</v>
      </c>
      <c r="CZ77" s="202">
        <v>0.27</v>
      </c>
      <c r="DA77" s="202">
        <v>4</v>
      </c>
      <c r="DB77" s="202" t="s">
        <v>434</v>
      </c>
      <c r="DC77" s="202">
        <v>0</v>
      </c>
      <c r="DD77" s="205">
        <f t="shared" si="125"/>
        <v>0</v>
      </c>
      <c r="DE77" s="202">
        <v>800</v>
      </c>
      <c r="DF77" s="202">
        <v>6.8000000000000005E-2</v>
      </c>
      <c r="DG77" s="202">
        <v>4.0999999999999996</v>
      </c>
      <c r="DH77" s="202" t="s">
        <v>434</v>
      </c>
      <c r="DI77" s="202">
        <v>0</v>
      </c>
      <c r="DJ77" s="205">
        <f t="shared" si="126"/>
        <v>0</v>
      </c>
      <c r="DK77" s="202">
        <v>800</v>
      </c>
      <c r="DL77" s="202">
        <v>6.8000000000000005E-2</v>
      </c>
      <c r="DM77" s="202">
        <v>4.0999999999999996</v>
      </c>
      <c r="DN77" s="202" t="s">
        <v>434</v>
      </c>
    </row>
    <row r="78" spans="2:118" x14ac:dyDescent="0.35">
      <c r="B78" s="201" t="s">
        <v>442</v>
      </c>
      <c r="C78" s="13"/>
      <c r="D78" s="13"/>
      <c r="E78" s="202">
        <v>0</v>
      </c>
      <c r="F78" s="205">
        <f>IF(ISNUMBER(E78),E78*(G78/E$41+H78*(1+I78/E$28^0.3)),0)</f>
        <v>0</v>
      </c>
      <c r="G78" s="202">
        <v>800</v>
      </c>
      <c r="H78" s="202">
        <v>3.5000000000000003E-2</v>
      </c>
      <c r="I78" s="202">
        <v>4.2</v>
      </c>
      <c r="J78" s="202" t="s">
        <v>434</v>
      </c>
      <c r="K78" s="324">
        <v>0</v>
      </c>
      <c r="L78" s="205">
        <f>IF(ISNUMBER(K78),K78*(M78/K$41+N78*(1+O78/K$28^0.3)),0)</f>
        <v>0</v>
      </c>
      <c r="M78" s="202">
        <v>800</v>
      </c>
      <c r="N78" s="202">
        <v>3.5000000000000003E-2</v>
      </c>
      <c r="O78" s="202">
        <v>4.2</v>
      </c>
      <c r="P78" s="202" t="s">
        <v>434</v>
      </c>
      <c r="Q78" s="202">
        <v>0</v>
      </c>
      <c r="R78" s="205">
        <f>IF(ISNUMBER(Q78),Q78*(S78/Q$41+T78*(1+U78/Q$28^0.3)),0)</f>
        <v>0</v>
      </c>
      <c r="S78" s="202">
        <v>800</v>
      </c>
      <c r="T78" s="202">
        <v>3.5000000000000003E-2</v>
      </c>
      <c r="U78" s="202">
        <v>4.2</v>
      </c>
      <c r="V78" s="202" t="s">
        <v>434</v>
      </c>
      <c r="W78" s="202">
        <v>0</v>
      </c>
      <c r="X78" s="205">
        <f>IF(ISNUMBER(W78),W78*(Y78/W$41+Z78*(1+AA78/W$28^0.3)),0)</f>
        <v>0</v>
      </c>
      <c r="Y78" s="202">
        <v>800</v>
      </c>
      <c r="Z78" s="202">
        <v>3.5000000000000003E-2</v>
      </c>
      <c r="AA78" s="202">
        <v>4.2</v>
      </c>
      <c r="AB78" s="202" t="s">
        <v>434</v>
      </c>
      <c r="AC78" s="202">
        <v>0</v>
      </c>
      <c r="AD78" s="205">
        <f>IF(ISNUMBER(AC78),AC78*(AE78/AC$41+AF78*(1+AG78/AC$28^0.3)),0)</f>
        <v>0</v>
      </c>
      <c r="AE78" s="202">
        <v>800</v>
      </c>
      <c r="AF78" s="202">
        <v>3.5000000000000003E-2</v>
      </c>
      <c r="AG78" s="202">
        <v>4.2</v>
      </c>
      <c r="AH78" s="202" t="s">
        <v>434</v>
      </c>
      <c r="AI78" s="202">
        <v>0</v>
      </c>
      <c r="AJ78" s="205">
        <f>IF(ISNUMBER(AI78),AI78*(AK78/AI$41+AL78*(1+AM78/AI$28^0.3)),0)</f>
        <v>0</v>
      </c>
      <c r="AK78" s="202">
        <v>800</v>
      </c>
      <c r="AL78" s="202">
        <v>3.5000000000000003E-2</v>
      </c>
      <c r="AM78" s="202">
        <v>4.2</v>
      </c>
      <c r="AN78" s="202" t="s">
        <v>434</v>
      </c>
      <c r="AO78" s="202">
        <v>0</v>
      </c>
      <c r="AP78" s="205">
        <f>IF(ISNUMBER(AO78),AO78*(AQ78/AO$41+AR78*(1+AS78/AO$28^0.3)),0)</f>
        <v>0</v>
      </c>
      <c r="AQ78" s="202">
        <v>800</v>
      </c>
      <c r="AR78" s="202">
        <v>3.5000000000000003E-2</v>
      </c>
      <c r="AS78" s="202">
        <v>4.2</v>
      </c>
      <c r="AT78" s="202" t="s">
        <v>434</v>
      </c>
      <c r="AU78" s="202">
        <v>0</v>
      </c>
      <c r="AV78" s="205">
        <f>IF(ISNUMBER(AU78),AU78*(AW78/AU$41+AX78*(1+AY78/AU$28^0.3)),0)</f>
        <v>0</v>
      </c>
      <c r="AW78" s="202">
        <v>800</v>
      </c>
      <c r="AX78" s="202">
        <v>3.5000000000000003E-2</v>
      </c>
      <c r="AY78" s="202">
        <v>4.2</v>
      </c>
      <c r="AZ78" s="202" t="s">
        <v>434</v>
      </c>
      <c r="BA78" s="202">
        <v>0</v>
      </c>
      <c r="BB78" s="205">
        <f>IF(ISNUMBER(BA78),BA78*(BC78/BA$41+BD78*(1+BE78/BA$28^0.3)),0)</f>
        <v>0</v>
      </c>
      <c r="BC78" s="202">
        <v>800</v>
      </c>
      <c r="BD78" s="202">
        <v>3.5000000000000003E-2</v>
      </c>
      <c r="BE78" s="202">
        <v>4.2</v>
      </c>
      <c r="BF78" s="202" t="s">
        <v>434</v>
      </c>
      <c r="BG78" s="202">
        <v>0</v>
      </c>
      <c r="BH78" s="205">
        <f>IF(ISNUMBER(BG78),BG78*(BI78/BG$41+BJ78*(1+BK78/BG$28^0.3)),0)</f>
        <v>0</v>
      </c>
      <c r="BI78" s="202">
        <v>800</v>
      </c>
      <c r="BJ78" s="202">
        <v>3.5000000000000003E-2</v>
      </c>
      <c r="BK78" s="202">
        <v>4.2</v>
      </c>
      <c r="BL78" s="202" t="s">
        <v>434</v>
      </c>
      <c r="BM78" s="202">
        <v>0</v>
      </c>
      <c r="BN78" s="205">
        <f>IF(ISNUMBER(BM78),BM78*(BO78/BM$41+BP78*(1+BQ78/BM$28^0.3)),0)</f>
        <v>0</v>
      </c>
      <c r="BO78" s="202">
        <v>800</v>
      </c>
      <c r="BP78" s="202">
        <v>3.5000000000000003E-2</v>
      </c>
      <c r="BQ78" s="202">
        <v>4.2</v>
      </c>
      <c r="BR78" s="202" t="s">
        <v>434</v>
      </c>
      <c r="BS78" s="202">
        <v>0</v>
      </c>
      <c r="BT78" s="205">
        <f>IF(ISNUMBER(BS78),BS78*(BU78/BS$41+BV78*(1+BW78/BS$28^0.3)),0)</f>
        <v>0</v>
      </c>
      <c r="BU78" s="202">
        <v>800</v>
      </c>
      <c r="BV78" s="202">
        <v>3.5000000000000003E-2</v>
      </c>
      <c r="BW78" s="202">
        <v>4.2</v>
      </c>
      <c r="BX78" s="202" t="s">
        <v>434</v>
      </c>
      <c r="BY78" s="202">
        <v>0</v>
      </c>
      <c r="BZ78" s="205">
        <f>IF(ISNUMBER(BY78),BY78*(CA78/BY$41+CB78*(1+CC78/BY$28^0.3)),0)</f>
        <v>0</v>
      </c>
      <c r="CA78" s="202">
        <v>800</v>
      </c>
      <c r="CB78" s="202">
        <v>3.5000000000000003E-2</v>
      </c>
      <c r="CC78" s="202">
        <v>4.2</v>
      </c>
      <c r="CD78" s="202" t="s">
        <v>434</v>
      </c>
      <c r="CE78" s="202">
        <v>0</v>
      </c>
      <c r="CF78" s="205">
        <f>IF(ISNUMBER(CE78),CE78*(CG78/CE$41+CH78*(1+CI78/CE$28^0.3)),0)</f>
        <v>0</v>
      </c>
      <c r="CG78" s="202">
        <v>800</v>
      </c>
      <c r="CH78" s="202">
        <v>3.5000000000000003E-2</v>
      </c>
      <c r="CI78" s="202">
        <v>4.2</v>
      </c>
      <c r="CJ78" s="202" t="s">
        <v>434</v>
      </c>
      <c r="CK78" s="202">
        <v>0</v>
      </c>
      <c r="CL78" s="205">
        <f>IF(ISNUMBER(CK78),CK78*(CM78/CK$41+CN78*(1+CO78/CK$28^0.3)),0)</f>
        <v>0</v>
      </c>
      <c r="CM78" s="202">
        <v>800</v>
      </c>
      <c r="CN78" s="202">
        <v>3.5000000000000003E-2</v>
      </c>
      <c r="CO78" s="202">
        <v>4.2</v>
      </c>
      <c r="CP78" s="202" t="s">
        <v>434</v>
      </c>
      <c r="CQ78" s="202">
        <v>0</v>
      </c>
      <c r="CR78" s="205">
        <f>IF(ISNUMBER(CQ78),CQ78*(CS78/CQ$41+CT78*(1+CU78/CQ$28^0.3)),0)</f>
        <v>0</v>
      </c>
      <c r="CS78" s="202">
        <v>800</v>
      </c>
      <c r="CT78" s="202">
        <v>3.5000000000000003E-2</v>
      </c>
      <c r="CU78" s="202">
        <v>4.2</v>
      </c>
      <c r="CV78" s="202" t="s">
        <v>434</v>
      </c>
      <c r="CW78" s="202">
        <v>0</v>
      </c>
      <c r="CX78" s="205">
        <f t="shared" si="127"/>
        <v>0</v>
      </c>
      <c r="CY78" s="202">
        <v>800</v>
      </c>
      <c r="CZ78" s="202">
        <v>6.8000000000000005E-2</v>
      </c>
      <c r="DA78" s="202">
        <v>4.0999999999999996</v>
      </c>
      <c r="DB78" s="202" t="s">
        <v>434</v>
      </c>
      <c r="DC78" s="202">
        <v>0</v>
      </c>
      <c r="DD78" s="205">
        <f>IF(ISNUMBER(DC78),DC78*(DE78/DC$41+DF78*(1+DG78/DC$28^0.3)),0)</f>
        <v>0</v>
      </c>
      <c r="DE78" s="202">
        <v>800</v>
      </c>
      <c r="DF78" s="202">
        <v>3.5000000000000003E-2</v>
      </c>
      <c r="DG78" s="202">
        <v>4.2</v>
      </c>
      <c r="DH78" s="202" t="s">
        <v>434</v>
      </c>
      <c r="DI78" s="202">
        <v>0</v>
      </c>
      <c r="DJ78" s="205">
        <f>IF(ISNUMBER(DI78),DI78*(DK78/DI$41+DL78*(1+DM78/DI$28^0.3)),0)</f>
        <v>0</v>
      </c>
      <c r="DK78" s="202">
        <v>800</v>
      </c>
      <c r="DL78" s="202">
        <v>3.5000000000000003E-2</v>
      </c>
      <c r="DM78" s="202">
        <v>4.2</v>
      </c>
      <c r="DN78" s="202" t="s">
        <v>434</v>
      </c>
    </row>
    <row r="79" spans="2:118" x14ac:dyDescent="0.35">
      <c r="B79" s="201" t="s">
        <v>443</v>
      </c>
      <c r="C79" s="13"/>
      <c r="D79" s="13"/>
      <c r="E79" s="202">
        <v>0</v>
      </c>
      <c r="F79" s="205">
        <f>IF(ISNUMBER(E79),E79*(G79/E$41+H79*(1+I79/E$30^0.3)),0)</f>
        <v>0</v>
      </c>
      <c r="G79" s="202">
        <v>800</v>
      </c>
      <c r="H79" s="202">
        <v>0.27</v>
      </c>
      <c r="I79" s="202"/>
      <c r="J79" s="202" t="s">
        <v>444</v>
      </c>
      <c r="K79" s="324">
        <v>0</v>
      </c>
      <c r="L79" s="205">
        <f>IF(ISNUMBER(K79),K79*(M79/K$41+N79*(1+O79/K$30^0.3)),0)</f>
        <v>0</v>
      </c>
      <c r="M79" s="202">
        <v>800</v>
      </c>
      <c r="N79" s="202">
        <v>0.27</v>
      </c>
      <c r="O79" s="202"/>
      <c r="P79" s="202" t="s">
        <v>444</v>
      </c>
      <c r="Q79" s="202">
        <v>0</v>
      </c>
      <c r="R79" s="205">
        <f>IF(ISNUMBER(Q79),Q79*(S79/Q$41+T79*(1+U79/Q$30^0.3)),0)</f>
        <v>0</v>
      </c>
      <c r="S79" s="202">
        <v>800</v>
      </c>
      <c r="T79" s="202">
        <v>0.27</v>
      </c>
      <c r="U79" s="202"/>
      <c r="V79" s="202" t="s">
        <v>444</v>
      </c>
      <c r="W79" s="202">
        <v>0</v>
      </c>
      <c r="X79" s="205">
        <f>IF(ISNUMBER(W79),W79*(Y79/W$41+Z79*(1+AA79/W$30^0.3)),0)</f>
        <v>0</v>
      </c>
      <c r="Y79" s="202">
        <v>800</v>
      </c>
      <c r="Z79" s="202">
        <v>0.27</v>
      </c>
      <c r="AA79" s="202"/>
      <c r="AB79" s="202" t="s">
        <v>444</v>
      </c>
      <c r="AC79" s="202">
        <v>0</v>
      </c>
      <c r="AD79" s="205">
        <f>IF(ISNUMBER(AC79),AC79*(AE79/AC$41+AF79*(1+AG79/AC$30^0.3)),0)</f>
        <v>0</v>
      </c>
      <c r="AE79" s="202">
        <v>800</v>
      </c>
      <c r="AF79" s="202">
        <v>0.27</v>
      </c>
      <c r="AG79" s="202"/>
      <c r="AH79" s="202" t="s">
        <v>444</v>
      </c>
      <c r="AI79" s="202">
        <v>0</v>
      </c>
      <c r="AJ79" s="205">
        <f>IF(ISNUMBER(AI79),AI79*(AK79/AI$41+AL79*(1+AM79/AI$30^0.3)),0)</f>
        <v>0</v>
      </c>
      <c r="AK79" s="202">
        <v>800</v>
      </c>
      <c r="AL79" s="202">
        <v>0.27</v>
      </c>
      <c r="AM79" s="202"/>
      <c r="AN79" s="202" t="s">
        <v>444</v>
      </c>
      <c r="AO79" s="202">
        <v>0</v>
      </c>
      <c r="AP79" s="205">
        <f>IF(ISNUMBER(AO79),AO79*(AQ79/AO$41+AR79*(1+AS79/AO$30^0.3)),0)</f>
        <v>0</v>
      </c>
      <c r="AQ79" s="202">
        <v>800</v>
      </c>
      <c r="AR79" s="202">
        <v>0.27</v>
      </c>
      <c r="AS79" s="202"/>
      <c r="AT79" s="202" t="s">
        <v>444</v>
      </c>
      <c r="AU79" s="202">
        <v>0</v>
      </c>
      <c r="AV79" s="205">
        <f>IF(ISNUMBER(AU79),AU79*(AW79/AU$41+AX79*(1+AY79/AU$30^0.3)),0)</f>
        <v>0</v>
      </c>
      <c r="AW79" s="202">
        <v>800</v>
      </c>
      <c r="AX79" s="202">
        <v>0.27</v>
      </c>
      <c r="AY79" s="202"/>
      <c r="AZ79" s="202" t="s">
        <v>444</v>
      </c>
      <c r="BA79" s="202">
        <v>0</v>
      </c>
      <c r="BB79" s="205">
        <f>IF(ISNUMBER(BA79),BA79*(BC79/BA$41+BD79*(1+BE79/BA$30^0.3)),0)</f>
        <v>0</v>
      </c>
      <c r="BC79" s="202">
        <v>800</v>
      </c>
      <c r="BD79" s="202">
        <v>0.27</v>
      </c>
      <c r="BE79" s="202"/>
      <c r="BF79" s="202" t="s">
        <v>444</v>
      </c>
      <c r="BG79" s="202">
        <v>0</v>
      </c>
      <c r="BH79" s="205">
        <f>IF(ISNUMBER(BG79),BG79*(BI79/BG$41+BJ79*(1+BK79/BG$30^0.3)),0)</f>
        <v>0</v>
      </c>
      <c r="BI79" s="202">
        <v>800</v>
      </c>
      <c r="BJ79" s="202">
        <v>0.27</v>
      </c>
      <c r="BK79" s="202"/>
      <c r="BL79" s="202" t="s">
        <v>444</v>
      </c>
      <c r="BM79" s="202">
        <v>0</v>
      </c>
      <c r="BN79" s="205">
        <f>IF(ISNUMBER(BM79),BM79*(BO79/BM$41+BP79*(1+BQ79/BM$30^0.3)),0)</f>
        <v>0</v>
      </c>
      <c r="BO79" s="202">
        <v>800</v>
      </c>
      <c r="BP79" s="202">
        <v>0.27</v>
      </c>
      <c r="BQ79" s="202"/>
      <c r="BR79" s="202" t="s">
        <v>444</v>
      </c>
      <c r="BS79" s="202">
        <v>0</v>
      </c>
      <c r="BT79" s="205">
        <f>IF(ISNUMBER(BS79),BS79*(BU79/BS$41+BV79*(1+BW79/BS$30^0.3)),0)</f>
        <v>0</v>
      </c>
      <c r="BU79" s="202">
        <v>800</v>
      </c>
      <c r="BV79" s="202">
        <v>0.27</v>
      </c>
      <c r="BW79" s="202"/>
      <c r="BX79" s="202" t="s">
        <v>444</v>
      </c>
      <c r="BY79" s="202">
        <v>0</v>
      </c>
      <c r="BZ79" s="205">
        <f>IF(ISNUMBER(BY79),BY79*(CA79/BY$41+CB79*(1+CC79/BY$30^0.3)),0)</f>
        <v>0</v>
      </c>
      <c r="CA79" s="202">
        <v>800</v>
      </c>
      <c r="CB79" s="202">
        <v>0.27</v>
      </c>
      <c r="CC79" s="202"/>
      <c r="CD79" s="202" t="s">
        <v>444</v>
      </c>
      <c r="CE79" s="202">
        <v>0</v>
      </c>
      <c r="CF79" s="205">
        <f>IF(ISNUMBER(CE79),CE79*(CG79/CE$41+CH79*(1+CI79/CE$30^0.3)),0)</f>
        <v>0</v>
      </c>
      <c r="CG79" s="202">
        <v>800</v>
      </c>
      <c r="CH79" s="202">
        <v>0.27</v>
      </c>
      <c r="CI79" s="202"/>
      <c r="CJ79" s="202" t="s">
        <v>444</v>
      </c>
      <c r="CK79" s="202">
        <v>0</v>
      </c>
      <c r="CL79" s="205">
        <f>IF(ISNUMBER(CK79),CK79*(CM79/CK$41+CN79*(1+CO79/CK$30^0.3)),0)</f>
        <v>0</v>
      </c>
      <c r="CM79" s="202">
        <v>800</v>
      </c>
      <c r="CN79" s="202">
        <v>0.27</v>
      </c>
      <c r="CO79" s="202"/>
      <c r="CP79" s="202" t="s">
        <v>444</v>
      </c>
      <c r="CQ79" s="202">
        <v>0</v>
      </c>
      <c r="CR79" s="205">
        <f>IF(ISNUMBER(CQ79),CQ79*(CS79/CQ$41+CT79*(1+CU79/CQ$30^0.3)),0)</f>
        <v>0</v>
      </c>
      <c r="CS79" s="202">
        <v>800</v>
      </c>
      <c r="CT79" s="202">
        <v>0.27</v>
      </c>
      <c r="CU79" s="202"/>
      <c r="CV79" s="202" t="s">
        <v>444</v>
      </c>
      <c r="CW79" s="202">
        <v>0</v>
      </c>
      <c r="CX79" s="205">
        <f>IF(ISNUMBER(CW79),CW79*(CY79/CW$41+CZ79*(1+DA79/CW$28^0.3)),0)</f>
        <v>0</v>
      </c>
      <c r="CY79" s="202">
        <v>800</v>
      </c>
      <c r="CZ79" s="202">
        <v>3.5000000000000003E-2</v>
      </c>
      <c r="DA79" s="202">
        <v>4.2</v>
      </c>
      <c r="DB79" s="202" t="s">
        <v>434</v>
      </c>
      <c r="DC79" s="202">
        <v>0</v>
      </c>
      <c r="DD79" s="205">
        <f>IF(ISNUMBER(DC79),DC79*(DE79/DC$41+DF79*(1+DG79/DC$30^0.3)),0)</f>
        <v>0</v>
      </c>
      <c r="DE79" s="202">
        <v>800</v>
      </c>
      <c r="DF79" s="202">
        <v>0.27</v>
      </c>
      <c r="DG79" s="202"/>
      <c r="DH79" s="202" t="s">
        <v>444</v>
      </c>
      <c r="DI79" s="202">
        <v>0</v>
      </c>
      <c r="DJ79" s="205">
        <f>IF(ISNUMBER(DI79),DI79*(DK79/DI$41+DL79*(1+DM79/DI$30^0.3)),0)</f>
        <v>0</v>
      </c>
      <c r="DK79" s="202">
        <v>800</v>
      </c>
      <c r="DL79" s="202">
        <v>0.27</v>
      </c>
      <c r="DM79" s="202"/>
      <c r="DN79" s="202" t="s">
        <v>444</v>
      </c>
    </row>
    <row r="80" spans="2:118" x14ac:dyDescent="0.35">
      <c r="B80" s="201" t="s">
        <v>445</v>
      </c>
      <c r="C80" s="201"/>
      <c r="D80" s="201"/>
      <c r="E80" s="202">
        <v>0</v>
      </c>
      <c r="F80" s="205">
        <f>IF(ISNUMBER(E80),E80*(G80/E$41+H80*(1+I80/E$30^0.3)),0)</f>
        <v>0</v>
      </c>
      <c r="G80" s="202">
        <v>800</v>
      </c>
      <c r="H80" s="202">
        <v>0.25</v>
      </c>
      <c r="I80" s="202"/>
      <c r="J80" s="202" t="s">
        <v>444</v>
      </c>
      <c r="K80" s="324">
        <v>0</v>
      </c>
      <c r="L80" s="205">
        <f>IF(ISNUMBER(K80),K80*(M80/K$41+N80*(1+O80/K$30^0.3)),0)</f>
        <v>0</v>
      </c>
      <c r="M80" s="202">
        <v>800</v>
      </c>
      <c r="N80" s="202">
        <v>0.25</v>
      </c>
      <c r="O80" s="202"/>
      <c r="P80" s="202" t="s">
        <v>444</v>
      </c>
      <c r="Q80" s="202">
        <v>0</v>
      </c>
      <c r="R80" s="205">
        <f>IF(ISNUMBER(Q80),Q80*(S80/Q$41+T80*(1+U80/Q$30^0.3)),0)</f>
        <v>0</v>
      </c>
      <c r="S80" s="202">
        <v>800</v>
      </c>
      <c r="T80" s="202">
        <v>0.25</v>
      </c>
      <c r="U80" s="202"/>
      <c r="V80" s="202" t="s">
        <v>444</v>
      </c>
      <c r="W80" s="202">
        <v>0</v>
      </c>
      <c r="X80" s="205">
        <f>IF(ISNUMBER(W80),W80*(Y80/W$41+Z80*(1+AA80/W$30^0.3)),0)</f>
        <v>0</v>
      </c>
      <c r="Y80" s="202">
        <v>800</v>
      </c>
      <c r="Z80" s="202">
        <v>0.25</v>
      </c>
      <c r="AA80" s="202"/>
      <c r="AB80" s="202" t="s">
        <v>444</v>
      </c>
      <c r="AC80" s="202">
        <v>0</v>
      </c>
      <c r="AD80" s="205">
        <f>IF(ISNUMBER(AC80),AC80*(AE80/AC$41+AF80*(1+AG80/AC$30^0.3)),0)</f>
        <v>0</v>
      </c>
      <c r="AE80" s="202">
        <v>800</v>
      </c>
      <c r="AF80" s="202">
        <v>0.25</v>
      </c>
      <c r="AG80" s="202"/>
      <c r="AH80" s="202" t="s">
        <v>444</v>
      </c>
      <c r="AI80" s="202">
        <v>0</v>
      </c>
      <c r="AJ80" s="205">
        <f>IF(ISNUMBER(AI80),AI80*(AK80/AI$41+AL80*(1+AM80/AI$30^0.3)),0)</f>
        <v>0</v>
      </c>
      <c r="AK80" s="202">
        <v>800</v>
      </c>
      <c r="AL80" s="202">
        <v>0.25</v>
      </c>
      <c r="AM80" s="202"/>
      <c r="AN80" s="202" t="s">
        <v>444</v>
      </c>
      <c r="AO80" s="202">
        <v>0</v>
      </c>
      <c r="AP80" s="205">
        <f>IF(ISNUMBER(AO80),AO80*(AQ80/AO$41+AR80*(1+AS80/AO$30^0.3)),0)</f>
        <v>0</v>
      </c>
      <c r="AQ80" s="202">
        <v>800</v>
      </c>
      <c r="AR80" s="202">
        <v>0.25</v>
      </c>
      <c r="AS80" s="202"/>
      <c r="AT80" s="202" t="s">
        <v>444</v>
      </c>
      <c r="AU80" s="202">
        <v>0</v>
      </c>
      <c r="AV80" s="205">
        <f>IF(ISNUMBER(AU80),AU80*(AW80/AU$41+AX80*(1+AY80/AU$30^0.3)),0)</f>
        <v>0</v>
      </c>
      <c r="AW80" s="202">
        <v>800</v>
      </c>
      <c r="AX80" s="202">
        <v>0.25</v>
      </c>
      <c r="AY80" s="202"/>
      <c r="AZ80" s="202" t="s">
        <v>444</v>
      </c>
      <c r="BA80" s="202">
        <v>0</v>
      </c>
      <c r="BB80" s="205">
        <f>IF(ISNUMBER(BA80),BA80*(BC80/BA$41+BD80*(1+BE80/BA$30^0.3)),0)</f>
        <v>0</v>
      </c>
      <c r="BC80" s="202">
        <v>800</v>
      </c>
      <c r="BD80" s="202">
        <v>0.25</v>
      </c>
      <c r="BE80" s="202"/>
      <c r="BF80" s="202" t="s">
        <v>444</v>
      </c>
      <c r="BG80" s="202">
        <v>0</v>
      </c>
      <c r="BH80" s="205">
        <f>IF(ISNUMBER(BG80),BG80*(BI80/BG$41+BJ80*(1+BK80/BG$30^0.3)),0)</f>
        <v>0</v>
      </c>
      <c r="BI80" s="202">
        <v>800</v>
      </c>
      <c r="BJ80" s="202">
        <v>0.25</v>
      </c>
      <c r="BK80" s="202"/>
      <c r="BL80" s="202" t="s">
        <v>444</v>
      </c>
      <c r="BM80" s="202">
        <v>0</v>
      </c>
      <c r="BN80" s="205">
        <f>IF(ISNUMBER(BM80),BM80*(BO80/BM$41+BP80*(1+BQ80/BM$30^0.3)),0)</f>
        <v>0</v>
      </c>
      <c r="BO80" s="202">
        <v>800</v>
      </c>
      <c r="BP80" s="202">
        <v>0.25</v>
      </c>
      <c r="BQ80" s="202"/>
      <c r="BR80" s="202" t="s">
        <v>444</v>
      </c>
      <c r="BS80" s="202">
        <v>0</v>
      </c>
      <c r="BT80" s="205">
        <f>IF(ISNUMBER(BS80),BS80*(BU80/BS$41+BV80*(1+BW80/BS$30^0.3)),0)</f>
        <v>0</v>
      </c>
      <c r="BU80" s="202">
        <v>800</v>
      </c>
      <c r="BV80" s="202">
        <v>0.25</v>
      </c>
      <c r="BW80" s="202"/>
      <c r="BX80" s="202" t="s">
        <v>444</v>
      </c>
      <c r="BY80" s="202">
        <v>0</v>
      </c>
      <c r="BZ80" s="205">
        <f>IF(ISNUMBER(BY80),BY80*(CA80/BY$41+CB80*(1+CC80/BY$30^0.3)),0)</f>
        <v>0</v>
      </c>
      <c r="CA80" s="202">
        <v>800</v>
      </c>
      <c r="CB80" s="202">
        <v>0.25</v>
      </c>
      <c r="CC80" s="202"/>
      <c r="CD80" s="202" t="s">
        <v>444</v>
      </c>
      <c r="CE80" s="202">
        <v>0</v>
      </c>
      <c r="CF80" s="205">
        <f>IF(ISNUMBER(CE80),CE80*(CG80/CE$41+CH80*(1+CI80/CE$30^0.3)),0)</f>
        <v>0</v>
      </c>
      <c r="CG80" s="202">
        <v>800</v>
      </c>
      <c r="CH80" s="202">
        <v>0.25</v>
      </c>
      <c r="CI80" s="202"/>
      <c r="CJ80" s="202" t="s">
        <v>444</v>
      </c>
      <c r="CK80" s="202">
        <v>0</v>
      </c>
      <c r="CL80" s="205">
        <f>IF(ISNUMBER(CK80),CK80*(CM80/CK$41+CN80*(1+CO80/CK$30^0.3)),0)</f>
        <v>0</v>
      </c>
      <c r="CM80" s="202">
        <v>800</v>
      </c>
      <c r="CN80" s="202">
        <v>0.25</v>
      </c>
      <c r="CO80" s="202"/>
      <c r="CP80" s="202" t="s">
        <v>444</v>
      </c>
      <c r="CQ80" s="202">
        <v>0</v>
      </c>
      <c r="CR80" s="205">
        <f>IF(ISNUMBER(CQ80),CQ80*(CS80/CQ$41+CT80*(1+CU80/CQ$30^0.3)),0)</f>
        <v>0</v>
      </c>
      <c r="CS80" s="202">
        <v>800</v>
      </c>
      <c r="CT80" s="202">
        <v>0.25</v>
      </c>
      <c r="CU80" s="202"/>
      <c r="CV80" s="202" t="s">
        <v>444</v>
      </c>
      <c r="CW80" s="202">
        <v>0</v>
      </c>
      <c r="CX80" s="205">
        <f>IF(ISNUMBER(CW80),CW80*(CY80/CW$41+CZ80*(1+DA80/CW$30^0.3)),0)</f>
        <v>0</v>
      </c>
      <c r="CY80" s="202">
        <v>800</v>
      </c>
      <c r="CZ80" s="202">
        <v>0.27</v>
      </c>
      <c r="DA80" s="202"/>
      <c r="DB80" s="202" t="s">
        <v>444</v>
      </c>
      <c r="DC80" s="202">
        <v>0</v>
      </c>
      <c r="DD80" s="205">
        <f>IF(ISNUMBER(DC80),DC80*(DE80/DC$41+DF80*(1+DG80/DC$30^0.3)),0)</f>
        <v>0</v>
      </c>
      <c r="DE80" s="202">
        <v>800</v>
      </c>
      <c r="DF80" s="202">
        <v>0.25</v>
      </c>
      <c r="DG80" s="202"/>
      <c r="DH80" s="202" t="s">
        <v>444</v>
      </c>
      <c r="DI80" s="202">
        <v>0</v>
      </c>
      <c r="DJ80" s="205">
        <f>IF(ISNUMBER(DI80),DI80*(DK80/DI$41+DL80*(1+DM80/DI$30^0.3)),0)</f>
        <v>0</v>
      </c>
      <c r="DK80" s="202">
        <v>800</v>
      </c>
      <c r="DL80" s="202">
        <v>0.25</v>
      </c>
      <c r="DM80" s="202"/>
      <c r="DN80" s="202" t="s">
        <v>444</v>
      </c>
    </row>
    <row r="81" spans="2:118" x14ac:dyDescent="0.35">
      <c r="B81" s="203" t="s">
        <v>446</v>
      </c>
      <c r="C81" s="203"/>
      <c r="D81" s="203"/>
      <c r="E81" s="204" t="s">
        <v>515</v>
      </c>
      <c r="F81" s="203"/>
      <c r="G81" s="203"/>
      <c r="H81" s="203"/>
      <c r="I81" s="203"/>
      <c r="J81" s="203"/>
      <c r="K81" s="204" t="s">
        <v>515</v>
      </c>
      <c r="L81" s="203"/>
      <c r="M81" s="203"/>
      <c r="N81" s="203"/>
      <c r="O81" s="203"/>
      <c r="P81" s="203"/>
      <c r="Q81" s="204" t="s">
        <v>515</v>
      </c>
      <c r="R81" s="203"/>
      <c r="S81" s="203"/>
      <c r="T81" s="203"/>
      <c r="U81" s="203"/>
      <c r="V81" s="203"/>
      <c r="W81" s="204" t="s">
        <v>515</v>
      </c>
      <c r="X81" s="203"/>
      <c r="Y81" s="203"/>
      <c r="Z81" s="203"/>
      <c r="AA81" s="203"/>
      <c r="AB81" s="203"/>
      <c r="AC81" s="204" t="s">
        <v>515</v>
      </c>
      <c r="AD81" s="203"/>
      <c r="AE81" s="203"/>
      <c r="AF81" s="203"/>
      <c r="AG81" s="203"/>
      <c r="AH81" s="203"/>
      <c r="AI81" s="204" t="s">
        <v>515</v>
      </c>
      <c r="AJ81" s="203"/>
      <c r="AK81" s="203"/>
      <c r="AL81" s="203"/>
      <c r="AM81" s="203"/>
      <c r="AN81" s="203"/>
      <c r="AO81" s="204" t="s">
        <v>515</v>
      </c>
      <c r="AP81" s="203"/>
      <c r="AQ81" s="203"/>
      <c r="AR81" s="203"/>
      <c r="AS81" s="203"/>
      <c r="AT81" s="203"/>
      <c r="AU81" s="204" t="s">
        <v>515</v>
      </c>
      <c r="AV81" s="203"/>
      <c r="AW81" s="203"/>
      <c r="AX81" s="203"/>
      <c r="AY81" s="203"/>
      <c r="AZ81" s="203"/>
      <c r="BA81" s="204" t="s">
        <v>515</v>
      </c>
      <c r="BB81" s="203"/>
      <c r="BC81" s="203"/>
      <c r="BD81" s="203"/>
      <c r="BE81" s="203"/>
      <c r="BF81" s="203"/>
      <c r="BG81" s="204" t="s">
        <v>515</v>
      </c>
      <c r="BH81" s="203"/>
      <c r="BI81" s="203"/>
      <c r="BJ81" s="203"/>
      <c r="BK81" s="203"/>
      <c r="BL81" s="203"/>
      <c r="BM81" s="204" t="s">
        <v>515</v>
      </c>
      <c r="BN81" s="203"/>
      <c r="BO81" s="203"/>
      <c r="BP81" s="203"/>
      <c r="BQ81" s="203"/>
      <c r="BR81" s="203"/>
      <c r="BS81" s="204" t="s">
        <v>515</v>
      </c>
      <c r="BT81" s="203"/>
      <c r="BU81" s="203"/>
      <c r="BV81" s="203"/>
      <c r="BW81" s="203"/>
      <c r="BX81" s="203"/>
      <c r="BY81" s="204" t="s">
        <v>515</v>
      </c>
      <c r="BZ81" s="203"/>
      <c r="CA81" s="203"/>
      <c r="CB81" s="203"/>
      <c r="CC81" s="203"/>
      <c r="CD81" s="203"/>
      <c r="CE81" s="204" t="s">
        <v>515</v>
      </c>
      <c r="CF81" s="203"/>
      <c r="CG81" s="203"/>
      <c r="CH81" s="203"/>
      <c r="CI81" s="203"/>
      <c r="CJ81" s="203"/>
      <c r="CK81" s="204" t="s">
        <v>515</v>
      </c>
      <c r="CL81" s="203"/>
      <c r="CM81" s="203"/>
      <c r="CN81" s="203"/>
      <c r="CO81" s="203"/>
      <c r="CP81" s="203"/>
      <c r="CQ81" s="204" t="s">
        <v>515</v>
      </c>
      <c r="CR81" s="203"/>
      <c r="CS81" s="203"/>
      <c r="CT81" s="203"/>
      <c r="CU81" s="203"/>
      <c r="CV81" s="203"/>
      <c r="CW81" s="202">
        <v>0</v>
      </c>
      <c r="CX81" s="205">
        <f>IF(ISNUMBER(CW81),CW81*(CY81/CW$41+CZ81*(1+DA81/CW$30^0.3)),0)</f>
        <v>0</v>
      </c>
      <c r="CY81" s="202">
        <v>800</v>
      </c>
      <c r="CZ81" s="202">
        <v>0.25</v>
      </c>
      <c r="DA81" s="202"/>
      <c r="DB81" s="202" t="s">
        <v>444</v>
      </c>
      <c r="DC81" s="204" t="s">
        <v>515</v>
      </c>
      <c r="DD81" s="203"/>
      <c r="DE81" s="203"/>
      <c r="DF81" s="203"/>
      <c r="DG81" s="203"/>
      <c r="DH81" s="203"/>
      <c r="DI81" s="204" t="s">
        <v>515</v>
      </c>
      <c r="DJ81" s="203"/>
      <c r="DK81" s="203"/>
      <c r="DL81" s="203"/>
      <c r="DM81" s="203"/>
      <c r="DN81" s="203"/>
    </row>
    <row r="82" spans="2:118" x14ac:dyDescent="0.35">
      <c r="B82" s="201" t="s">
        <v>447</v>
      </c>
      <c r="C82" s="13"/>
      <c r="D82" s="13"/>
      <c r="E82" s="202">
        <v>0</v>
      </c>
      <c r="F82" s="205">
        <f t="shared" ref="F82:F110" si="128">IF(ISNUMBER(E82),E82*(G82/E$41+H82*(1+I82/E$28^0.3)),0)</f>
        <v>0</v>
      </c>
      <c r="G82" s="202">
        <v>500</v>
      </c>
      <c r="H82" s="202">
        <v>7.0999999999999994E-2</v>
      </c>
      <c r="I82" s="202">
        <v>4.2</v>
      </c>
      <c r="J82" s="202" t="s">
        <v>434</v>
      </c>
      <c r="K82" s="324">
        <v>1</v>
      </c>
      <c r="L82" s="205">
        <f t="shared" ref="L82:L85" si="129">IF(ISNUMBER(K82),K82*(M82/K$41+N82*(1+O82/K$28^0.3)),0)</f>
        <v>0.24971233363438217</v>
      </c>
      <c r="M82" s="202">
        <v>500</v>
      </c>
      <c r="N82" s="202">
        <v>7.0999999999999994E-2</v>
      </c>
      <c r="O82" s="202">
        <v>4.2</v>
      </c>
      <c r="P82" s="202" t="s">
        <v>434</v>
      </c>
      <c r="Q82" s="202">
        <v>1</v>
      </c>
      <c r="R82" s="205">
        <f t="shared" ref="R82:R85" si="130">IF(ISNUMBER(Q82),Q82*(S82/Q$41+T82*(1+U82/Q$28^0.3)),0)</f>
        <v>0.24971233363438217</v>
      </c>
      <c r="S82" s="202">
        <v>500</v>
      </c>
      <c r="T82" s="202">
        <v>7.0999999999999994E-2</v>
      </c>
      <c r="U82" s="202">
        <v>4.2</v>
      </c>
      <c r="V82" s="202" t="s">
        <v>434</v>
      </c>
      <c r="W82" s="202">
        <v>1</v>
      </c>
      <c r="X82" s="205">
        <f t="shared" ref="X82:X85" si="131">IF(ISNUMBER(W82),W82*(Y82/W$41+Z82*(1+AA82/W$28^0.3)),0)</f>
        <v>0.24766269042722766</v>
      </c>
      <c r="Y82" s="202">
        <v>500</v>
      </c>
      <c r="Z82" s="202">
        <v>7.0999999999999994E-2</v>
      </c>
      <c r="AA82" s="202">
        <v>4.2</v>
      </c>
      <c r="AB82" s="202" t="s">
        <v>434</v>
      </c>
      <c r="AC82" s="202">
        <v>1</v>
      </c>
      <c r="AD82" s="205">
        <f t="shared" ref="AD82:AD85" si="132">IF(ISNUMBER(AC82),AC82*(AE82/AC$41+AF82*(1+AG82/AC$28^0.3)),0)</f>
        <v>0.26936962703849954</v>
      </c>
      <c r="AE82" s="202">
        <v>500</v>
      </c>
      <c r="AF82" s="202">
        <v>7.0999999999999994E-2</v>
      </c>
      <c r="AG82" s="202">
        <v>4.2</v>
      </c>
      <c r="AH82" s="202" t="s">
        <v>434</v>
      </c>
      <c r="AI82" s="202">
        <v>1</v>
      </c>
      <c r="AJ82" s="205">
        <f t="shared" ref="AJ82:AJ85" si="133">IF(ISNUMBER(AI82),AI82*(AK82/AI$41+AL82*(1+AM82/AI$28^0.3)),0)</f>
        <v>0.26936962703849954</v>
      </c>
      <c r="AK82" s="202">
        <v>500</v>
      </c>
      <c r="AL82" s="202">
        <v>7.0999999999999994E-2</v>
      </c>
      <c r="AM82" s="202">
        <v>4.2</v>
      </c>
      <c r="AN82" s="202" t="s">
        <v>434</v>
      </c>
      <c r="AO82" s="202">
        <v>1</v>
      </c>
      <c r="AP82" s="205">
        <f t="shared" ref="AP82:AP85" si="134">IF(ISNUMBER(AO82),AO82*(AQ82/AO$41+AR82*(1+AS82/AO$28^0.3)),0)</f>
        <v>0.26936962703849954</v>
      </c>
      <c r="AQ82" s="202">
        <v>500</v>
      </c>
      <c r="AR82" s="202">
        <v>7.0999999999999994E-2</v>
      </c>
      <c r="AS82" s="202">
        <v>4.2</v>
      </c>
      <c r="AT82" s="202" t="s">
        <v>434</v>
      </c>
      <c r="AU82" s="202">
        <v>1</v>
      </c>
      <c r="AV82" s="205">
        <f t="shared" ref="AV82:AV85" si="135">IF(ISNUMBER(AU82),AU82*(AW82/AU$41+AX82*(1+AY82/AU$28^0.3)),0)</f>
        <v>0.26937009801702205</v>
      </c>
      <c r="AW82" s="202">
        <v>500</v>
      </c>
      <c r="AX82" s="202">
        <v>7.0999999999999994E-2</v>
      </c>
      <c r="AY82" s="202">
        <v>4.2</v>
      </c>
      <c r="AZ82" s="202" t="s">
        <v>434</v>
      </c>
      <c r="BA82" s="202">
        <v>1</v>
      </c>
      <c r="BB82" s="205">
        <f t="shared" ref="BB82:BB85" si="136">IF(ISNUMBER(BA82),BA82*(BC82/BA$41+BD82*(1+BE82/BA$28^0.3)),0)</f>
        <v>0.26937009801702205</v>
      </c>
      <c r="BC82" s="202">
        <v>500</v>
      </c>
      <c r="BD82" s="202">
        <v>7.0999999999999994E-2</v>
      </c>
      <c r="BE82" s="202">
        <v>4.2</v>
      </c>
      <c r="BF82" s="202" t="s">
        <v>434</v>
      </c>
      <c r="BG82" s="202">
        <v>1</v>
      </c>
      <c r="BH82" s="205">
        <f t="shared" ref="BH82:BH85" si="137">IF(ISNUMBER(BG82),BG82*(BI82/BG$41+BJ82*(1+BK82/BG$28^0.3)),0)</f>
        <v>0.26937009801702205</v>
      </c>
      <c r="BI82" s="202">
        <v>500</v>
      </c>
      <c r="BJ82" s="202">
        <v>7.0999999999999994E-2</v>
      </c>
      <c r="BK82" s="202">
        <v>4.2</v>
      </c>
      <c r="BL82" s="202" t="s">
        <v>434</v>
      </c>
      <c r="BM82" s="202">
        <v>1</v>
      </c>
      <c r="BN82" s="205">
        <f t="shared" ref="BN82:BN85" si="138">IF(ISNUMBER(BM82),BM82*(BO82/BM$41+BP82*(1+BQ82/BM$28^0.3)),0)</f>
        <v>0.24016273674056335</v>
      </c>
      <c r="BO82" s="202">
        <v>500</v>
      </c>
      <c r="BP82" s="202">
        <v>7.0999999999999994E-2</v>
      </c>
      <c r="BQ82" s="202">
        <v>4.2</v>
      </c>
      <c r="BR82" s="202" t="s">
        <v>434</v>
      </c>
      <c r="BS82" s="202">
        <v>1</v>
      </c>
      <c r="BT82" s="205">
        <f t="shared" ref="BT82:BT85" si="139">IF(ISNUMBER(BS82),BS82*(BU82/BS$41+BV82*(1+BW82/BS$28^0.3)),0)</f>
        <v>0.23791052259145939</v>
      </c>
      <c r="BU82" s="202">
        <v>500</v>
      </c>
      <c r="BV82" s="202">
        <v>7.0999999999999994E-2</v>
      </c>
      <c r="BW82" s="202">
        <v>4.2</v>
      </c>
      <c r="BX82" s="202" t="s">
        <v>434</v>
      </c>
      <c r="BY82" s="202">
        <v>1</v>
      </c>
      <c r="BZ82" s="205">
        <f t="shared" ref="BZ82:BZ85" si="140">IF(ISNUMBER(BY82),BY82*(CA82/BY$41+CB82*(1+CC82/BY$28^0.3)),0)</f>
        <v>0.27132480088976091</v>
      </c>
      <c r="CA82" s="202">
        <v>500</v>
      </c>
      <c r="CB82" s="202">
        <v>7.0999999999999994E-2</v>
      </c>
      <c r="CC82" s="202">
        <v>4.2</v>
      </c>
      <c r="CD82" s="202" t="s">
        <v>434</v>
      </c>
      <c r="CE82" s="202">
        <v>1</v>
      </c>
      <c r="CF82" s="205">
        <f t="shared" ref="CF82:CF85" si="141">IF(ISNUMBER(CE82),CE82*(CG82/CE$41+CH82*(1+CI82/CE$28^0.3)),0)</f>
        <v>0.27132480088976091</v>
      </c>
      <c r="CG82" s="202">
        <v>500</v>
      </c>
      <c r="CH82" s="202">
        <v>7.0999999999999994E-2</v>
      </c>
      <c r="CI82" s="202">
        <v>4.2</v>
      </c>
      <c r="CJ82" s="202" t="s">
        <v>434</v>
      </c>
      <c r="CK82" s="202">
        <v>1</v>
      </c>
      <c r="CL82" s="205">
        <f t="shared" ref="CL82:CL85" si="142">IF(ISNUMBER(CK82),CK82*(CM82/CK$41+CN82*(1+CO82/CK$28^0.3)),0)</f>
        <v>0.29136043165708969</v>
      </c>
      <c r="CM82" s="202">
        <v>500</v>
      </c>
      <c r="CN82" s="202">
        <v>7.0999999999999994E-2</v>
      </c>
      <c r="CO82" s="202">
        <v>4.2</v>
      </c>
      <c r="CP82" s="202" t="s">
        <v>434</v>
      </c>
      <c r="CQ82" s="202">
        <v>1</v>
      </c>
      <c r="CR82" s="205">
        <f t="shared" ref="CR82:CR85" si="143">IF(ISNUMBER(CQ82),CQ82*(CS82/CQ$41+CT82*(1+CU82/CQ$28^0.3)),0)</f>
        <v>0.29136043165708969</v>
      </c>
      <c r="CS82" s="202">
        <v>500</v>
      </c>
      <c r="CT82" s="202">
        <v>7.0999999999999994E-2</v>
      </c>
      <c r="CU82" s="202">
        <v>4.2</v>
      </c>
      <c r="CV82" s="202" t="s">
        <v>434</v>
      </c>
      <c r="CW82" s="204" t="s">
        <v>515</v>
      </c>
      <c r="CX82" s="203"/>
      <c r="CY82" s="203"/>
      <c r="CZ82" s="203"/>
      <c r="DA82" s="203"/>
      <c r="DB82" s="203"/>
      <c r="DC82" s="202">
        <v>1</v>
      </c>
      <c r="DD82" s="205">
        <f t="shared" ref="DD82:DD85" si="144">IF(ISNUMBER(DC82),DC82*(DE82/DC$41+DF82*(1+DG82/DC$28^0.3)),0)</f>
        <v>0.29136043165708969</v>
      </c>
      <c r="DE82" s="202">
        <v>500</v>
      </c>
      <c r="DF82" s="202">
        <v>7.0999999999999994E-2</v>
      </c>
      <c r="DG82" s="202">
        <v>4.2</v>
      </c>
      <c r="DH82" s="202" t="s">
        <v>434</v>
      </c>
      <c r="DI82" s="202">
        <v>1</v>
      </c>
      <c r="DJ82" s="205">
        <f t="shared" ref="DJ82:DJ85" si="145">IF(ISNUMBER(DI82),DI82*(DK82/DI$41+DL82*(1+DM82/DI$28^0.3)),0)</f>
        <v>0.29136043165708969</v>
      </c>
      <c r="DK82" s="202">
        <v>500</v>
      </c>
      <c r="DL82" s="202">
        <v>7.0999999999999994E-2</v>
      </c>
      <c r="DM82" s="202">
        <v>4.2</v>
      </c>
      <c r="DN82" s="202" t="s">
        <v>434</v>
      </c>
    </row>
    <row r="83" spans="2:118" x14ac:dyDescent="0.35">
      <c r="B83" s="201" t="s">
        <v>448</v>
      </c>
      <c r="C83" s="13"/>
      <c r="D83" s="13"/>
      <c r="E83" s="202">
        <v>0</v>
      </c>
      <c r="F83" s="205">
        <f t="shared" si="128"/>
        <v>0</v>
      </c>
      <c r="G83" s="202">
        <v>500</v>
      </c>
      <c r="H83" s="202">
        <v>5.1999999999999998E-2</v>
      </c>
      <c r="I83" s="202">
        <v>4</v>
      </c>
      <c r="J83" s="202" t="s">
        <v>434</v>
      </c>
      <c r="K83" s="324">
        <v>0</v>
      </c>
      <c r="L83" s="205">
        <f t="shared" si="129"/>
        <v>0</v>
      </c>
      <c r="M83" s="202">
        <v>500</v>
      </c>
      <c r="N83" s="202">
        <v>5.1999999999999998E-2</v>
      </c>
      <c r="O83" s="202">
        <v>4</v>
      </c>
      <c r="P83" s="202" t="s">
        <v>434</v>
      </c>
      <c r="Q83" s="202">
        <v>0</v>
      </c>
      <c r="R83" s="205">
        <f t="shared" si="130"/>
        <v>0</v>
      </c>
      <c r="S83" s="202">
        <v>500</v>
      </c>
      <c r="T83" s="202">
        <v>5.1999999999999998E-2</v>
      </c>
      <c r="U83" s="202">
        <v>4</v>
      </c>
      <c r="V83" s="202" t="s">
        <v>434</v>
      </c>
      <c r="W83" s="202">
        <v>0</v>
      </c>
      <c r="X83" s="205">
        <f t="shared" si="131"/>
        <v>0</v>
      </c>
      <c r="Y83" s="202">
        <v>500</v>
      </c>
      <c r="Z83" s="202">
        <v>5.1999999999999998E-2</v>
      </c>
      <c r="AA83" s="202">
        <v>4</v>
      </c>
      <c r="AB83" s="202" t="s">
        <v>434</v>
      </c>
      <c r="AC83" s="202">
        <v>0</v>
      </c>
      <c r="AD83" s="205">
        <f t="shared" si="132"/>
        <v>0</v>
      </c>
      <c r="AE83" s="202">
        <v>500</v>
      </c>
      <c r="AF83" s="202">
        <v>5.1999999999999998E-2</v>
      </c>
      <c r="AG83" s="202">
        <v>4</v>
      </c>
      <c r="AH83" s="202" t="s">
        <v>434</v>
      </c>
      <c r="AI83" s="202">
        <v>0</v>
      </c>
      <c r="AJ83" s="205">
        <f t="shared" si="133"/>
        <v>0</v>
      </c>
      <c r="AK83" s="202">
        <v>500</v>
      </c>
      <c r="AL83" s="202">
        <v>5.1999999999999998E-2</v>
      </c>
      <c r="AM83" s="202">
        <v>4</v>
      </c>
      <c r="AN83" s="202" t="s">
        <v>434</v>
      </c>
      <c r="AO83" s="202">
        <v>0</v>
      </c>
      <c r="AP83" s="205">
        <f t="shared" si="134"/>
        <v>0</v>
      </c>
      <c r="AQ83" s="202">
        <v>500</v>
      </c>
      <c r="AR83" s="202">
        <v>5.1999999999999998E-2</v>
      </c>
      <c r="AS83" s="202">
        <v>4</v>
      </c>
      <c r="AT83" s="202" t="s">
        <v>434</v>
      </c>
      <c r="AU83" s="202">
        <v>0</v>
      </c>
      <c r="AV83" s="205">
        <f t="shared" si="135"/>
        <v>0</v>
      </c>
      <c r="AW83" s="202">
        <v>500</v>
      </c>
      <c r="AX83" s="202">
        <v>5.1999999999999998E-2</v>
      </c>
      <c r="AY83" s="202">
        <v>4</v>
      </c>
      <c r="AZ83" s="202" t="s">
        <v>434</v>
      </c>
      <c r="BA83" s="202">
        <v>0</v>
      </c>
      <c r="BB83" s="205">
        <f t="shared" si="136"/>
        <v>0</v>
      </c>
      <c r="BC83" s="202">
        <v>500</v>
      </c>
      <c r="BD83" s="202">
        <v>5.1999999999999998E-2</v>
      </c>
      <c r="BE83" s="202">
        <v>4</v>
      </c>
      <c r="BF83" s="202" t="s">
        <v>434</v>
      </c>
      <c r="BG83" s="202">
        <v>0</v>
      </c>
      <c r="BH83" s="205">
        <f t="shared" si="137"/>
        <v>0</v>
      </c>
      <c r="BI83" s="202">
        <v>500</v>
      </c>
      <c r="BJ83" s="202">
        <v>5.1999999999999998E-2</v>
      </c>
      <c r="BK83" s="202">
        <v>4</v>
      </c>
      <c r="BL83" s="202" t="s">
        <v>434</v>
      </c>
      <c r="BM83" s="202">
        <v>0</v>
      </c>
      <c r="BN83" s="205">
        <f t="shared" si="138"/>
        <v>0</v>
      </c>
      <c r="BO83" s="202">
        <v>500</v>
      </c>
      <c r="BP83" s="202">
        <v>5.1999999999999998E-2</v>
      </c>
      <c r="BQ83" s="202">
        <v>4</v>
      </c>
      <c r="BR83" s="202" t="s">
        <v>434</v>
      </c>
      <c r="BS83" s="202">
        <v>0</v>
      </c>
      <c r="BT83" s="205">
        <f t="shared" si="139"/>
        <v>0</v>
      </c>
      <c r="BU83" s="202">
        <v>500</v>
      </c>
      <c r="BV83" s="202">
        <v>5.1999999999999998E-2</v>
      </c>
      <c r="BW83" s="202">
        <v>4</v>
      </c>
      <c r="BX83" s="202" t="s">
        <v>434</v>
      </c>
      <c r="BY83" s="202">
        <v>0</v>
      </c>
      <c r="BZ83" s="205">
        <f t="shared" si="140"/>
        <v>0</v>
      </c>
      <c r="CA83" s="202">
        <v>500</v>
      </c>
      <c r="CB83" s="202">
        <v>5.1999999999999998E-2</v>
      </c>
      <c r="CC83" s="202">
        <v>4</v>
      </c>
      <c r="CD83" s="202" t="s">
        <v>434</v>
      </c>
      <c r="CE83" s="202">
        <v>0</v>
      </c>
      <c r="CF83" s="205">
        <f t="shared" si="141"/>
        <v>0</v>
      </c>
      <c r="CG83" s="202">
        <v>500</v>
      </c>
      <c r="CH83" s="202">
        <v>5.1999999999999998E-2</v>
      </c>
      <c r="CI83" s="202">
        <v>4</v>
      </c>
      <c r="CJ83" s="202" t="s">
        <v>434</v>
      </c>
      <c r="CK83" s="202">
        <v>0</v>
      </c>
      <c r="CL83" s="205">
        <f t="shared" si="142"/>
        <v>0</v>
      </c>
      <c r="CM83" s="202">
        <v>500</v>
      </c>
      <c r="CN83" s="202">
        <v>5.1999999999999998E-2</v>
      </c>
      <c r="CO83" s="202">
        <v>4</v>
      </c>
      <c r="CP83" s="202" t="s">
        <v>434</v>
      </c>
      <c r="CQ83" s="202">
        <v>0</v>
      </c>
      <c r="CR83" s="205">
        <f t="shared" si="143"/>
        <v>0</v>
      </c>
      <c r="CS83" s="202">
        <v>500</v>
      </c>
      <c r="CT83" s="202">
        <v>5.1999999999999998E-2</v>
      </c>
      <c r="CU83" s="202">
        <v>4</v>
      </c>
      <c r="CV83" s="202" t="s">
        <v>434</v>
      </c>
      <c r="CW83" s="202">
        <v>1</v>
      </c>
      <c r="CX83" s="205">
        <f t="shared" ref="CX83:CX86" si="146">IF(ISNUMBER(CW83),CW83*(CY83/CW$41+CZ83*(1+DA83/CW$28^0.3)),0)</f>
        <v>0.29136043165708969</v>
      </c>
      <c r="CY83" s="202">
        <v>500</v>
      </c>
      <c r="CZ83" s="202">
        <v>7.0999999999999994E-2</v>
      </c>
      <c r="DA83" s="202">
        <v>4.2</v>
      </c>
      <c r="DB83" s="202" t="s">
        <v>434</v>
      </c>
      <c r="DC83" s="202">
        <v>0</v>
      </c>
      <c r="DD83" s="205">
        <f t="shared" si="144"/>
        <v>0</v>
      </c>
      <c r="DE83" s="202">
        <v>500</v>
      </c>
      <c r="DF83" s="202">
        <v>5.1999999999999998E-2</v>
      </c>
      <c r="DG83" s="202">
        <v>4</v>
      </c>
      <c r="DH83" s="202" t="s">
        <v>434</v>
      </c>
      <c r="DI83" s="202">
        <v>0</v>
      </c>
      <c r="DJ83" s="205">
        <f t="shared" si="145"/>
        <v>0</v>
      </c>
      <c r="DK83" s="202">
        <v>500</v>
      </c>
      <c r="DL83" s="202">
        <v>5.1999999999999998E-2</v>
      </c>
      <c r="DM83" s="202">
        <v>4</v>
      </c>
      <c r="DN83" s="202" t="s">
        <v>434</v>
      </c>
    </row>
    <row r="84" spans="2:118" x14ac:dyDescent="0.35">
      <c r="B84" s="201" t="s">
        <v>449</v>
      </c>
      <c r="C84" s="13"/>
      <c r="D84" s="13"/>
      <c r="E84" s="202">
        <v>0</v>
      </c>
      <c r="F84" s="205">
        <f t="shared" si="128"/>
        <v>0</v>
      </c>
      <c r="G84" s="202">
        <v>500</v>
      </c>
      <c r="H84" s="202">
        <v>8.5999999999999993E-2</v>
      </c>
      <c r="I84" s="202">
        <v>4</v>
      </c>
      <c r="J84" s="202" t="s">
        <v>434</v>
      </c>
      <c r="K84" s="324">
        <v>0</v>
      </c>
      <c r="L84" s="205">
        <f t="shared" si="129"/>
        <v>0</v>
      </c>
      <c r="M84" s="202">
        <v>500</v>
      </c>
      <c r="N84" s="202">
        <v>8.5999999999999993E-2</v>
      </c>
      <c r="O84" s="202">
        <v>4</v>
      </c>
      <c r="P84" s="202" t="s">
        <v>434</v>
      </c>
      <c r="Q84" s="202">
        <v>0</v>
      </c>
      <c r="R84" s="205">
        <f t="shared" si="130"/>
        <v>0</v>
      </c>
      <c r="S84" s="202">
        <v>500</v>
      </c>
      <c r="T84" s="202">
        <v>8.5999999999999993E-2</v>
      </c>
      <c r="U84" s="202">
        <v>4</v>
      </c>
      <c r="V84" s="202" t="s">
        <v>434</v>
      </c>
      <c r="W84" s="202">
        <v>0</v>
      </c>
      <c r="X84" s="205">
        <f t="shared" si="131"/>
        <v>0</v>
      </c>
      <c r="Y84" s="202">
        <v>500</v>
      </c>
      <c r="Z84" s="202">
        <v>8.5999999999999993E-2</v>
      </c>
      <c r="AA84" s="202">
        <v>4</v>
      </c>
      <c r="AB84" s="202" t="s">
        <v>434</v>
      </c>
      <c r="AC84" s="202">
        <v>0</v>
      </c>
      <c r="AD84" s="205">
        <f t="shared" si="132"/>
        <v>0</v>
      </c>
      <c r="AE84" s="202">
        <v>500</v>
      </c>
      <c r="AF84" s="202">
        <v>8.5999999999999993E-2</v>
      </c>
      <c r="AG84" s="202">
        <v>4</v>
      </c>
      <c r="AH84" s="202" t="s">
        <v>434</v>
      </c>
      <c r="AI84" s="202">
        <v>0</v>
      </c>
      <c r="AJ84" s="205">
        <f t="shared" si="133"/>
        <v>0</v>
      </c>
      <c r="AK84" s="202">
        <v>500</v>
      </c>
      <c r="AL84" s="202">
        <v>8.5999999999999993E-2</v>
      </c>
      <c r="AM84" s="202">
        <v>4</v>
      </c>
      <c r="AN84" s="202" t="s">
        <v>434</v>
      </c>
      <c r="AO84" s="202">
        <v>0</v>
      </c>
      <c r="AP84" s="205">
        <f t="shared" si="134"/>
        <v>0</v>
      </c>
      <c r="AQ84" s="202">
        <v>500</v>
      </c>
      <c r="AR84" s="202">
        <v>8.5999999999999993E-2</v>
      </c>
      <c r="AS84" s="202">
        <v>4</v>
      </c>
      <c r="AT84" s="202" t="s">
        <v>434</v>
      </c>
      <c r="AU84" s="202">
        <v>0</v>
      </c>
      <c r="AV84" s="205">
        <f t="shared" si="135"/>
        <v>0</v>
      </c>
      <c r="AW84" s="202">
        <v>500</v>
      </c>
      <c r="AX84" s="202">
        <v>8.5999999999999993E-2</v>
      </c>
      <c r="AY84" s="202">
        <v>4</v>
      </c>
      <c r="AZ84" s="202" t="s">
        <v>434</v>
      </c>
      <c r="BA84" s="202">
        <v>0</v>
      </c>
      <c r="BB84" s="205">
        <f t="shared" si="136"/>
        <v>0</v>
      </c>
      <c r="BC84" s="202">
        <v>500</v>
      </c>
      <c r="BD84" s="202">
        <v>8.5999999999999993E-2</v>
      </c>
      <c r="BE84" s="202">
        <v>4</v>
      </c>
      <c r="BF84" s="202" t="s">
        <v>434</v>
      </c>
      <c r="BG84" s="202">
        <v>0</v>
      </c>
      <c r="BH84" s="205">
        <f t="shared" si="137"/>
        <v>0</v>
      </c>
      <c r="BI84" s="202">
        <v>500</v>
      </c>
      <c r="BJ84" s="202">
        <v>8.5999999999999993E-2</v>
      </c>
      <c r="BK84" s="202">
        <v>4</v>
      </c>
      <c r="BL84" s="202" t="s">
        <v>434</v>
      </c>
      <c r="BM84" s="202">
        <v>0</v>
      </c>
      <c r="BN84" s="205">
        <f t="shared" si="138"/>
        <v>0</v>
      </c>
      <c r="BO84" s="202">
        <v>500</v>
      </c>
      <c r="BP84" s="202">
        <v>8.5999999999999993E-2</v>
      </c>
      <c r="BQ84" s="202">
        <v>4</v>
      </c>
      <c r="BR84" s="202" t="s">
        <v>434</v>
      </c>
      <c r="BS84" s="202">
        <v>0</v>
      </c>
      <c r="BT84" s="205">
        <f t="shared" si="139"/>
        <v>0</v>
      </c>
      <c r="BU84" s="202">
        <v>500</v>
      </c>
      <c r="BV84" s="202">
        <v>8.5999999999999993E-2</v>
      </c>
      <c r="BW84" s="202">
        <v>4</v>
      </c>
      <c r="BX84" s="202" t="s">
        <v>434</v>
      </c>
      <c r="BY84" s="202">
        <v>0</v>
      </c>
      <c r="BZ84" s="205">
        <f t="shared" si="140"/>
        <v>0</v>
      </c>
      <c r="CA84" s="202">
        <v>500</v>
      </c>
      <c r="CB84" s="202">
        <v>8.5999999999999993E-2</v>
      </c>
      <c r="CC84" s="202">
        <v>4</v>
      </c>
      <c r="CD84" s="202" t="s">
        <v>434</v>
      </c>
      <c r="CE84" s="202">
        <v>0</v>
      </c>
      <c r="CF84" s="205">
        <f t="shared" si="141"/>
        <v>0</v>
      </c>
      <c r="CG84" s="202">
        <v>500</v>
      </c>
      <c r="CH84" s="202">
        <v>8.5999999999999993E-2</v>
      </c>
      <c r="CI84" s="202">
        <v>4</v>
      </c>
      <c r="CJ84" s="202" t="s">
        <v>434</v>
      </c>
      <c r="CK84" s="202">
        <v>0</v>
      </c>
      <c r="CL84" s="205">
        <f t="shared" si="142"/>
        <v>0</v>
      </c>
      <c r="CM84" s="202">
        <v>500</v>
      </c>
      <c r="CN84" s="202">
        <v>8.5999999999999993E-2</v>
      </c>
      <c r="CO84" s="202">
        <v>4</v>
      </c>
      <c r="CP84" s="202" t="s">
        <v>434</v>
      </c>
      <c r="CQ84" s="202">
        <v>0</v>
      </c>
      <c r="CR84" s="205">
        <f t="shared" si="143"/>
        <v>0</v>
      </c>
      <c r="CS84" s="202">
        <v>500</v>
      </c>
      <c r="CT84" s="202">
        <v>8.5999999999999993E-2</v>
      </c>
      <c r="CU84" s="202">
        <v>4</v>
      </c>
      <c r="CV84" s="202" t="s">
        <v>434</v>
      </c>
      <c r="CW84" s="202">
        <v>0</v>
      </c>
      <c r="CX84" s="205">
        <f t="shared" si="146"/>
        <v>0</v>
      </c>
      <c r="CY84" s="202">
        <v>500</v>
      </c>
      <c r="CZ84" s="202">
        <v>5.1999999999999998E-2</v>
      </c>
      <c r="DA84" s="202">
        <v>4</v>
      </c>
      <c r="DB84" s="202" t="s">
        <v>434</v>
      </c>
      <c r="DC84" s="202">
        <v>0</v>
      </c>
      <c r="DD84" s="205">
        <f t="shared" si="144"/>
        <v>0</v>
      </c>
      <c r="DE84" s="202">
        <v>500</v>
      </c>
      <c r="DF84" s="202">
        <v>8.5999999999999993E-2</v>
      </c>
      <c r="DG84" s="202">
        <v>4</v>
      </c>
      <c r="DH84" s="202" t="s">
        <v>434</v>
      </c>
      <c r="DI84" s="202">
        <v>0</v>
      </c>
      <c r="DJ84" s="205">
        <f t="shared" si="145"/>
        <v>0</v>
      </c>
      <c r="DK84" s="202">
        <v>500</v>
      </c>
      <c r="DL84" s="202">
        <v>8.5999999999999993E-2</v>
      </c>
      <c r="DM84" s="202">
        <v>4</v>
      </c>
      <c r="DN84" s="202" t="s">
        <v>434</v>
      </c>
    </row>
    <row r="85" spans="2:118" x14ac:dyDescent="0.35">
      <c r="B85" s="201" t="s">
        <v>450</v>
      </c>
      <c r="C85" s="201"/>
      <c r="D85" s="201"/>
      <c r="E85" s="202">
        <v>0</v>
      </c>
      <c r="F85" s="205">
        <f t="shared" si="128"/>
        <v>0</v>
      </c>
      <c r="G85" s="202">
        <v>500</v>
      </c>
      <c r="H85" s="202">
        <v>5.1999999999999998E-2</v>
      </c>
      <c r="I85" s="202">
        <v>4</v>
      </c>
      <c r="J85" s="202" t="s">
        <v>434</v>
      </c>
      <c r="K85" s="324">
        <v>0</v>
      </c>
      <c r="L85" s="205">
        <f t="shared" si="129"/>
        <v>0</v>
      </c>
      <c r="M85" s="202">
        <v>500</v>
      </c>
      <c r="N85" s="202">
        <v>5.1999999999999998E-2</v>
      </c>
      <c r="O85" s="202">
        <v>4</v>
      </c>
      <c r="P85" s="202" t="s">
        <v>434</v>
      </c>
      <c r="Q85" s="202">
        <v>0</v>
      </c>
      <c r="R85" s="205">
        <f t="shared" si="130"/>
        <v>0</v>
      </c>
      <c r="S85" s="202">
        <v>500</v>
      </c>
      <c r="T85" s="202">
        <v>5.1999999999999998E-2</v>
      </c>
      <c r="U85" s="202">
        <v>4</v>
      </c>
      <c r="V85" s="202" t="s">
        <v>434</v>
      </c>
      <c r="W85" s="202">
        <v>0</v>
      </c>
      <c r="X85" s="205">
        <f t="shared" si="131"/>
        <v>0</v>
      </c>
      <c r="Y85" s="202">
        <v>500</v>
      </c>
      <c r="Z85" s="202">
        <v>5.1999999999999998E-2</v>
      </c>
      <c r="AA85" s="202">
        <v>4</v>
      </c>
      <c r="AB85" s="202" t="s">
        <v>434</v>
      </c>
      <c r="AC85" s="202">
        <v>0</v>
      </c>
      <c r="AD85" s="205">
        <f t="shared" si="132"/>
        <v>0</v>
      </c>
      <c r="AE85" s="202">
        <v>500</v>
      </c>
      <c r="AF85" s="202">
        <v>5.1999999999999998E-2</v>
      </c>
      <c r="AG85" s="202">
        <v>4</v>
      </c>
      <c r="AH85" s="202" t="s">
        <v>434</v>
      </c>
      <c r="AI85" s="202">
        <v>0</v>
      </c>
      <c r="AJ85" s="205">
        <f t="shared" si="133"/>
        <v>0</v>
      </c>
      <c r="AK85" s="202">
        <v>500</v>
      </c>
      <c r="AL85" s="202">
        <v>5.1999999999999998E-2</v>
      </c>
      <c r="AM85" s="202">
        <v>4</v>
      </c>
      <c r="AN85" s="202" t="s">
        <v>434</v>
      </c>
      <c r="AO85" s="202">
        <v>0</v>
      </c>
      <c r="AP85" s="205">
        <f t="shared" si="134"/>
        <v>0</v>
      </c>
      <c r="AQ85" s="202">
        <v>500</v>
      </c>
      <c r="AR85" s="202">
        <v>5.1999999999999998E-2</v>
      </c>
      <c r="AS85" s="202">
        <v>4</v>
      </c>
      <c r="AT85" s="202" t="s">
        <v>434</v>
      </c>
      <c r="AU85" s="202">
        <v>0</v>
      </c>
      <c r="AV85" s="205">
        <f t="shared" si="135"/>
        <v>0</v>
      </c>
      <c r="AW85" s="202">
        <v>500</v>
      </c>
      <c r="AX85" s="202">
        <v>5.1999999999999998E-2</v>
      </c>
      <c r="AY85" s="202">
        <v>4</v>
      </c>
      <c r="AZ85" s="202" t="s">
        <v>434</v>
      </c>
      <c r="BA85" s="202">
        <v>0</v>
      </c>
      <c r="BB85" s="205">
        <f t="shared" si="136"/>
        <v>0</v>
      </c>
      <c r="BC85" s="202">
        <v>500</v>
      </c>
      <c r="BD85" s="202">
        <v>5.1999999999999998E-2</v>
      </c>
      <c r="BE85" s="202">
        <v>4</v>
      </c>
      <c r="BF85" s="202" t="s">
        <v>434</v>
      </c>
      <c r="BG85" s="202">
        <v>0</v>
      </c>
      <c r="BH85" s="205">
        <f t="shared" si="137"/>
        <v>0</v>
      </c>
      <c r="BI85" s="202">
        <v>500</v>
      </c>
      <c r="BJ85" s="202">
        <v>5.1999999999999998E-2</v>
      </c>
      <c r="BK85" s="202">
        <v>4</v>
      </c>
      <c r="BL85" s="202" t="s">
        <v>434</v>
      </c>
      <c r="BM85" s="202">
        <v>0</v>
      </c>
      <c r="BN85" s="205">
        <f t="shared" si="138"/>
        <v>0</v>
      </c>
      <c r="BO85" s="202">
        <v>500</v>
      </c>
      <c r="BP85" s="202">
        <v>5.1999999999999998E-2</v>
      </c>
      <c r="BQ85" s="202">
        <v>4</v>
      </c>
      <c r="BR85" s="202" t="s">
        <v>434</v>
      </c>
      <c r="BS85" s="202">
        <v>0</v>
      </c>
      <c r="BT85" s="205">
        <f t="shared" si="139"/>
        <v>0</v>
      </c>
      <c r="BU85" s="202">
        <v>500</v>
      </c>
      <c r="BV85" s="202">
        <v>5.1999999999999998E-2</v>
      </c>
      <c r="BW85" s="202">
        <v>4</v>
      </c>
      <c r="BX85" s="202" t="s">
        <v>434</v>
      </c>
      <c r="BY85" s="202">
        <v>0</v>
      </c>
      <c r="BZ85" s="205">
        <f t="shared" si="140"/>
        <v>0</v>
      </c>
      <c r="CA85" s="202">
        <v>500</v>
      </c>
      <c r="CB85" s="202">
        <v>5.1999999999999998E-2</v>
      </c>
      <c r="CC85" s="202">
        <v>4</v>
      </c>
      <c r="CD85" s="202" t="s">
        <v>434</v>
      </c>
      <c r="CE85" s="202">
        <v>0</v>
      </c>
      <c r="CF85" s="205">
        <f t="shared" si="141"/>
        <v>0</v>
      </c>
      <c r="CG85" s="202">
        <v>500</v>
      </c>
      <c r="CH85" s="202">
        <v>5.1999999999999998E-2</v>
      </c>
      <c r="CI85" s="202">
        <v>4</v>
      </c>
      <c r="CJ85" s="202" t="s">
        <v>434</v>
      </c>
      <c r="CK85" s="202">
        <v>0</v>
      </c>
      <c r="CL85" s="205">
        <f t="shared" si="142"/>
        <v>0</v>
      </c>
      <c r="CM85" s="202">
        <v>500</v>
      </c>
      <c r="CN85" s="202">
        <v>5.1999999999999998E-2</v>
      </c>
      <c r="CO85" s="202">
        <v>4</v>
      </c>
      <c r="CP85" s="202" t="s">
        <v>434</v>
      </c>
      <c r="CQ85" s="202">
        <v>0</v>
      </c>
      <c r="CR85" s="205">
        <f t="shared" si="143"/>
        <v>0</v>
      </c>
      <c r="CS85" s="202">
        <v>500</v>
      </c>
      <c r="CT85" s="202">
        <v>5.1999999999999998E-2</v>
      </c>
      <c r="CU85" s="202">
        <v>4</v>
      </c>
      <c r="CV85" s="202" t="s">
        <v>434</v>
      </c>
      <c r="CW85" s="202">
        <v>0</v>
      </c>
      <c r="CX85" s="205">
        <f t="shared" si="146"/>
        <v>0</v>
      </c>
      <c r="CY85" s="202">
        <v>500</v>
      </c>
      <c r="CZ85" s="202">
        <v>8.5999999999999993E-2</v>
      </c>
      <c r="DA85" s="202">
        <v>4</v>
      </c>
      <c r="DB85" s="202" t="s">
        <v>434</v>
      </c>
      <c r="DC85" s="202">
        <v>0</v>
      </c>
      <c r="DD85" s="205">
        <f t="shared" si="144"/>
        <v>0</v>
      </c>
      <c r="DE85" s="202">
        <v>500</v>
      </c>
      <c r="DF85" s="202">
        <v>5.1999999999999998E-2</v>
      </c>
      <c r="DG85" s="202">
        <v>4</v>
      </c>
      <c r="DH85" s="202" t="s">
        <v>434</v>
      </c>
      <c r="DI85" s="202">
        <v>0</v>
      </c>
      <c r="DJ85" s="205">
        <f t="shared" si="145"/>
        <v>0</v>
      </c>
      <c r="DK85" s="202">
        <v>500</v>
      </c>
      <c r="DL85" s="202">
        <v>5.1999999999999998E-2</v>
      </c>
      <c r="DM85" s="202">
        <v>4</v>
      </c>
      <c r="DN85" s="202" t="s">
        <v>434</v>
      </c>
    </row>
    <row r="86" spans="2:118" x14ac:dyDescent="0.35">
      <c r="B86" s="203" t="s">
        <v>451</v>
      </c>
      <c r="C86" s="203"/>
      <c r="D86" s="203"/>
      <c r="E86" s="204"/>
      <c r="F86" s="203"/>
      <c r="G86" s="203"/>
      <c r="H86" s="203"/>
      <c r="I86" s="203"/>
      <c r="J86" s="203"/>
      <c r="K86" s="204"/>
      <c r="L86" s="203"/>
      <c r="M86" s="203"/>
      <c r="N86" s="203"/>
      <c r="O86" s="203"/>
      <c r="P86" s="203"/>
      <c r="Q86" s="204"/>
      <c r="R86" s="203"/>
      <c r="S86" s="203"/>
      <c r="T86" s="203"/>
      <c r="U86" s="203"/>
      <c r="V86" s="203"/>
      <c r="W86" s="204"/>
      <c r="X86" s="203"/>
      <c r="Y86" s="203"/>
      <c r="Z86" s="203"/>
      <c r="AA86" s="203"/>
      <c r="AB86" s="203"/>
      <c r="AC86" s="204"/>
      <c r="AD86" s="203"/>
      <c r="AE86" s="203"/>
      <c r="AF86" s="203"/>
      <c r="AG86" s="203"/>
      <c r="AH86" s="203"/>
      <c r="AI86" s="204"/>
      <c r="AJ86" s="203"/>
      <c r="AK86" s="203"/>
      <c r="AL86" s="203"/>
      <c r="AM86" s="203"/>
      <c r="AN86" s="203"/>
      <c r="AO86" s="204"/>
      <c r="AP86" s="203"/>
      <c r="AQ86" s="203"/>
      <c r="AR86" s="203"/>
      <c r="AS86" s="203"/>
      <c r="AT86" s="203"/>
      <c r="AU86" s="204"/>
      <c r="AV86" s="203"/>
      <c r="AW86" s="203"/>
      <c r="AX86" s="203"/>
      <c r="AY86" s="203"/>
      <c r="AZ86" s="203"/>
      <c r="BA86" s="204"/>
      <c r="BB86" s="203"/>
      <c r="BC86" s="203"/>
      <c r="BD86" s="203"/>
      <c r="BE86" s="203"/>
      <c r="BF86" s="203"/>
      <c r="BG86" s="204"/>
      <c r="BH86" s="203"/>
      <c r="BI86" s="203"/>
      <c r="BJ86" s="203"/>
      <c r="BK86" s="203"/>
      <c r="BL86" s="203"/>
      <c r="BM86" s="204"/>
      <c r="BN86" s="203"/>
      <c r="BO86" s="203"/>
      <c r="BP86" s="203"/>
      <c r="BQ86" s="203"/>
      <c r="BR86" s="203"/>
      <c r="BS86" s="204"/>
      <c r="BT86" s="203"/>
      <c r="BU86" s="203"/>
      <c r="BV86" s="203"/>
      <c r="BW86" s="203"/>
      <c r="BX86" s="203"/>
      <c r="BY86" s="204"/>
      <c r="BZ86" s="203"/>
      <c r="CA86" s="203"/>
      <c r="CB86" s="203"/>
      <c r="CC86" s="203"/>
      <c r="CD86" s="203"/>
      <c r="CE86" s="204"/>
      <c r="CF86" s="203"/>
      <c r="CG86" s="203"/>
      <c r="CH86" s="203"/>
      <c r="CI86" s="203"/>
      <c r="CJ86" s="203"/>
      <c r="CK86" s="204"/>
      <c r="CL86" s="203"/>
      <c r="CM86" s="203"/>
      <c r="CN86" s="203"/>
      <c r="CO86" s="203"/>
      <c r="CP86" s="203"/>
      <c r="CQ86" s="204"/>
      <c r="CR86" s="203"/>
      <c r="CS86" s="203"/>
      <c r="CT86" s="203"/>
      <c r="CU86" s="203"/>
      <c r="CV86" s="203"/>
      <c r="CW86" s="202">
        <v>0</v>
      </c>
      <c r="CX86" s="205">
        <f t="shared" si="146"/>
        <v>0</v>
      </c>
      <c r="CY86" s="202">
        <v>500</v>
      </c>
      <c r="CZ86" s="202">
        <v>5.1999999999999998E-2</v>
      </c>
      <c r="DA86" s="202">
        <v>4</v>
      </c>
      <c r="DB86" s="202" t="s">
        <v>434</v>
      </c>
      <c r="DC86" s="204"/>
      <c r="DD86" s="203"/>
      <c r="DE86" s="203"/>
      <c r="DF86" s="203"/>
      <c r="DG86" s="203"/>
      <c r="DH86" s="203"/>
      <c r="DI86" s="204"/>
      <c r="DJ86" s="203"/>
      <c r="DK86" s="203"/>
      <c r="DL86" s="203"/>
      <c r="DM86" s="203"/>
      <c r="DN86" s="203"/>
    </row>
    <row r="87" spans="2:118" x14ac:dyDescent="0.35">
      <c r="B87" s="201" t="s">
        <v>433</v>
      </c>
      <c r="C87" s="13"/>
      <c r="D87" s="13"/>
      <c r="E87" s="202">
        <v>0</v>
      </c>
      <c r="F87" s="205">
        <f t="shared" si="128"/>
        <v>0</v>
      </c>
      <c r="G87" s="202">
        <v>1000</v>
      </c>
      <c r="H87" s="202">
        <v>0.23</v>
      </c>
      <c r="I87" s="202">
        <v>4</v>
      </c>
      <c r="J87" s="202" t="s">
        <v>434</v>
      </c>
      <c r="K87" s="324">
        <v>1</v>
      </c>
      <c r="L87" s="205">
        <f t="shared" ref="L87:L89" si="147">IF(ISNUMBER(K87),K87*(M87/K$41+N87*(1+O87/K$28^0.3)),0)</f>
        <v>0.77646877166232575</v>
      </c>
      <c r="M87" s="202">
        <v>1000</v>
      </c>
      <c r="N87" s="202">
        <v>0.23</v>
      </c>
      <c r="O87" s="202">
        <v>4</v>
      </c>
      <c r="P87" s="202" t="s">
        <v>434</v>
      </c>
      <c r="Q87" s="202">
        <v>1</v>
      </c>
      <c r="R87" s="205">
        <f t="shared" ref="R87:R89" si="148">IF(ISNUMBER(Q87),Q87*(S87/Q$41+T87*(1+U87/Q$28^0.3)),0)</f>
        <v>0.77646877166232575</v>
      </c>
      <c r="S87" s="202">
        <v>1000</v>
      </c>
      <c r="T87" s="202">
        <v>0.23</v>
      </c>
      <c r="U87" s="202">
        <v>4</v>
      </c>
      <c r="V87" s="202" t="s">
        <v>434</v>
      </c>
      <c r="W87" s="202">
        <v>1</v>
      </c>
      <c r="X87" s="205">
        <f t="shared" ref="X87:X89" si="149">IF(ISNUMBER(W87),W87*(Y87/W$41+Z87*(1+AA87/W$28^0.3)),0)</f>
        <v>0.77236948524801663</v>
      </c>
      <c r="Y87" s="202">
        <v>1000</v>
      </c>
      <c r="Z87" s="202">
        <v>0.23</v>
      </c>
      <c r="AA87" s="202">
        <v>4</v>
      </c>
      <c r="AB87" s="202" t="s">
        <v>434</v>
      </c>
      <c r="AC87" s="202">
        <v>1</v>
      </c>
      <c r="AD87" s="205">
        <f t="shared" ref="AD87:AD89" si="150">IF(ISNUMBER(AC87),AC87*(AE87/AC$41+AF87*(1+AG87/AC$28^0.3)),0)</f>
        <v>0.84023563404005353</v>
      </c>
      <c r="AE87" s="202">
        <v>1000</v>
      </c>
      <c r="AF87" s="202">
        <v>0.23</v>
      </c>
      <c r="AG87" s="202">
        <v>4</v>
      </c>
      <c r="AH87" s="202" t="s">
        <v>434</v>
      </c>
      <c r="AI87" s="202">
        <v>1</v>
      </c>
      <c r="AJ87" s="205">
        <f t="shared" ref="AJ87:AJ89" si="151">IF(ISNUMBER(AI87),AI87*(AK87/AI$41+AL87*(1+AM87/AI$28^0.3)),0)</f>
        <v>0.84023563404005353</v>
      </c>
      <c r="AK87" s="202">
        <v>1000</v>
      </c>
      <c r="AL87" s="202">
        <v>0.23</v>
      </c>
      <c r="AM87" s="202">
        <v>4</v>
      </c>
      <c r="AN87" s="202" t="s">
        <v>434</v>
      </c>
      <c r="AO87" s="202">
        <v>1</v>
      </c>
      <c r="AP87" s="205">
        <f t="shared" ref="AP87:AP89" si="152">IF(ISNUMBER(AO87),AO87*(AQ87/AO$41+AR87*(1+AS87/AO$28^0.3)),0)</f>
        <v>0.84023563404005353</v>
      </c>
      <c r="AQ87" s="202">
        <v>1000</v>
      </c>
      <c r="AR87" s="202">
        <v>0.23</v>
      </c>
      <c r="AS87" s="202">
        <v>4</v>
      </c>
      <c r="AT87" s="202" t="s">
        <v>434</v>
      </c>
      <c r="AU87" s="202">
        <v>1</v>
      </c>
      <c r="AV87" s="205">
        <f t="shared" ref="AV87:AV89" si="153">IF(ISNUMBER(AU87),AU87*(AW87/AU$41+AX87*(1+AY87/AU$28^0.3)),0)</f>
        <v>0.84023657599709856</v>
      </c>
      <c r="AW87" s="202">
        <v>1000</v>
      </c>
      <c r="AX87" s="202">
        <v>0.23</v>
      </c>
      <c r="AY87" s="202">
        <v>4</v>
      </c>
      <c r="AZ87" s="202" t="s">
        <v>434</v>
      </c>
      <c r="BA87" s="202">
        <v>1</v>
      </c>
      <c r="BB87" s="205">
        <f t="shared" ref="BB87:BB89" si="154">IF(ISNUMBER(BA87),BA87*(BC87/BA$41+BD87*(1+BE87/BA$28^0.3)),0)</f>
        <v>0.84023657599709856</v>
      </c>
      <c r="BC87" s="202">
        <v>1000</v>
      </c>
      <c r="BD87" s="202">
        <v>0.23</v>
      </c>
      <c r="BE87" s="202">
        <v>4</v>
      </c>
      <c r="BF87" s="202" t="s">
        <v>434</v>
      </c>
      <c r="BG87" s="202">
        <v>1</v>
      </c>
      <c r="BH87" s="205">
        <f t="shared" ref="BH87:BH89" si="155">IF(ISNUMBER(BG87),BG87*(BI87/BG$41+BJ87*(1+BK87/BG$28^0.3)),0)</f>
        <v>0.84023657599709856</v>
      </c>
      <c r="BI87" s="202">
        <v>1000</v>
      </c>
      <c r="BJ87" s="202">
        <v>0.23</v>
      </c>
      <c r="BK87" s="202">
        <v>4</v>
      </c>
      <c r="BL87" s="202" t="s">
        <v>434</v>
      </c>
      <c r="BM87" s="202">
        <v>1</v>
      </c>
      <c r="BN87" s="205">
        <f t="shared" ref="BN87:BN89" si="156">IF(ISNUMBER(BM87),BM87*(BO87/BM$41+BP87*(1+BQ87/BM$28^0.3)),0)</f>
        <v>0.74173841971949905</v>
      </c>
      <c r="BO87" s="202">
        <v>1000</v>
      </c>
      <c r="BP87" s="202">
        <v>0.23</v>
      </c>
      <c r="BQ87" s="202">
        <v>4</v>
      </c>
      <c r="BR87" s="202" t="s">
        <v>434</v>
      </c>
      <c r="BS87" s="202">
        <v>1</v>
      </c>
      <c r="BT87" s="205">
        <f t="shared" ref="BT87:BT89" si="157">IF(ISNUMBER(BS87),BS87*(BU87/BS$41+BV87*(1+BW87/BS$28^0.3)),0)</f>
        <v>0.7372339914212912</v>
      </c>
      <c r="BU87" s="202">
        <v>1000</v>
      </c>
      <c r="BV87" s="202">
        <v>0.23</v>
      </c>
      <c r="BW87" s="202">
        <v>4</v>
      </c>
      <c r="BX87" s="202" t="s">
        <v>434</v>
      </c>
      <c r="BY87" s="202">
        <v>1</v>
      </c>
      <c r="BZ87" s="205">
        <f t="shared" ref="BZ87:BZ89" si="158">IF(ISNUMBER(BY87),BY87*(CA87/BY$41+CB87*(1+CC87/BY$28^0.3)),0)</f>
        <v>0.84414598174257627</v>
      </c>
      <c r="CA87" s="202">
        <v>1000</v>
      </c>
      <c r="CB87" s="202">
        <v>0.23</v>
      </c>
      <c r="CC87" s="202">
        <v>4</v>
      </c>
      <c r="CD87" s="202" t="s">
        <v>434</v>
      </c>
      <c r="CE87" s="202">
        <v>1</v>
      </c>
      <c r="CF87" s="205">
        <f t="shared" ref="CF87:CF89" si="159">IF(ISNUMBER(CE87),CE87*(CG87/CE$41+CH87*(1+CI87/CE$28^0.3)),0)</f>
        <v>0.84414598174257627</v>
      </c>
      <c r="CG87" s="202">
        <v>1000</v>
      </c>
      <c r="CH87" s="202">
        <v>0.23</v>
      </c>
      <c r="CI87" s="202">
        <v>4</v>
      </c>
      <c r="CJ87" s="202" t="s">
        <v>434</v>
      </c>
      <c r="CK87" s="202">
        <v>1</v>
      </c>
      <c r="CL87" s="205">
        <f t="shared" ref="CL87:CL89" si="160">IF(ISNUMBER(CK87),CK87*(CM87/CK$41+CN87*(1+CO87/CK$28^0.3)),0)</f>
        <v>0.90346145631410568</v>
      </c>
      <c r="CM87" s="202">
        <v>1000</v>
      </c>
      <c r="CN87" s="202">
        <v>0.23</v>
      </c>
      <c r="CO87" s="202">
        <v>4</v>
      </c>
      <c r="CP87" s="202" t="s">
        <v>434</v>
      </c>
      <c r="CQ87" s="202">
        <v>1</v>
      </c>
      <c r="CR87" s="205">
        <f t="shared" ref="CR87:CR89" si="161">IF(ISNUMBER(CQ87),CQ87*(CS87/CQ$41+CT87*(1+CU87/CQ$28^0.3)),0)</f>
        <v>0.90346145631410568</v>
      </c>
      <c r="CS87" s="202">
        <v>1000</v>
      </c>
      <c r="CT87" s="202">
        <v>0.23</v>
      </c>
      <c r="CU87" s="202">
        <v>4</v>
      </c>
      <c r="CV87" s="202" t="s">
        <v>434</v>
      </c>
      <c r="CW87" s="204"/>
      <c r="CX87" s="203"/>
      <c r="CY87" s="203"/>
      <c r="CZ87" s="203"/>
      <c r="DA87" s="203"/>
      <c r="DB87" s="203"/>
      <c r="DC87" s="202">
        <v>1</v>
      </c>
      <c r="DD87" s="205">
        <f t="shared" ref="DD87:DD89" si="162">IF(ISNUMBER(DC87),DC87*(DE87/DC$41+DF87*(1+DG87/DC$28^0.3)),0)</f>
        <v>0.90346145631410568</v>
      </c>
      <c r="DE87" s="202">
        <v>1000</v>
      </c>
      <c r="DF87" s="202">
        <v>0.23</v>
      </c>
      <c r="DG87" s="202">
        <v>4</v>
      </c>
      <c r="DH87" s="202" t="s">
        <v>434</v>
      </c>
      <c r="DI87" s="202">
        <v>1</v>
      </c>
      <c r="DJ87" s="205">
        <f t="shared" ref="DJ87:DJ89" si="163">IF(ISNUMBER(DI87),DI87*(DK87/DI$41+DL87*(1+DM87/DI$28^0.3)),0)</f>
        <v>0.90346145631410568</v>
      </c>
      <c r="DK87" s="202">
        <v>1000</v>
      </c>
      <c r="DL87" s="202">
        <v>0.23</v>
      </c>
      <c r="DM87" s="202">
        <v>4</v>
      </c>
      <c r="DN87" s="202" t="s">
        <v>434</v>
      </c>
    </row>
    <row r="88" spans="2:118" x14ac:dyDescent="0.35">
      <c r="B88" s="201" t="s">
        <v>452</v>
      </c>
      <c r="C88" s="13"/>
      <c r="D88" s="13"/>
      <c r="E88" s="202">
        <v>0</v>
      </c>
      <c r="F88" s="205">
        <f t="shared" si="128"/>
        <v>0</v>
      </c>
      <c r="G88" s="202">
        <v>1000</v>
      </c>
      <c r="H88" s="202">
        <v>0.12</v>
      </c>
      <c r="I88" s="202">
        <v>4</v>
      </c>
      <c r="J88" s="202" t="s">
        <v>434</v>
      </c>
      <c r="K88" s="324">
        <v>0</v>
      </c>
      <c r="L88" s="205">
        <f t="shared" si="147"/>
        <v>0</v>
      </c>
      <c r="M88" s="202">
        <v>1000</v>
      </c>
      <c r="N88" s="202">
        <v>0.12</v>
      </c>
      <c r="O88" s="202">
        <v>4</v>
      </c>
      <c r="P88" s="202" t="s">
        <v>434</v>
      </c>
      <c r="Q88" s="202">
        <v>0</v>
      </c>
      <c r="R88" s="205">
        <f t="shared" si="148"/>
        <v>0</v>
      </c>
      <c r="S88" s="202">
        <v>1000</v>
      </c>
      <c r="T88" s="202">
        <v>0.12</v>
      </c>
      <c r="U88" s="202">
        <v>4</v>
      </c>
      <c r="V88" s="202" t="s">
        <v>434</v>
      </c>
      <c r="W88" s="202">
        <v>0</v>
      </c>
      <c r="X88" s="205">
        <f t="shared" si="149"/>
        <v>0</v>
      </c>
      <c r="Y88" s="202">
        <v>1000</v>
      </c>
      <c r="Z88" s="202">
        <v>0.12</v>
      </c>
      <c r="AA88" s="202">
        <v>4</v>
      </c>
      <c r="AB88" s="202" t="s">
        <v>434</v>
      </c>
      <c r="AC88" s="202">
        <v>0</v>
      </c>
      <c r="AD88" s="205">
        <f t="shared" si="150"/>
        <v>0</v>
      </c>
      <c r="AE88" s="202">
        <v>1000</v>
      </c>
      <c r="AF88" s="202">
        <v>0.12</v>
      </c>
      <c r="AG88" s="202">
        <v>4</v>
      </c>
      <c r="AH88" s="202" t="s">
        <v>434</v>
      </c>
      <c r="AI88" s="202">
        <v>0</v>
      </c>
      <c r="AJ88" s="205">
        <f t="shared" si="151"/>
        <v>0</v>
      </c>
      <c r="AK88" s="202">
        <v>1000</v>
      </c>
      <c r="AL88" s="202">
        <v>0.12</v>
      </c>
      <c r="AM88" s="202">
        <v>4</v>
      </c>
      <c r="AN88" s="202" t="s">
        <v>434</v>
      </c>
      <c r="AO88" s="202">
        <v>0</v>
      </c>
      <c r="AP88" s="205">
        <f t="shared" si="152"/>
        <v>0</v>
      </c>
      <c r="AQ88" s="202">
        <v>1000</v>
      </c>
      <c r="AR88" s="202">
        <v>0.12</v>
      </c>
      <c r="AS88" s="202">
        <v>4</v>
      </c>
      <c r="AT88" s="202" t="s">
        <v>434</v>
      </c>
      <c r="AU88" s="202">
        <v>0</v>
      </c>
      <c r="AV88" s="205">
        <f t="shared" si="153"/>
        <v>0</v>
      </c>
      <c r="AW88" s="202">
        <v>1000</v>
      </c>
      <c r="AX88" s="202">
        <v>0.12</v>
      </c>
      <c r="AY88" s="202">
        <v>4</v>
      </c>
      <c r="AZ88" s="202" t="s">
        <v>434</v>
      </c>
      <c r="BA88" s="202">
        <v>0</v>
      </c>
      <c r="BB88" s="205">
        <f t="shared" si="154"/>
        <v>0</v>
      </c>
      <c r="BC88" s="202">
        <v>1000</v>
      </c>
      <c r="BD88" s="202">
        <v>0.12</v>
      </c>
      <c r="BE88" s="202">
        <v>4</v>
      </c>
      <c r="BF88" s="202" t="s">
        <v>434</v>
      </c>
      <c r="BG88" s="202">
        <v>0</v>
      </c>
      <c r="BH88" s="205">
        <f t="shared" si="155"/>
        <v>0</v>
      </c>
      <c r="BI88" s="202">
        <v>1000</v>
      </c>
      <c r="BJ88" s="202">
        <v>0.12</v>
      </c>
      <c r="BK88" s="202">
        <v>4</v>
      </c>
      <c r="BL88" s="202" t="s">
        <v>434</v>
      </c>
      <c r="BM88" s="202">
        <v>0</v>
      </c>
      <c r="BN88" s="205">
        <f t="shared" si="156"/>
        <v>0</v>
      </c>
      <c r="BO88" s="202">
        <v>1000</v>
      </c>
      <c r="BP88" s="202">
        <v>0.12</v>
      </c>
      <c r="BQ88" s="202">
        <v>4</v>
      </c>
      <c r="BR88" s="202" t="s">
        <v>434</v>
      </c>
      <c r="BS88" s="202">
        <v>0</v>
      </c>
      <c r="BT88" s="205">
        <f t="shared" si="157"/>
        <v>0</v>
      </c>
      <c r="BU88" s="202">
        <v>1000</v>
      </c>
      <c r="BV88" s="202">
        <v>0.12</v>
      </c>
      <c r="BW88" s="202">
        <v>4</v>
      </c>
      <c r="BX88" s="202" t="s">
        <v>434</v>
      </c>
      <c r="BY88" s="202">
        <v>0</v>
      </c>
      <c r="BZ88" s="205">
        <f t="shared" si="158"/>
        <v>0</v>
      </c>
      <c r="CA88" s="202">
        <v>1000</v>
      </c>
      <c r="CB88" s="202">
        <v>0.12</v>
      </c>
      <c r="CC88" s="202">
        <v>4</v>
      </c>
      <c r="CD88" s="202" t="s">
        <v>434</v>
      </c>
      <c r="CE88" s="202">
        <v>0</v>
      </c>
      <c r="CF88" s="205">
        <f t="shared" si="159"/>
        <v>0</v>
      </c>
      <c r="CG88" s="202">
        <v>1000</v>
      </c>
      <c r="CH88" s="202">
        <v>0.12</v>
      </c>
      <c r="CI88" s="202">
        <v>4</v>
      </c>
      <c r="CJ88" s="202" t="s">
        <v>434</v>
      </c>
      <c r="CK88" s="202">
        <v>0</v>
      </c>
      <c r="CL88" s="205">
        <f t="shared" si="160"/>
        <v>0</v>
      </c>
      <c r="CM88" s="202">
        <v>1000</v>
      </c>
      <c r="CN88" s="202">
        <v>0.12</v>
      </c>
      <c r="CO88" s="202">
        <v>4</v>
      </c>
      <c r="CP88" s="202" t="s">
        <v>434</v>
      </c>
      <c r="CQ88" s="202">
        <v>0</v>
      </c>
      <c r="CR88" s="205">
        <f t="shared" si="161"/>
        <v>0</v>
      </c>
      <c r="CS88" s="202">
        <v>1000</v>
      </c>
      <c r="CT88" s="202">
        <v>0.12</v>
      </c>
      <c r="CU88" s="202">
        <v>4</v>
      </c>
      <c r="CV88" s="202" t="s">
        <v>434</v>
      </c>
      <c r="CW88" s="202">
        <v>1</v>
      </c>
      <c r="CX88" s="205">
        <f t="shared" ref="CX88:CX90" si="164">IF(ISNUMBER(CW88),CW88*(CY88/CW$41+CZ88*(1+DA88/CW$28^0.3)),0)</f>
        <v>0.90346145631410568</v>
      </c>
      <c r="CY88" s="202">
        <v>1000</v>
      </c>
      <c r="CZ88" s="202">
        <v>0.23</v>
      </c>
      <c r="DA88" s="202">
        <v>4</v>
      </c>
      <c r="DB88" s="202" t="s">
        <v>434</v>
      </c>
      <c r="DC88" s="202">
        <v>0</v>
      </c>
      <c r="DD88" s="205">
        <f t="shared" si="162"/>
        <v>0</v>
      </c>
      <c r="DE88" s="202">
        <v>1000</v>
      </c>
      <c r="DF88" s="202">
        <v>0.12</v>
      </c>
      <c r="DG88" s="202">
        <v>4</v>
      </c>
      <c r="DH88" s="202" t="s">
        <v>434</v>
      </c>
      <c r="DI88" s="202">
        <v>0</v>
      </c>
      <c r="DJ88" s="205">
        <f t="shared" si="163"/>
        <v>0</v>
      </c>
      <c r="DK88" s="202">
        <v>1000</v>
      </c>
      <c r="DL88" s="202">
        <v>0.12</v>
      </c>
      <c r="DM88" s="202">
        <v>4</v>
      </c>
      <c r="DN88" s="202" t="s">
        <v>434</v>
      </c>
    </row>
    <row r="89" spans="2:118" x14ac:dyDescent="0.35">
      <c r="B89" s="201" t="s">
        <v>448</v>
      </c>
      <c r="C89" s="201"/>
      <c r="D89" s="201"/>
      <c r="E89" s="202">
        <v>0</v>
      </c>
      <c r="F89" s="205">
        <f t="shared" si="128"/>
        <v>0</v>
      </c>
      <c r="G89" s="202">
        <v>1000</v>
      </c>
      <c r="H89" s="202">
        <v>0.1</v>
      </c>
      <c r="I89" s="202">
        <v>4</v>
      </c>
      <c r="J89" s="202" t="s">
        <v>434</v>
      </c>
      <c r="K89" s="324">
        <v>0</v>
      </c>
      <c r="L89" s="205">
        <f t="shared" si="147"/>
        <v>0</v>
      </c>
      <c r="M89" s="202">
        <v>1000</v>
      </c>
      <c r="N89" s="202">
        <v>0.1</v>
      </c>
      <c r="O89" s="202">
        <v>4</v>
      </c>
      <c r="P89" s="202" t="s">
        <v>434</v>
      </c>
      <c r="Q89" s="202">
        <v>0</v>
      </c>
      <c r="R89" s="205">
        <f t="shared" si="148"/>
        <v>0</v>
      </c>
      <c r="S89" s="202">
        <v>1000</v>
      </c>
      <c r="T89" s="202">
        <v>0.1</v>
      </c>
      <c r="U89" s="202">
        <v>4</v>
      </c>
      <c r="V89" s="202" t="s">
        <v>434</v>
      </c>
      <c r="W89" s="202">
        <v>0</v>
      </c>
      <c r="X89" s="205">
        <f t="shared" si="149"/>
        <v>0</v>
      </c>
      <c r="Y89" s="202">
        <v>1000</v>
      </c>
      <c r="Z89" s="202">
        <v>0.1</v>
      </c>
      <c r="AA89" s="202">
        <v>4</v>
      </c>
      <c r="AB89" s="202" t="s">
        <v>434</v>
      </c>
      <c r="AC89" s="202">
        <v>0</v>
      </c>
      <c r="AD89" s="205">
        <f t="shared" si="150"/>
        <v>0</v>
      </c>
      <c r="AE89" s="202">
        <v>1000</v>
      </c>
      <c r="AF89" s="202">
        <v>0.1</v>
      </c>
      <c r="AG89" s="202">
        <v>4</v>
      </c>
      <c r="AH89" s="202" t="s">
        <v>434</v>
      </c>
      <c r="AI89" s="202">
        <v>0</v>
      </c>
      <c r="AJ89" s="205">
        <f t="shared" si="151"/>
        <v>0</v>
      </c>
      <c r="AK89" s="202">
        <v>1000</v>
      </c>
      <c r="AL89" s="202">
        <v>0.1</v>
      </c>
      <c r="AM89" s="202">
        <v>4</v>
      </c>
      <c r="AN89" s="202" t="s">
        <v>434</v>
      </c>
      <c r="AO89" s="202">
        <v>0</v>
      </c>
      <c r="AP89" s="205">
        <f t="shared" si="152"/>
        <v>0</v>
      </c>
      <c r="AQ89" s="202">
        <v>1000</v>
      </c>
      <c r="AR89" s="202">
        <v>0.1</v>
      </c>
      <c r="AS89" s="202">
        <v>4</v>
      </c>
      <c r="AT89" s="202" t="s">
        <v>434</v>
      </c>
      <c r="AU89" s="202">
        <v>0</v>
      </c>
      <c r="AV89" s="205">
        <f t="shared" si="153"/>
        <v>0</v>
      </c>
      <c r="AW89" s="202">
        <v>1000</v>
      </c>
      <c r="AX89" s="202">
        <v>0.1</v>
      </c>
      <c r="AY89" s="202">
        <v>4</v>
      </c>
      <c r="AZ89" s="202" t="s">
        <v>434</v>
      </c>
      <c r="BA89" s="202">
        <v>0</v>
      </c>
      <c r="BB89" s="205">
        <f t="shared" si="154"/>
        <v>0</v>
      </c>
      <c r="BC89" s="202">
        <v>1000</v>
      </c>
      <c r="BD89" s="202">
        <v>0.1</v>
      </c>
      <c r="BE89" s="202">
        <v>4</v>
      </c>
      <c r="BF89" s="202" t="s">
        <v>434</v>
      </c>
      <c r="BG89" s="202">
        <v>0</v>
      </c>
      <c r="BH89" s="205">
        <f t="shared" si="155"/>
        <v>0</v>
      </c>
      <c r="BI89" s="202">
        <v>1000</v>
      </c>
      <c r="BJ89" s="202">
        <v>0.1</v>
      </c>
      <c r="BK89" s="202">
        <v>4</v>
      </c>
      <c r="BL89" s="202" t="s">
        <v>434</v>
      </c>
      <c r="BM89" s="202">
        <v>0</v>
      </c>
      <c r="BN89" s="205">
        <f t="shared" si="156"/>
        <v>0</v>
      </c>
      <c r="BO89" s="202">
        <v>1000</v>
      </c>
      <c r="BP89" s="202">
        <v>0.1</v>
      </c>
      <c r="BQ89" s="202">
        <v>4</v>
      </c>
      <c r="BR89" s="202" t="s">
        <v>434</v>
      </c>
      <c r="BS89" s="202">
        <v>0</v>
      </c>
      <c r="BT89" s="205">
        <f t="shared" si="157"/>
        <v>0</v>
      </c>
      <c r="BU89" s="202">
        <v>1000</v>
      </c>
      <c r="BV89" s="202">
        <v>0.1</v>
      </c>
      <c r="BW89" s="202">
        <v>4</v>
      </c>
      <c r="BX89" s="202" t="s">
        <v>434</v>
      </c>
      <c r="BY89" s="202">
        <v>0</v>
      </c>
      <c r="BZ89" s="205">
        <f t="shared" si="158"/>
        <v>0</v>
      </c>
      <c r="CA89" s="202">
        <v>1000</v>
      </c>
      <c r="CB89" s="202">
        <v>0.1</v>
      </c>
      <c r="CC89" s="202">
        <v>4</v>
      </c>
      <c r="CD89" s="202" t="s">
        <v>434</v>
      </c>
      <c r="CE89" s="202">
        <v>0</v>
      </c>
      <c r="CF89" s="205">
        <f t="shared" si="159"/>
        <v>0</v>
      </c>
      <c r="CG89" s="202">
        <v>1000</v>
      </c>
      <c r="CH89" s="202">
        <v>0.1</v>
      </c>
      <c r="CI89" s="202">
        <v>4</v>
      </c>
      <c r="CJ89" s="202" t="s">
        <v>434</v>
      </c>
      <c r="CK89" s="202">
        <v>0</v>
      </c>
      <c r="CL89" s="205">
        <f t="shared" si="160"/>
        <v>0</v>
      </c>
      <c r="CM89" s="202">
        <v>1000</v>
      </c>
      <c r="CN89" s="202">
        <v>0.1</v>
      </c>
      <c r="CO89" s="202">
        <v>4</v>
      </c>
      <c r="CP89" s="202" t="s">
        <v>434</v>
      </c>
      <c r="CQ89" s="202">
        <v>0</v>
      </c>
      <c r="CR89" s="205">
        <f t="shared" si="161"/>
        <v>0</v>
      </c>
      <c r="CS89" s="202">
        <v>1000</v>
      </c>
      <c r="CT89" s="202">
        <v>0.1</v>
      </c>
      <c r="CU89" s="202">
        <v>4</v>
      </c>
      <c r="CV89" s="202" t="s">
        <v>434</v>
      </c>
      <c r="CW89" s="202">
        <v>0</v>
      </c>
      <c r="CX89" s="205">
        <f t="shared" si="164"/>
        <v>0</v>
      </c>
      <c r="CY89" s="202">
        <v>1000</v>
      </c>
      <c r="CZ89" s="202">
        <v>0.12</v>
      </c>
      <c r="DA89" s="202">
        <v>4</v>
      </c>
      <c r="DB89" s="202" t="s">
        <v>434</v>
      </c>
      <c r="DC89" s="202">
        <v>0</v>
      </c>
      <c r="DD89" s="205">
        <f t="shared" si="162"/>
        <v>0</v>
      </c>
      <c r="DE89" s="202">
        <v>1000</v>
      </c>
      <c r="DF89" s="202">
        <v>0.1</v>
      </c>
      <c r="DG89" s="202">
        <v>4</v>
      </c>
      <c r="DH89" s="202" t="s">
        <v>434</v>
      </c>
      <c r="DI89" s="202">
        <v>0</v>
      </c>
      <c r="DJ89" s="205">
        <f t="shared" si="163"/>
        <v>0</v>
      </c>
      <c r="DK89" s="202">
        <v>1000</v>
      </c>
      <c r="DL89" s="202">
        <v>0.1</v>
      </c>
      <c r="DM89" s="202">
        <v>4</v>
      </c>
      <c r="DN89" s="202" t="s">
        <v>434</v>
      </c>
    </row>
    <row r="90" spans="2:118" x14ac:dyDescent="0.35">
      <c r="B90" s="203" t="s">
        <v>453</v>
      </c>
      <c r="C90" s="203"/>
      <c r="D90" s="203"/>
      <c r="E90" s="204"/>
      <c r="F90" s="203"/>
      <c r="G90" s="203"/>
      <c r="H90" s="203"/>
      <c r="I90" s="203"/>
      <c r="J90" s="203"/>
      <c r="K90" s="204"/>
      <c r="L90" s="203"/>
      <c r="M90" s="203"/>
      <c r="N90" s="203"/>
      <c r="O90" s="203"/>
      <c r="P90" s="203"/>
      <c r="Q90" s="204"/>
      <c r="R90" s="203"/>
      <c r="S90" s="203"/>
      <c r="T90" s="203"/>
      <c r="U90" s="203"/>
      <c r="V90" s="203"/>
      <c r="W90" s="204"/>
      <c r="X90" s="203"/>
      <c r="Y90" s="203"/>
      <c r="Z90" s="203"/>
      <c r="AA90" s="203"/>
      <c r="AB90" s="203"/>
      <c r="AC90" s="204"/>
      <c r="AD90" s="203"/>
      <c r="AE90" s="203"/>
      <c r="AF90" s="203"/>
      <c r="AG90" s="203"/>
      <c r="AH90" s="203"/>
      <c r="AI90" s="204"/>
      <c r="AJ90" s="203"/>
      <c r="AK90" s="203"/>
      <c r="AL90" s="203"/>
      <c r="AM90" s="203"/>
      <c r="AN90" s="203"/>
      <c r="AO90" s="204"/>
      <c r="AP90" s="203"/>
      <c r="AQ90" s="203"/>
      <c r="AR90" s="203"/>
      <c r="AS90" s="203"/>
      <c r="AT90" s="203"/>
      <c r="AU90" s="204"/>
      <c r="AV90" s="203"/>
      <c r="AW90" s="203"/>
      <c r="AX90" s="203"/>
      <c r="AY90" s="203"/>
      <c r="AZ90" s="203"/>
      <c r="BA90" s="204"/>
      <c r="BB90" s="203"/>
      <c r="BC90" s="203"/>
      <c r="BD90" s="203"/>
      <c r="BE90" s="203"/>
      <c r="BF90" s="203"/>
      <c r="BG90" s="204"/>
      <c r="BH90" s="203"/>
      <c r="BI90" s="203"/>
      <c r="BJ90" s="203"/>
      <c r="BK90" s="203"/>
      <c r="BL90" s="203"/>
      <c r="BM90" s="204"/>
      <c r="BN90" s="203"/>
      <c r="BO90" s="203"/>
      <c r="BP90" s="203"/>
      <c r="BQ90" s="203"/>
      <c r="BR90" s="203"/>
      <c r="BS90" s="204"/>
      <c r="BT90" s="203"/>
      <c r="BU90" s="203"/>
      <c r="BV90" s="203"/>
      <c r="BW90" s="203"/>
      <c r="BX90" s="203"/>
      <c r="BY90" s="204"/>
      <c r="BZ90" s="203"/>
      <c r="CA90" s="203"/>
      <c r="CB90" s="203"/>
      <c r="CC90" s="203"/>
      <c r="CD90" s="203"/>
      <c r="CE90" s="204"/>
      <c r="CF90" s="203"/>
      <c r="CG90" s="203"/>
      <c r="CH90" s="203"/>
      <c r="CI90" s="203"/>
      <c r="CJ90" s="203"/>
      <c r="CK90" s="204"/>
      <c r="CL90" s="203"/>
      <c r="CM90" s="203"/>
      <c r="CN90" s="203"/>
      <c r="CO90" s="203"/>
      <c r="CP90" s="203"/>
      <c r="CQ90" s="204"/>
      <c r="CR90" s="203"/>
      <c r="CS90" s="203"/>
      <c r="CT90" s="203"/>
      <c r="CU90" s="203"/>
      <c r="CV90" s="203"/>
      <c r="CW90" s="202">
        <v>0</v>
      </c>
      <c r="CX90" s="205">
        <f t="shared" si="164"/>
        <v>0</v>
      </c>
      <c r="CY90" s="202">
        <v>1000</v>
      </c>
      <c r="CZ90" s="202">
        <v>0.1</v>
      </c>
      <c r="DA90" s="202">
        <v>4</v>
      </c>
      <c r="DB90" s="202" t="s">
        <v>434</v>
      </c>
      <c r="DC90" s="204"/>
      <c r="DD90" s="203"/>
      <c r="DE90" s="203"/>
      <c r="DF90" s="203"/>
      <c r="DG90" s="203"/>
      <c r="DH90" s="203"/>
      <c r="DI90" s="204"/>
      <c r="DJ90" s="203"/>
      <c r="DK90" s="203"/>
      <c r="DL90" s="203"/>
      <c r="DM90" s="203"/>
      <c r="DN90" s="203"/>
    </row>
    <row r="91" spans="2:118" x14ac:dyDescent="0.35">
      <c r="B91" s="201" t="s">
        <v>454</v>
      </c>
      <c r="C91" s="13"/>
      <c r="D91" s="13"/>
      <c r="E91" s="202">
        <v>0</v>
      </c>
      <c r="F91" s="205">
        <f t="shared" si="128"/>
        <v>0</v>
      </c>
      <c r="G91" s="202">
        <v>500</v>
      </c>
      <c r="H91" s="202">
        <v>0.27400000000000002</v>
      </c>
      <c r="I91" s="202">
        <v>4</v>
      </c>
      <c r="J91" s="202" t="s">
        <v>434</v>
      </c>
      <c r="K91" s="202">
        <v>1</v>
      </c>
      <c r="L91" s="205">
        <f t="shared" ref="L91:L97" si="165">IF(ISNUMBER(K91),K91*(M91/K$41+N91*(1+O91/K$28^0.3)),0)</f>
        <v>0.91877965899032532</v>
      </c>
      <c r="M91" s="202">
        <v>500</v>
      </c>
      <c r="N91" s="202">
        <v>0.27400000000000002</v>
      </c>
      <c r="O91" s="202">
        <v>4</v>
      </c>
      <c r="P91" s="202" t="s">
        <v>434</v>
      </c>
      <c r="Q91" s="202">
        <v>1</v>
      </c>
      <c r="R91" s="205">
        <f t="shared" ref="R91:R97" si="166">IF(ISNUMBER(Q91),Q91*(S91/Q$41+T91*(1+U91/Q$28^0.3)),0)</f>
        <v>0.91877965899032532</v>
      </c>
      <c r="S91" s="202">
        <v>500</v>
      </c>
      <c r="T91" s="202">
        <v>0.27400000000000002</v>
      </c>
      <c r="U91" s="202">
        <v>4</v>
      </c>
      <c r="V91" s="202" t="s">
        <v>434</v>
      </c>
      <c r="W91" s="202">
        <v>1</v>
      </c>
      <c r="X91" s="205">
        <f t="shared" ref="X91:X97" si="167">IF(ISNUMBER(W91),W91*(Y91/W$41+Z91*(1+AA91/W$28^0.3)),0)</f>
        <v>0.91673001578317082</v>
      </c>
      <c r="Y91" s="202">
        <v>500</v>
      </c>
      <c r="Z91" s="202">
        <v>0.27400000000000002</v>
      </c>
      <c r="AA91" s="202">
        <v>4</v>
      </c>
      <c r="AB91" s="202" t="s">
        <v>434</v>
      </c>
      <c r="AC91" s="202">
        <v>1</v>
      </c>
      <c r="AD91" s="205">
        <f t="shared" ref="AD91:AD97" si="168">IF(ISNUMBER(AC91),AC91*(AE91/AC$41+AF91*(1+AG91/AC$28^0.3)),0)</f>
        <v>0.9987213326458072</v>
      </c>
      <c r="AE91" s="202">
        <v>500</v>
      </c>
      <c r="AF91" s="202">
        <v>0.27400000000000002</v>
      </c>
      <c r="AG91" s="202">
        <v>4</v>
      </c>
      <c r="AH91" s="202" t="s">
        <v>434</v>
      </c>
      <c r="AI91" s="202">
        <v>1</v>
      </c>
      <c r="AJ91" s="205">
        <f t="shared" ref="AJ91:AJ97" si="169">IF(ISNUMBER(AI91),AI91*(AK91/AI$41+AL91*(1+AM91/AI$28^0.3)),0)</f>
        <v>0.9987213326458072</v>
      </c>
      <c r="AK91" s="202">
        <v>500</v>
      </c>
      <c r="AL91" s="202">
        <v>0.27400000000000002</v>
      </c>
      <c r="AM91" s="202">
        <v>4</v>
      </c>
      <c r="AN91" s="202" t="s">
        <v>434</v>
      </c>
      <c r="AO91" s="202">
        <v>1</v>
      </c>
      <c r="AP91" s="205">
        <f t="shared" ref="AP91:AP97" si="170">IF(ISNUMBER(AO91),AO91*(AQ91/AO$41+AR91*(1+AS91/AO$28^0.3)),0)</f>
        <v>0.9987213326458072</v>
      </c>
      <c r="AQ91" s="202">
        <v>500</v>
      </c>
      <c r="AR91" s="202">
        <v>0.27400000000000002</v>
      </c>
      <c r="AS91" s="202">
        <v>4</v>
      </c>
      <c r="AT91" s="202" t="s">
        <v>434</v>
      </c>
      <c r="AU91" s="202">
        <v>1</v>
      </c>
      <c r="AV91" s="205">
        <f t="shared" ref="AV91:AV97" si="171">IF(ISNUMBER(AU91),AU91*(AW91/AU$41+AX91*(1+AY91/AU$28^0.3)),0)</f>
        <v>0.99872180362432972</v>
      </c>
      <c r="AW91" s="202">
        <v>500</v>
      </c>
      <c r="AX91" s="202">
        <v>0.27400000000000002</v>
      </c>
      <c r="AY91" s="202">
        <v>4</v>
      </c>
      <c r="AZ91" s="202" t="s">
        <v>434</v>
      </c>
      <c r="BA91" s="202">
        <v>1</v>
      </c>
      <c r="BB91" s="205">
        <f t="shared" ref="BB91:BB97" si="172">IF(ISNUMBER(BA91),BA91*(BC91/BA$41+BD91*(1+BE91/BA$28^0.3)),0)</f>
        <v>0.99872180362432972</v>
      </c>
      <c r="BC91" s="202">
        <v>500</v>
      </c>
      <c r="BD91" s="202">
        <v>0.27400000000000002</v>
      </c>
      <c r="BE91" s="202">
        <v>4</v>
      </c>
      <c r="BF91" s="202" t="s">
        <v>434</v>
      </c>
      <c r="BG91" s="202">
        <v>1</v>
      </c>
      <c r="BH91" s="205">
        <f t="shared" ref="BH91:BH97" si="173">IF(ISNUMBER(BG91),BG91*(BI91/BG$41+BJ91*(1+BK91/BG$28^0.3)),0)</f>
        <v>0.99872180362432972</v>
      </c>
      <c r="BI91" s="202">
        <v>500</v>
      </c>
      <c r="BJ91" s="202">
        <v>0.27400000000000002</v>
      </c>
      <c r="BK91" s="202">
        <v>4</v>
      </c>
      <c r="BL91" s="202" t="s">
        <v>434</v>
      </c>
      <c r="BM91" s="202">
        <v>1</v>
      </c>
      <c r="BN91" s="205">
        <f t="shared" ref="BN91:BN97" si="174">IF(ISNUMBER(BM91),BM91*(BO91/BM$41+BP91*(1+BQ91/BM$28^0.3)),0)</f>
        <v>0.87069317094629073</v>
      </c>
      <c r="BO91" s="202">
        <v>500</v>
      </c>
      <c r="BP91" s="202">
        <v>0.27400000000000002</v>
      </c>
      <c r="BQ91" s="202">
        <v>4</v>
      </c>
      <c r="BR91" s="202" t="s">
        <v>434</v>
      </c>
      <c r="BS91" s="202">
        <v>1</v>
      </c>
      <c r="BT91" s="205">
        <f t="shared" ref="BT91:BT97" si="175">IF(ISNUMBER(BS91),BS91*(BU91/BS$41+BV91*(1+BW91/BS$28^0.3)),0)</f>
        <v>0.8684409567971868</v>
      </c>
      <c r="BU91" s="202">
        <v>500</v>
      </c>
      <c r="BV91" s="202">
        <v>0.27400000000000002</v>
      </c>
      <c r="BW91" s="202">
        <v>4</v>
      </c>
      <c r="BX91" s="202" t="s">
        <v>434</v>
      </c>
      <c r="BY91" s="202">
        <v>1</v>
      </c>
      <c r="BZ91" s="205">
        <f t="shared" ref="BZ91:BZ97" si="176">IF(ISNUMBER(BY91),BY91*(CA91/BY$41+CB91*(1+CC91/BY$28^0.3)),0)</f>
        <v>1.0006765064970686</v>
      </c>
      <c r="CA91" s="202">
        <v>500</v>
      </c>
      <c r="CB91" s="202">
        <v>0.27400000000000002</v>
      </c>
      <c r="CC91" s="202">
        <v>4</v>
      </c>
      <c r="CD91" s="202" t="s">
        <v>434</v>
      </c>
      <c r="CE91" s="202">
        <v>1</v>
      </c>
      <c r="CF91" s="205">
        <f t="shared" ref="CF91:CF97" si="177">IF(ISNUMBER(CE91),CE91*(CG91/CE$41+CH91*(1+CI91/CE$28^0.3)),0)</f>
        <v>1.0006765064970686</v>
      </c>
      <c r="CG91" s="202">
        <v>500</v>
      </c>
      <c r="CH91" s="202">
        <v>0.27400000000000002</v>
      </c>
      <c r="CI91" s="202">
        <v>4</v>
      </c>
      <c r="CJ91" s="202" t="s">
        <v>434</v>
      </c>
      <c r="CK91" s="202">
        <v>1</v>
      </c>
      <c r="CL91" s="205">
        <f t="shared" ref="CL91:CL97" si="178">IF(ISNUMBER(CK91),CK91*(CM91/CK$41+CN91*(1+CO91/CK$28^0.3)),0)</f>
        <v>1.0681566155116666</v>
      </c>
      <c r="CM91" s="202">
        <v>500</v>
      </c>
      <c r="CN91" s="202">
        <v>0.27400000000000002</v>
      </c>
      <c r="CO91" s="202">
        <v>4</v>
      </c>
      <c r="CP91" s="202" t="s">
        <v>434</v>
      </c>
      <c r="CQ91" s="202">
        <v>1</v>
      </c>
      <c r="CR91" s="205">
        <f t="shared" ref="CR91:CR97" si="179">IF(ISNUMBER(CQ91),CQ91*(CS91/CQ$41+CT91*(1+CU91/CQ$28^0.3)),0)</f>
        <v>1.0681566155116666</v>
      </c>
      <c r="CS91" s="202">
        <v>500</v>
      </c>
      <c r="CT91" s="202">
        <v>0.27400000000000002</v>
      </c>
      <c r="CU91" s="202">
        <v>4</v>
      </c>
      <c r="CV91" s="202" t="s">
        <v>434</v>
      </c>
      <c r="CW91" s="204"/>
      <c r="CX91" s="203"/>
      <c r="CY91" s="203"/>
      <c r="CZ91" s="203"/>
      <c r="DA91" s="203"/>
      <c r="DB91" s="203"/>
      <c r="DC91" s="202">
        <v>1</v>
      </c>
      <c r="DD91" s="205">
        <f t="shared" ref="DD91:DD97" si="180">IF(ISNUMBER(DC91),DC91*(DE91/DC$41+DF91*(1+DG91/DC$28^0.3)),0)</f>
        <v>1.0681566155116666</v>
      </c>
      <c r="DE91" s="202">
        <v>500</v>
      </c>
      <c r="DF91" s="202">
        <v>0.27400000000000002</v>
      </c>
      <c r="DG91" s="202">
        <v>4</v>
      </c>
      <c r="DH91" s="202" t="s">
        <v>434</v>
      </c>
      <c r="DI91" s="202">
        <v>1</v>
      </c>
      <c r="DJ91" s="205">
        <f t="shared" ref="DJ91:DJ97" si="181">IF(ISNUMBER(DI91),DI91*(DK91/DI$41+DL91*(1+DM91/DI$28^0.3)),0)</f>
        <v>1.0681566155116666</v>
      </c>
      <c r="DK91" s="202">
        <v>500</v>
      </c>
      <c r="DL91" s="202">
        <v>0.27400000000000002</v>
      </c>
      <c r="DM91" s="202">
        <v>4</v>
      </c>
      <c r="DN91" s="202" t="s">
        <v>434</v>
      </c>
    </row>
    <row r="92" spans="2:118" x14ac:dyDescent="0.35">
      <c r="B92" s="201" t="s">
        <v>455</v>
      </c>
      <c r="C92" s="13"/>
      <c r="D92" s="13"/>
      <c r="E92" s="202">
        <v>0</v>
      </c>
      <c r="F92" s="205">
        <f t="shared" si="128"/>
        <v>0</v>
      </c>
      <c r="G92" s="202">
        <v>800</v>
      </c>
      <c r="H92" s="202">
        <v>0.14000000000000001</v>
      </c>
      <c r="I92" s="202">
        <v>4</v>
      </c>
      <c r="J92" s="202" t="s">
        <v>434</v>
      </c>
      <c r="K92" s="202">
        <v>0</v>
      </c>
      <c r="L92" s="205">
        <f t="shared" si="165"/>
        <v>0</v>
      </c>
      <c r="M92" s="202">
        <v>800</v>
      </c>
      <c r="N92" s="202">
        <v>0.14000000000000001</v>
      </c>
      <c r="O92" s="202">
        <v>4</v>
      </c>
      <c r="P92" s="202" t="s">
        <v>434</v>
      </c>
      <c r="Q92" s="202">
        <v>0</v>
      </c>
      <c r="R92" s="205">
        <f t="shared" si="166"/>
        <v>0</v>
      </c>
      <c r="S92" s="202">
        <v>800</v>
      </c>
      <c r="T92" s="202">
        <v>0.14000000000000001</v>
      </c>
      <c r="U92" s="202">
        <v>4</v>
      </c>
      <c r="V92" s="202" t="s">
        <v>434</v>
      </c>
      <c r="W92" s="202">
        <v>0</v>
      </c>
      <c r="X92" s="205">
        <f t="shared" si="167"/>
        <v>0</v>
      </c>
      <c r="Y92" s="202">
        <v>800</v>
      </c>
      <c r="Z92" s="202">
        <v>0.14000000000000001</v>
      </c>
      <c r="AA92" s="202">
        <v>4</v>
      </c>
      <c r="AB92" s="202" t="s">
        <v>434</v>
      </c>
      <c r="AC92" s="202">
        <v>0</v>
      </c>
      <c r="AD92" s="205">
        <f t="shared" si="168"/>
        <v>0</v>
      </c>
      <c r="AE92" s="202">
        <v>800</v>
      </c>
      <c r="AF92" s="202">
        <v>0.14000000000000001</v>
      </c>
      <c r="AG92" s="202">
        <v>4</v>
      </c>
      <c r="AH92" s="202" t="s">
        <v>434</v>
      </c>
      <c r="AI92" s="202">
        <v>0</v>
      </c>
      <c r="AJ92" s="205">
        <f t="shared" si="169"/>
        <v>0</v>
      </c>
      <c r="AK92" s="202">
        <v>800</v>
      </c>
      <c r="AL92" s="202">
        <v>0.14000000000000001</v>
      </c>
      <c r="AM92" s="202">
        <v>4</v>
      </c>
      <c r="AN92" s="202" t="s">
        <v>434</v>
      </c>
      <c r="AO92" s="202">
        <v>0</v>
      </c>
      <c r="AP92" s="205">
        <f t="shared" si="170"/>
        <v>0</v>
      </c>
      <c r="AQ92" s="202">
        <v>800</v>
      </c>
      <c r="AR92" s="202">
        <v>0.14000000000000001</v>
      </c>
      <c r="AS92" s="202">
        <v>4</v>
      </c>
      <c r="AT92" s="202" t="s">
        <v>434</v>
      </c>
      <c r="AU92" s="202">
        <v>0</v>
      </c>
      <c r="AV92" s="205">
        <f t="shared" si="171"/>
        <v>0</v>
      </c>
      <c r="AW92" s="202">
        <v>800</v>
      </c>
      <c r="AX92" s="202">
        <v>0.14000000000000001</v>
      </c>
      <c r="AY92" s="202">
        <v>4</v>
      </c>
      <c r="AZ92" s="202" t="s">
        <v>434</v>
      </c>
      <c r="BA92" s="202">
        <v>0</v>
      </c>
      <c r="BB92" s="205">
        <f t="shared" si="172"/>
        <v>0</v>
      </c>
      <c r="BC92" s="202">
        <v>800</v>
      </c>
      <c r="BD92" s="202">
        <v>0.14000000000000001</v>
      </c>
      <c r="BE92" s="202">
        <v>4</v>
      </c>
      <c r="BF92" s="202" t="s">
        <v>434</v>
      </c>
      <c r="BG92" s="202">
        <v>0</v>
      </c>
      <c r="BH92" s="205">
        <f t="shared" si="173"/>
        <v>0</v>
      </c>
      <c r="BI92" s="202">
        <v>800</v>
      </c>
      <c r="BJ92" s="202">
        <v>0.14000000000000001</v>
      </c>
      <c r="BK92" s="202">
        <v>4</v>
      </c>
      <c r="BL92" s="202" t="s">
        <v>434</v>
      </c>
      <c r="BM92" s="202">
        <v>0</v>
      </c>
      <c r="BN92" s="205">
        <f t="shared" si="174"/>
        <v>0</v>
      </c>
      <c r="BO92" s="202">
        <v>800</v>
      </c>
      <c r="BP92" s="202">
        <v>0.14000000000000001</v>
      </c>
      <c r="BQ92" s="202">
        <v>4</v>
      </c>
      <c r="BR92" s="202" t="s">
        <v>434</v>
      </c>
      <c r="BS92" s="202">
        <v>0</v>
      </c>
      <c r="BT92" s="205">
        <f t="shared" si="175"/>
        <v>0</v>
      </c>
      <c r="BU92" s="202">
        <v>800</v>
      </c>
      <c r="BV92" s="202">
        <v>0.14000000000000001</v>
      </c>
      <c r="BW92" s="202">
        <v>4</v>
      </c>
      <c r="BX92" s="202" t="s">
        <v>434</v>
      </c>
      <c r="BY92" s="202">
        <v>0</v>
      </c>
      <c r="BZ92" s="205">
        <f t="shared" si="176"/>
        <v>0</v>
      </c>
      <c r="CA92" s="202">
        <v>800</v>
      </c>
      <c r="CB92" s="202">
        <v>0.14000000000000001</v>
      </c>
      <c r="CC92" s="202">
        <v>4</v>
      </c>
      <c r="CD92" s="202" t="s">
        <v>434</v>
      </c>
      <c r="CE92" s="202">
        <v>0</v>
      </c>
      <c r="CF92" s="205">
        <f t="shared" si="177"/>
        <v>0</v>
      </c>
      <c r="CG92" s="202">
        <v>800</v>
      </c>
      <c r="CH92" s="202">
        <v>0.14000000000000001</v>
      </c>
      <c r="CI92" s="202">
        <v>4</v>
      </c>
      <c r="CJ92" s="202" t="s">
        <v>434</v>
      </c>
      <c r="CK92" s="202">
        <v>0</v>
      </c>
      <c r="CL92" s="205">
        <f t="shared" si="178"/>
        <v>0</v>
      </c>
      <c r="CM92" s="202">
        <v>800</v>
      </c>
      <c r="CN92" s="202">
        <v>0.14000000000000001</v>
      </c>
      <c r="CO92" s="202">
        <v>4</v>
      </c>
      <c r="CP92" s="202" t="s">
        <v>434</v>
      </c>
      <c r="CQ92" s="202">
        <v>0</v>
      </c>
      <c r="CR92" s="205">
        <f t="shared" si="179"/>
        <v>0</v>
      </c>
      <c r="CS92" s="202">
        <v>800</v>
      </c>
      <c r="CT92" s="202">
        <v>0.14000000000000001</v>
      </c>
      <c r="CU92" s="202">
        <v>4</v>
      </c>
      <c r="CV92" s="202" t="s">
        <v>434</v>
      </c>
      <c r="CW92" s="202">
        <v>1</v>
      </c>
      <c r="CX92" s="205">
        <f t="shared" ref="CX92:CX98" si="182">IF(ISNUMBER(CW92),CW92*(CY92/CW$41+CZ92*(1+DA92/CW$28^0.3)),0)</f>
        <v>1.0681566155116666</v>
      </c>
      <c r="CY92" s="202">
        <v>500</v>
      </c>
      <c r="CZ92" s="202">
        <v>0.27400000000000002</v>
      </c>
      <c r="DA92" s="202">
        <v>4</v>
      </c>
      <c r="DB92" s="202" t="s">
        <v>434</v>
      </c>
      <c r="DC92" s="202">
        <v>0</v>
      </c>
      <c r="DD92" s="205">
        <f t="shared" si="180"/>
        <v>0</v>
      </c>
      <c r="DE92" s="202">
        <v>800</v>
      </c>
      <c r="DF92" s="202">
        <v>0.14000000000000001</v>
      </c>
      <c r="DG92" s="202">
        <v>4</v>
      </c>
      <c r="DH92" s="202" t="s">
        <v>434</v>
      </c>
      <c r="DI92" s="202">
        <v>0</v>
      </c>
      <c r="DJ92" s="205">
        <f t="shared" si="181"/>
        <v>0</v>
      </c>
      <c r="DK92" s="202">
        <v>800</v>
      </c>
      <c r="DL92" s="202">
        <v>0.14000000000000001</v>
      </c>
      <c r="DM92" s="202">
        <v>4</v>
      </c>
      <c r="DN92" s="202" t="s">
        <v>434</v>
      </c>
    </row>
    <row r="93" spans="2:118" x14ac:dyDescent="0.35">
      <c r="B93" s="201" t="s">
        <v>456</v>
      </c>
      <c r="C93" s="13"/>
      <c r="D93" s="13"/>
      <c r="E93" s="202">
        <v>3</v>
      </c>
      <c r="F93" s="205">
        <f t="shared" si="128"/>
        <v>2.8245114584929421</v>
      </c>
      <c r="G93" s="202">
        <v>800</v>
      </c>
      <c r="H93" s="202">
        <v>0.28000000000000003</v>
      </c>
      <c r="I93" s="202">
        <v>4</v>
      </c>
      <c r="J93" s="202" t="s">
        <v>434</v>
      </c>
      <c r="K93" s="202">
        <v>0</v>
      </c>
      <c r="L93" s="205">
        <f t="shared" si="165"/>
        <v>0</v>
      </c>
      <c r="M93" s="202">
        <v>800</v>
      </c>
      <c r="N93" s="202">
        <v>0.28000000000000003</v>
      </c>
      <c r="O93" s="202">
        <v>4</v>
      </c>
      <c r="P93" s="202" t="s">
        <v>434</v>
      </c>
      <c r="Q93" s="202">
        <v>0</v>
      </c>
      <c r="R93" s="205">
        <f t="shared" si="166"/>
        <v>0</v>
      </c>
      <c r="S93" s="202">
        <v>800</v>
      </c>
      <c r="T93" s="202">
        <v>0.28000000000000003</v>
      </c>
      <c r="U93" s="202">
        <v>4</v>
      </c>
      <c r="V93" s="202" t="s">
        <v>434</v>
      </c>
      <c r="W93" s="202">
        <v>0</v>
      </c>
      <c r="X93" s="205">
        <f t="shared" si="167"/>
        <v>0</v>
      </c>
      <c r="Y93" s="202">
        <v>800</v>
      </c>
      <c r="Z93" s="202">
        <v>0.28000000000000003</v>
      </c>
      <c r="AA93" s="202">
        <v>4</v>
      </c>
      <c r="AB93" s="202" t="s">
        <v>434</v>
      </c>
      <c r="AC93" s="202">
        <v>0</v>
      </c>
      <c r="AD93" s="205">
        <f t="shared" si="168"/>
        <v>0</v>
      </c>
      <c r="AE93" s="202">
        <v>800</v>
      </c>
      <c r="AF93" s="202">
        <v>0.28000000000000003</v>
      </c>
      <c r="AG93" s="202">
        <v>4</v>
      </c>
      <c r="AH93" s="202" t="s">
        <v>434</v>
      </c>
      <c r="AI93" s="202">
        <v>0</v>
      </c>
      <c r="AJ93" s="205">
        <f t="shared" si="169"/>
        <v>0</v>
      </c>
      <c r="AK93" s="202">
        <v>800</v>
      </c>
      <c r="AL93" s="202">
        <v>0.28000000000000003</v>
      </c>
      <c r="AM93" s="202">
        <v>4</v>
      </c>
      <c r="AN93" s="202" t="s">
        <v>434</v>
      </c>
      <c r="AO93" s="202">
        <v>0</v>
      </c>
      <c r="AP93" s="205">
        <f t="shared" si="170"/>
        <v>0</v>
      </c>
      <c r="AQ93" s="202">
        <v>800</v>
      </c>
      <c r="AR93" s="202">
        <v>0.28000000000000003</v>
      </c>
      <c r="AS93" s="202">
        <v>4</v>
      </c>
      <c r="AT93" s="202" t="s">
        <v>434</v>
      </c>
      <c r="AU93" s="202">
        <v>0</v>
      </c>
      <c r="AV93" s="205">
        <f t="shared" si="171"/>
        <v>0</v>
      </c>
      <c r="AW93" s="202">
        <v>800</v>
      </c>
      <c r="AX93" s="202">
        <v>0.28000000000000003</v>
      </c>
      <c r="AY93" s="202">
        <v>4</v>
      </c>
      <c r="AZ93" s="202" t="s">
        <v>434</v>
      </c>
      <c r="BA93" s="202">
        <v>0</v>
      </c>
      <c r="BB93" s="205">
        <f t="shared" si="172"/>
        <v>0</v>
      </c>
      <c r="BC93" s="202">
        <v>800</v>
      </c>
      <c r="BD93" s="202">
        <v>0.28000000000000003</v>
      </c>
      <c r="BE93" s="202">
        <v>4</v>
      </c>
      <c r="BF93" s="202" t="s">
        <v>434</v>
      </c>
      <c r="BG93" s="202">
        <v>0</v>
      </c>
      <c r="BH93" s="205">
        <f t="shared" si="173"/>
        <v>0</v>
      </c>
      <c r="BI93" s="202">
        <v>800</v>
      </c>
      <c r="BJ93" s="202">
        <v>0.28000000000000003</v>
      </c>
      <c r="BK93" s="202">
        <v>4</v>
      </c>
      <c r="BL93" s="202" t="s">
        <v>434</v>
      </c>
      <c r="BM93" s="202">
        <v>0</v>
      </c>
      <c r="BN93" s="205">
        <f t="shared" si="174"/>
        <v>0</v>
      </c>
      <c r="BO93" s="202">
        <v>800</v>
      </c>
      <c r="BP93" s="202">
        <v>0.28000000000000003</v>
      </c>
      <c r="BQ93" s="202">
        <v>4</v>
      </c>
      <c r="BR93" s="202" t="s">
        <v>434</v>
      </c>
      <c r="BS93" s="202">
        <v>0</v>
      </c>
      <c r="BT93" s="205">
        <f t="shared" si="175"/>
        <v>0</v>
      </c>
      <c r="BU93" s="202">
        <v>800</v>
      </c>
      <c r="BV93" s="202">
        <v>0.28000000000000003</v>
      </c>
      <c r="BW93" s="202">
        <v>4</v>
      </c>
      <c r="BX93" s="202" t="s">
        <v>434</v>
      </c>
      <c r="BY93" s="202">
        <v>0</v>
      </c>
      <c r="BZ93" s="205">
        <f t="shared" si="176"/>
        <v>0</v>
      </c>
      <c r="CA93" s="202">
        <v>800</v>
      </c>
      <c r="CB93" s="202">
        <v>0.28000000000000003</v>
      </c>
      <c r="CC93" s="202">
        <v>4</v>
      </c>
      <c r="CD93" s="202" t="s">
        <v>434</v>
      </c>
      <c r="CE93" s="202">
        <v>0</v>
      </c>
      <c r="CF93" s="205">
        <f t="shared" si="177"/>
        <v>0</v>
      </c>
      <c r="CG93" s="202">
        <v>800</v>
      </c>
      <c r="CH93" s="202">
        <v>0.28000000000000003</v>
      </c>
      <c r="CI93" s="202">
        <v>4</v>
      </c>
      <c r="CJ93" s="202" t="s">
        <v>434</v>
      </c>
      <c r="CK93" s="202">
        <v>0</v>
      </c>
      <c r="CL93" s="205">
        <f t="shared" si="178"/>
        <v>0</v>
      </c>
      <c r="CM93" s="202">
        <v>800</v>
      </c>
      <c r="CN93" s="202">
        <v>0.28000000000000003</v>
      </c>
      <c r="CO93" s="202">
        <v>4</v>
      </c>
      <c r="CP93" s="202" t="s">
        <v>434</v>
      </c>
      <c r="CQ93" s="202">
        <v>0</v>
      </c>
      <c r="CR93" s="205">
        <f t="shared" si="179"/>
        <v>0</v>
      </c>
      <c r="CS93" s="202">
        <v>800</v>
      </c>
      <c r="CT93" s="202">
        <v>0.28000000000000003</v>
      </c>
      <c r="CU93" s="202">
        <v>4</v>
      </c>
      <c r="CV93" s="202" t="s">
        <v>434</v>
      </c>
      <c r="CW93" s="202">
        <v>0</v>
      </c>
      <c r="CX93" s="205">
        <f t="shared" si="182"/>
        <v>0</v>
      </c>
      <c r="CY93" s="202">
        <v>800</v>
      </c>
      <c r="CZ93" s="202">
        <v>0.14000000000000001</v>
      </c>
      <c r="DA93" s="202">
        <v>4</v>
      </c>
      <c r="DB93" s="202" t="s">
        <v>434</v>
      </c>
      <c r="DC93" s="202">
        <v>0</v>
      </c>
      <c r="DD93" s="205">
        <f t="shared" si="180"/>
        <v>0</v>
      </c>
      <c r="DE93" s="202">
        <v>800</v>
      </c>
      <c r="DF93" s="202">
        <v>0.28000000000000003</v>
      </c>
      <c r="DG93" s="202">
        <v>4</v>
      </c>
      <c r="DH93" s="202" t="s">
        <v>434</v>
      </c>
      <c r="DI93" s="202">
        <v>0</v>
      </c>
      <c r="DJ93" s="205">
        <f t="shared" si="181"/>
        <v>0</v>
      </c>
      <c r="DK93" s="202">
        <v>800</v>
      </c>
      <c r="DL93" s="202">
        <v>0.28000000000000003</v>
      </c>
      <c r="DM93" s="202">
        <v>4</v>
      </c>
      <c r="DN93" s="202" t="s">
        <v>434</v>
      </c>
    </row>
    <row r="94" spans="2:118" x14ac:dyDescent="0.35">
      <c r="B94" s="201" t="s">
        <v>457</v>
      </c>
      <c r="C94" s="13"/>
      <c r="D94" s="13"/>
      <c r="E94" s="202">
        <v>0</v>
      </c>
      <c r="F94" s="205">
        <f t="shared" si="128"/>
        <v>0</v>
      </c>
      <c r="G94" s="202">
        <v>1000</v>
      </c>
      <c r="H94" s="202">
        <v>0.34</v>
      </c>
      <c r="I94" s="202">
        <v>4</v>
      </c>
      <c r="J94" s="202" t="s">
        <v>434</v>
      </c>
      <c r="K94" s="202">
        <v>0</v>
      </c>
      <c r="L94" s="205">
        <f t="shared" si="165"/>
        <v>0</v>
      </c>
      <c r="M94" s="202">
        <v>1000</v>
      </c>
      <c r="N94" s="202">
        <v>0.34</v>
      </c>
      <c r="O94" s="202">
        <v>4</v>
      </c>
      <c r="P94" s="202" t="s">
        <v>434</v>
      </c>
      <c r="Q94" s="202">
        <v>0</v>
      </c>
      <c r="R94" s="205">
        <f t="shared" si="166"/>
        <v>0</v>
      </c>
      <c r="S94" s="202">
        <v>1000</v>
      </c>
      <c r="T94" s="202">
        <v>0.34</v>
      </c>
      <c r="U94" s="202">
        <v>4</v>
      </c>
      <c r="V94" s="202" t="s">
        <v>434</v>
      </c>
      <c r="W94" s="202">
        <v>0</v>
      </c>
      <c r="X94" s="205">
        <f t="shared" si="167"/>
        <v>0</v>
      </c>
      <c r="Y94" s="202">
        <v>1000</v>
      </c>
      <c r="Z94" s="202">
        <v>0.34</v>
      </c>
      <c r="AA94" s="202">
        <v>4</v>
      </c>
      <c r="AB94" s="202" t="s">
        <v>434</v>
      </c>
      <c r="AC94" s="202">
        <v>0</v>
      </c>
      <c r="AD94" s="205">
        <f t="shared" si="168"/>
        <v>0</v>
      </c>
      <c r="AE94" s="202">
        <v>1000</v>
      </c>
      <c r="AF94" s="202">
        <v>0.34</v>
      </c>
      <c r="AG94" s="202">
        <v>4</v>
      </c>
      <c r="AH94" s="202" t="s">
        <v>434</v>
      </c>
      <c r="AI94" s="202">
        <v>0</v>
      </c>
      <c r="AJ94" s="205">
        <f t="shared" si="169"/>
        <v>0</v>
      </c>
      <c r="AK94" s="202">
        <v>1000</v>
      </c>
      <c r="AL94" s="202">
        <v>0.34</v>
      </c>
      <c r="AM94" s="202">
        <v>4</v>
      </c>
      <c r="AN94" s="202" t="s">
        <v>434</v>
      </c>
      <c r="AO94" s="202">
        <v>0</v>
      </c>
      <c r="AP94" s="205">
        <f t="shared" si="170"/>
        <v>0</v>
      </c>
      <c r="AQ94" s="202">
        <v>1000</v>
      </c>
      <c r="AR94" s="202">
        <v>0.34</v>
      </c>
      <c r="AS94" s="202">
        <v>4</v>
      </c>
      <c r="AT94" s="202" t="s">
        <v>434</v>
      </c>
      <c r="AU94" s="202">
        <v>0</v>
      </c>
      <c r="AV94" s="205">
        <f t="shared" si="171"/>
        <v>0</v>
      </c>
      <c r="AW94" s="202">
        <v>1000</v>
      </c>
      <c r="AX94" s="202">
        <v>0.34</v>
      </c>
      <c r="AY94" s="202">
        <v>4</v>
      </c>
      <c r="AZ94" s="202" t="s">
        <v>434</v>
      </c>
      <c r="BA94" s="202">
        <v>0</v>
      </c>
      <c r="BB94" s="205">
        <f t="shared" si="172"/>
        <v>0</v>
      </c>
      <c r="BC94" s="202">
        <v>1000</v>
      </c>
      <c r="BD94" s="202">
        <v>0.34</v>
      </c>
      <c r="BE94" s="202">
        <v>4</v>
      </c>
      <c r="BF94" s="202" t="s">
        <v>434</v>
      </c>
      <c r="BG94" s="202">
        <v>0</v>
      </c>
      <c r="BH94" s="205">
        <f t="shared" si="173"/>
        <v>0</v>
      </c>
      <c r="BI94" s="202">
        <v>1000</v>
      </c>
      <c r="BJ94" s="202">
        <v>0.34</v>
      </c>
      <c r="BK94" s="202">
        <v>4</v>
      </c>
      <c r="BL94" s="202" t="s">
        <v>434</v>
      </c>
      <c r="BM94" s="202">
        <v>0</v>
      </c>
      <c r="BN94" s="205">
        <f t="shared" si="174"/>
        <v>0</v>
      </c>
      <c r="BO94" s="202">
        <v>1000</v>
      </c>
      <c r="BP94" s="202">
        <v>0.34</v>
      </c>
      <c r="BQ94" s="202">
        <v>4</v>
      </c>
      <c r="BR94" s="202" t="s">
        <v>434</v>
      </c>
      <c r="BS94" s="202">
        <v>0</v>
      </c>
      <c r="BT94" s="205">
        <f t="shared" si="175"/>
        <v>0</v>
      </c>
      <c r="BU94" s="202">
        <v>1000</v>
      </c>
      <c r="BV94" s="202">
        <v>0.34</v>
      </c>
      <c r="BW94" s="202">
        <v>4</v>
      </c>
      <c r="BX94" s="202" t="s">
        <v>434</v>
      </c>
      <c r="BY94" s="202">
        <v>0</v>
      </c>
      <c r="BZ94" s="205">
        <f t="shared" si="176"/>
        <v>0</v>
      </c>
      <c r="CA94" s="202">
        <v>1000</v>
      </c>
      <c r="CB94" s="202">
        <v>0.34</v>
      </c>
      <c r="CC94" s="202">
        <v>4</v>
      </c>
      <c r="CD94" s="202" t="s">
        <v>434</v>
      </c>
      <c r="CE94" s="202">
        <v>0</v>
      </c>
      <c r="CF94" s="205">
        <f t="shared" si="177"/>
        <v>0</v>
      </c>
      <c r="CG94" s="202">
        <v>1000</v>
      </c>
      <c r="CH94" s="202">
        <v>0.34</v>
      </c>
      <c r="CI94" s="202">
        <v>4</v>
      </c>
      <c r="CJ94" s="202" t="s">
        <v>434</v>
      </c>
      <c r="CK94" s="202">
        <v>0</v>
      </c>
      <c r="CL94" s="205">
        <f t="shared" si="178"/>
        <v>0</v>
      </c>
      <c r="CM94" s="202">
        <v>1000</v>
      </c>
      <c r="CN94" s="202">
        <v>0.34</v>
      </c>
      <c r="CO94" s="202">
        <v>4</v>
      </c>
      <c r="CP94" s="202" t="s">
        <v>434</v>
      </c>
      <c r="CQ94" s="202">
        <v>0</v>
      </c>
      <c r="CR94" s="205">
        <f t="shared" si="179"/>
        <v>0</v>
      </c>
      <c r="CS94" s="202">
        <v>1000</v>
      </c>
      <c r="CT94" s="202">
        <v>0.34</v>
      </c>
      <c r="CU94" s="202">
        <v>4</v>
      </c>
      <c r="CV94" s="202" t="s">
        <v>434</v>
      </c>
      <c r="CW94" s="202">
        <v>0</v>
      </c>
      <c r="CX94" s="205">
        <f t="shared" si="182"/>
        <v>0</v>
      </c>
      <c r="CY94" s="202">
        <v>800</v>
      </c>
      <c r="CZ94" s="202">
        <v>0.28000000000000003</v>
      </c>
      <c r="DA94" s="202">
        <v>4</v>
      </c>
      <c r="DB94" s="202" t="s">
        <v>434</v>
      </c>
      <c r="DC94" s="202">
        <v>0</v>
      </c>
      <c r="DD94" s="205">
        <f t="shared" si="180"/>
        <v>0</v>
      </c>
      <c r="DE94" s="202">
        <v>1000</v>
      </c>
      <c r="DF94" s="202">
        <v>0.34</v>
      </c>
      <c r="DG94" s="202">
        <v>4</v>
      </c>
      <c r="DH94" s="202" t="s">
        <v>434</v>
      </c>
      <c r="DI94" s="202">
        <v>0</v>
      </c>
      <c r="DJ94" s="205">
        <f t="shared" si="181"/>
        <v>0</v>
      </c>
      <c r="DK94" s="202">
        <v>1000</v>
      </c>
      <c r="DL94" s="202">
        <v>0.34</v>
      </c>
      <c r="DM94" s="202">
        <v>4</v>
      </c>
      <c r="DN94" s="202" t="s">
        <v>434</v>
      </c>
    </row>
    <row r="95" spans="2:118" x14ac:dyDescent="0.35">
      <c r="B95" s="201" t="s">
        <v>458</v>
      </c>
      <c r="C95" s="13"/>
      <c r="D95" s="13"/>
      <c r="E95" s="202">
        <v>0</v>
      </c>
      <c r="F95" s="205">
        <f t="shared" si="128"/>
        <v>0</v>
      </c>
      <c r="G95" s="202">
        <v>200</v>
      </c>
      <c r="H95" s="202">
        <v>9.0999999999999998E-2</v>
      </c>
      <c r="I95" s="202">
        <v>4</v>
      </c>
      <c r="J95" s="202" t="s">
        <v>434</v>
      </c>
      <c r="K95" s="202">
        <v>0</v>
      </c>
      <c r="L95" s="205">
        <f t="shared" si="165"/>
        <v>0</v>
      </c>
      <c r="M95" s="202">
        <v>200</v>
      </c>
      <c r="N95" s="202">
        <v>9.0999999999999998E-2</v>
      </c>
      <c r="O95" s="202">
        <v>4</v>
      </c>
      <c r="P95" s="202" t="s">
        <v>434</v>
      </c>
      <c r="Q95" s="202">
        <v>0</v>
      </c>
      <c r="R95" s="205">
        <f t="shared" si="166"/>
        <v>0</v>
      </c>
      <c r="S95" s="202">
        <v>200</v>
      </c>
      <c r="T95" s="202">
        <v>9.0999999999999998E-2</v>
      </c>
      <c r="U95" s="202">
        <v>4</v>
      </c>
      <c r="V95" s="202" t="s">
        <v>434</v>
      </c>
      <c r="W95" s="202">
        <v>0</v>
      </c>
      <c r="X95" s="205">
        <f t="shared" si="167"/>
        <v>0</v>
      </c>
      <c r="Y95" s="202">
        <v>200</v>
      </c>
      <c r="Z95" s="202">
        <v>9.0999999999999998E-2</v>
      </c>
      <c r="AA95" s="202">
        <v>4</v>
      </c>
      <c r="AB95" s="202" t="s">
        <v>434</v>
      </c>
      <c r="AC95" s="202">
        <v>0</v>
      </c>
      <c r="AD95" s="205">
        <f t="shared" si="168"/>
        <v>0</v>
      </c>
      <c r="AE95" s="202">
        <v>200</v>
      </c>
      <c r="AF95" s="202">
        <v>9.0999999999999998E-2</v>
      </c>
      <c r="AG95" s="202">
        <v>4</v>
      </c>
      <c r="AH95" s="202" t="s">
        <v>434</v>
      </c>
      <c r="AI95" s="202">
        <v>0</v>
      </c>
      <c r="AJ95" s="205">
        <f t="shared" si="169"/>
        <v>0</v>
      </c>
      <c r="AK95" s="202">
        <v>200</v>
      </c>
      <c r="AL95" s="202">
        <v>9.0999999999999998E-2</v>
      </c>
      <c r="AM95" s="202">
        <v>4</v>
      </c>
      <c r="AN95" s="202" t="s">
        <v>434</v>
      </c>
      <c r="AO95" s="202">
        <v>0</v>
      </c>
      <c r="AP95" s="205">
        <f t="shared" si="170"/>
        <v>0</v>
      </c>
      <c r="AQ95" s="202">
        <v>200</v>
      </c>
      <c r="AR95" s="202">
        <v>9.0999999999999998E-2</v>
      </c>
      <c r="AS95" s="202">
        <v>4</v>
      </c>
      <c r="AT95" s="202" t="s">
        <v>434</v>
      </c>
      <c r="AU95" s="202">
        <v>0</v>
      </c>
      <c r="AV95" s="205">
        <f t="shared" si="171"/>
        <v>0</v>
      </c>
      <c r="AW95" s="202">
        <v>200</v>
      </c>
      <c r="AX95" s="202">
        <v>9.0999999999999998E-2</v>
      </c>
      <c r="AY95" s="202">
        <v>4</v>
      </c>
      <c r="AZ95" s="202" t="s">
        <v>434</v>
      </c>
      <c r="BA95" s="202">
        <v>0</v>
      </c>
      <c r="BB95" s="205">
        <f t="shared" si="172"/>
        <v>0</v>
      </c>
      <c r="BC95" s="202">
        <v>200</v>
      </c>
      <c r="BD95" s="202">
        <v>9.0999999999999998E-2</v>
      </c>
      <c r="BE95" s="202">
        <v>4</v>
      </c>
      <c r="BF95" s="202" t="s">
        <v>434</v>
      </c>
      <c r="BG95" s="202">
        <v>0</v>
      </c>
      <c r="BH95" s="205">
        <f t="shared" si="173"/>
        <v>0</v>
      </c>
      <c r="BI95" s="202">
        <v>200</v>
      </c>
      <c r="BJ95" s="202">
        <v>9.0999999999999998E-2</v>
      </c>
      <c r="BK95" s="202">
        <v>4</v>
      </c>
      <c r="BL95" s="202" t="s">
        <v>434</v>
      </c>
      <c r="BM95" s="202">
        <v>0</v>
      </c>
      <c r="BN95" s="205">
        <f t="shared" si="174"/>
        <v>0</v>
      </c>
      <c r="BO95" s="202">
        <v>200</v>
      </c>
      <c r="BP95" s="202">
        <v>9.0999999999999998E-2</v>
      </c>
      <c r="BQ95" s="202">
        <v>4</v>
      </c>
      <c r="BR95" s="202" t="s">
        <v>434</v>
      </c>
      <c r="BS95" s="202">
        <v>0</v>
      </c>
      <c r="BT95" s="205">
        <f t="shared" si="175"/>
        <v>0</v>
      </c>
      <c r="BU95" s="202">
        <v>200</v>
      </c>
      <c r="BV95" s="202">
        <v>9.0999999999999998E-2</v>
      </c>
      <c r="BW95" s="202">
        <v>4</v>
      </c>
      <c r="BX95" s="202" t="s">
        <v>434</v>
      </c>
      <c r="BY95" s="202">
        <v>0</v>
      </c>
      <c r="BZ95" s="205">
        <f t="shared" si="176"/>
        <v>0</v>
      </c>
      <c r="CA95" s="202">
        <v>200</v>
      </c>
      <c r="CB95" s="202">
        <v>9.0999999999999998E-2</v>
      </c>
      <c r="CC95" s="202">
        <v>4</v>
      </c>
      <c r="CD95" s="202" t="s">
        <v>434</v>
      </c>
      <c r="CE95" s="202">
        <v>0</v>
      </c>
      <c r="CF95" s="205">
        <f t="shared" si="177"/>
        <v>0</v>
      </c>
      <c r="CG95" s="202">
        <v>200</v>
      </c>
      <c r="CH95" s="202">
        <v>9.0999999999999998E-2</v>
      </c>
      <c r="CI95" s="202">
        <v>4</v>
      </c>
      <c r="CJ95" s="202" t="s">
        <v>434</v>
      </c>
      <c r="CK95" s="202">
        <v>0</v>
      </c>
      <c r="CL95" s="205">
        <f t="shared" si="178"/>
        <v>0</v>
      </c>
      <c r="CM95" s="202">
        <v>200</v>
      </c>
      <c r="CN95" s="202">
        <v>9.0999999999999998E-2</v>
      </c>
      <c r="CO95" s="202">
        <v>4</v>
      </c>
      <c r="CP95" s="202" t="s">
        <v>434</v>
      </c>
      <c r="CQ95" s="202">
        <v>0</v>
      </c>
      <c r="CR95" s="205">
        <f t="shared" si="179"/>
        <v>0</v>
      </c>
      <c r="CS95" s="202">
        <v>200</v>
      </c>
      <c r="CT95" s="202">
        <v>9.0999999999999998E-2</v>
      </c>
      <c r="CU95" s="202">
        <v>4</v>
      </c>
      <c r="CV95" s="202" t="s">
        <v>434</v>
      </c>
      <c r="CW95" s="202">
        <v>0</v>
      </c>
      <c r="CX95" s="205">
        <f t="shared" si="182"/>
        <v>0</v>
      </c>
      <c r="CY95" s="202">
        <v>1000</v>
      </c>
      <c r="CZ95" s="202">
        <v>0.34</v>
      </c>
      <c r="DA95" s="202">
        <v>4</v>
      </c>
      <c r="DB95" s="202" t="s">
        <v>434</v>
      </c>
      <c r="DC95" s="202">
        <v>0</v>
      </c>
      <c r="DD95" s="205">
        <f t="shared" si="180"/>
        <v>0</v>
      </c>
      <c r="DE95" s="202">
        <v>200</v>
      </c>
      <c r="DF95" s="202">
        <v>9.0999999999999998E-2</v>
      </c>
      <c r="DG95" s="202">
        <v>4</v>
      </c>
      <c r="DH95" s="202" t="s">
        <v>434</v>
      </c>
      <c r="DI95" s="202">
        <v>0</v>
      </c>
      <c r="DJ95" s="205">
        <f t="shared" si="181"/>
        <v>0</v>
      </c>
      <c r="DK95" s="202">
        <v>200</v>
      </c>
      <c r="DL95" s="202">
        <v>9.0999999999999998E-2</v>
      </c>
      <c r="DM95" s="202">
        <v>4</v>
      </c>
      <c r="DN95" s="202" t="s">
        <v>434</v>
      </c>
    </row>
    <row r="96" spans="2:118" x14ac:dyDescent="0.35">
      <c r="B96" s="201" t="s">
        <v>459</v>
      </c>
      <c r="C96" s="13"/>
      <c r="D96" s="13"/>
      <c r="E96" s="202">
        <v>0</v>
      </c>
      <c r="F96" s="205">
        <f t="shared" si="128"/>
        <v>0</v>
      </c>
      <c r="G96" s="202">
        <v>150</v>
      </c>
      <c r="H96" s="202">
        <v>0.05</v>
      </c>
      <c r="I96" s="202">
        <v>4</v>
      </c>
      <c r="J96" s="202" t="s">
        <v>434</v>
      </c>
      <c r="K96" s="202">
        <v>0</v>
      </c>
      <c r="L96" s="205">
        <f t="shared" si="165"/>
        <v>0</v>
      </c>
      <c r="M96" s="202">
        <v>150</v>
      </c>
      <c r="N96" s="202">
        <v>0.05</v>
      </c>
      <c r="O96" s="202">
        <v>4</v>
      </c>
      <c r="P96" s="202" t="s">
        <v>434</v>
      </c>
      <c r="Q96" s="202">
        <v>0</v>
      </c>
      <c r="R96" s="205">
        <f t="shared" si="166"/>
        <v>0</v>
      </c>
      <c r="S96" s="202">
        <v>150</v>
      </c>
      <c r="T96" s="202">
        <v>0.05</v>
      </c>
      <c r="U96" s="202">
        <v>4</v>
      </c>
      <c r="V96" s="202" t="s">
        <v>434</v>
      </c>
      <c r="W96" s="202">
        <v>0</v>
      </c>
      <c r="X96" s="205">
        <f t="shared" si="167"/>
        <v>0</v>
      </c>
      <c r="Y96" s="202">
        <v>150</v>
      </c>
      <c r="Z96" s="202">
        <v>0.05</v>
      </c>
      <c r="AA96" s="202">
        <v>4</v>
      </c>
      <c r="AB96" s="202" t="s">
        <v>434</v>
      </c>
      <c r="AC96" s="202">
        <v>0</v>
      </c>
      <c r="AD96" s="205">
        <f t="shared" si="168"/>
        <v>0</v>
      </c>
      <c r="AE96" s="202">
        <v>150</v>
      </c>
      <c r="AF96" s="202">
        <v>0.05</v>
      </c>
      <c r="AG96" s="202">
        <v>4</v>
      </c>
      <c r="AH96" s="202" t="s">
        <v>434</v>
      </c>
      <c r="AI96" s="202">
        <v>0</v>
      </c>
      <c r="AJ96" s="205">
        <f t="shared" si="169"/>
        <v>0</v>
      </c>
      <c r="AK96" s="202">
        <v>150</v>
      </c>
      <c r="AL96" s="202">
        <v>0.05</v>
      </c>
      <c r="AM96" s="202">
        <v>4</v>
      </c>
      <c r="AN96" s="202" t="s">
        <v>434</v>
      </c>
      <c r="AO96" s="202">
        <v>0</v>
      </c>
      <c r="AP96" s="205">
        <f t="shared" si="170"/>
        <v>0</v>
      </c>
      <c r="AQ96" s="202">
        <v>150</v>
      </c>
      <c r="AR96" s="202">
        <v>0.05</v>
      </c>
      <c r="AS96" s="202">
        <v>4</v>
      </c>
      <c r="AT96" s="202" t="s">
        <v>434</v>
      </c>
      <c r="AU96" s="202">
        <v>0</v>
      </c>
      <c r="AV96" s="205">
        <f t="shared" si="171"/>
        <v>0</v>
      </c>
      <c r="AW96" s="202">
        <v>150</v>
      </c>
      <c r="AX96" s="202">
        <v>0.05</v>
      </c>
      <c r="AY96" s="202">
        <v>4</v>
      </c>
      <c r="AZ96" s="202" t="s">
        <v>434</v>
      </c>
      <c r="BA96" s="202">
        <v>0</v>
      </c>
      <c r="BB96" s="205">
        <f t="shared" si="172"/>
        <v>0</v>
      </c>
      <c r="BC96" s="202">
        <v>150</v>
      </c>
      <c r="BD96" s="202">
        <v>0.05</v>
      </c>
      <c r="BE96" s="202">
        <v>4</v>
      </c>
      <c r="BF96" s="202" t="s">
        <v>434</v>
      </c>
      <c r="BG96" s="202">
        <v>0</v>
      </c>
      <c r="BH96" s="205">
        <f t="shared" si="173"/>
        <v>0</v>
      </c>
      <c r="BI96" s="202">
        <v>150</v>
      </c>
      <c r="BJ96" s="202">
        <v>0.05</v>
      </c>
      <c r="BK96" s="202">
        <v>4</v>
      </c>
      <c r="BL96" s="202" t="s">
        <v>434</v>
      </c>
      <c r="BM96" s="202">
        <v>0</v>
      </c>
      <c r="BN96" s="205">
        <f t="shared" si="174"/>
        <v>0</v>
      </c>
      <c r="BO96" s="202">
        <v>150</v>
      </c>
      <c r="BP96" s="202">
        <v>0.05</v>
      </c>
      <c r="BQ96" s="202">
        <v>4</v>
      </c>
      <c r="BR96" s="202" t="s">
        <v>434</v>
      </c>
      <c r="BS96" s="202">
        <v>0</v>
      </c>
      <c r="BT96" s="205">
        <f t="shared" si="175"/>
        <v>0</v>
      </c>
      <c r="BU96" s="202">
        <v>150</v>
      </c>
      <c r="BV96" s="202">
        <v>0.05</v>
      </c>
      <c r="BW96" s="202">
        <v>4</v>
      </c>
      <c r="BX96" s="202" t="s">
        <v>434</v>
      </c>
      <c r="BY96" s="202">
        <v>0</v>
      </c>
      <c r="BZ96" s="205">
        <f t="shared" si="176"/>
        <v>0</v>
      </c>
      <c r="CA96" s="202">
        <v>150</v>
      </c>
      <c r="CB96" s="202">
        <v>0.05</v>
      </c>
      <c r="CC96" s="202">
        <v>4</v>
      </c>
      <c r="CD96" s="202" t="s">
        <v>434</v>
      </c>
      <c r="CE96" s="202">
        <v>0</v>
      </c>
      <c r="CF96" s="205">
        <f t="shared" si="177"/>
        <v>0</v>
      </c>
      <c r="CG96" s="202">
        <v>150</v>
      </c>
      <c r="CH96" s="202">
        <v>0.05</v>
      </c>
      <c r="CI96" s="202">
        <v>4</v>
      </c>
      <c r="CJ96" s="202" t="s">
        <v>434</v>
      </c>
      <c r="CK96" s="202">
        <v>0</v>
      </c>
      <c r="CL96" s="205">
        <f t="shared" si="178"/>
        <v>0</v>
      </c>
      <c r="CM96" s="202">
        <v>150</v>
      </c>
      <c r="CN96" s="202">
        <v>0.05</v>
      </c>
      <c r="CO96" s="202">
        <v>4</v>
      </c>
      <c r="CP96" s="202" t="s">
        <v>434</v>
      </c>
      <c r="CQ96" s="202">
        <v>0</v>
      </c>
      <c r="CR96" s="205">
        <f t="shared" si="179"/>
        <v>0</v>
      </c>
      <c r="CS96" s="202">
        <v>150</v>
      </c>
      <c r="CT96" s="202">
        <v>0.05</v>
      </c>
      <c r="CU96" s="202">
        <v>4</v>
      </c>
      <c r="CV96" s="202" t="s">
        <v>434</v>
      </c>
      <c r="CW96" s="202">
        <v>0</v>
      </c>
      <c r="CX96" s="205">
        <f t="shared" si="182"/>
        <v>0</v>
      </c>
      <c r="CY96" s="202">
        <v>200</v>
      </c>
      <c r="CZ96" s="202">
        <v>9.0999999999999998E-2</v>
      </c>
      <c r="DA96" s="202">
        <v>4</v>
      </c>
      <c r="DB96" s="202" t="s">
        <v>434</v>
      </c>
      <c r="DC96" s="202">
        <v>0</v>
      </c>
      <c r="DD96" s="205">
        <f t="shared" si="180"/>
        <v>0</v>
      </c>
      <c r="DE96" s="202">
        <v>150</v>
      </c>
      <c r="DF96" s="202">
        <v>0.05</v>
      </c>
      <c r="DG96" s="202">
        <v>4</v>
      </c>
      <c r="DH96" s="202" t="s">
        <v>434</v>
      </c>
      <c r="DI96" s="202">
        <v>0</v>
      </c>
      <c r="DJ96" s="205">
        <f t="shared" si="181"/>
        <v>0</v>
      </c>
      <c r="DK96" s="202">
        <v>150</v>
      </c>
      <c r="DL96" s="202">
        <v>0.05</v>
      </c>
      <c r="DM96" s="202">
        <v>4</v>
      </c>
      <c r="DN96" s="202" t="s">
        <v>434</v>
      </c>
    </row>
    <row r="97" spans="2:118" x14ac:dyDescent="0.35">
      <c r="B97" s="201" t="s">
        <v>460</v>
      </c>
      <c r="C97" s="201"/>
      <c r="D97" s="201"/>
      <c r="E97" s="202">
        <v>0</v>
      </c>
      <c r="F97" s="205">
        <f t="shared" si="128"/>
        <v>0</v>
      </c>
      <c r="G97" s="202">
        <v>100</v>
      </c>
      <c r="H97" s="202">
        <v>0</v>
      </c>
      <c r="I97" s="202">
        <v>0</v>
      </c>
      <c r="J97" s="202" t="s">
        <v>434</v>
      </c>
      <c r="K97" s="202">
        <v>0</v>
      </c>
      <c r="L97" s="205">
        <f t="shared" si="165"/>
        <v>0</v>
      </c>
      <c r="M97" s="202">
        <v>100</v>
      </c>
      <c r="N97" s="202">
        <v>0</v>
      </c>
      <c r="O97" s="202">
        <v>0</v>
      </c>
      <c r="P97" s="202" t="s">
        <v>434</v>
      </c>
      <c r="Q97" s="202">
        <v>0</v>
      </c>
      <c r="R97" s="205">
        <f t="shared" si="166"/>
        <v>0</v>
      </c>
      <c r="S97" s="202">
        <v>100</v>
      </c>
      <c r="T97" s="202">
        <v>0</v>
      </c>
      <c r="U97" s="202">
        <v>0</v>
      </c>
      <c r="V97" s="202" t="s">
        <v>434</v>
      </c>
      <c r="W97" s="202">
        <v>0</v>
      </c>
      <c r="X97" s="205">
        <f t="shared" si="167"/>
        <v>0</v>
      </c>
      <c r="Y97" s="202">
        <v>100</v>
      </c>
      <c r="Z97" s="202">
        <v>0</v>
      </c>
      <c r="AA97" s="202">
        <v>0</v>
      </c>
      <c r="AB97" s="202" t="s">
        <v>434</v>
      </c>
      <c r="AC97" s="202">
        <v>0</v>
      </c>
      <c r="AD97" s="205">
        <f t="shared" si="168"/>
        <v>0</v>
      </c>
      <c r="AE97" s="202">
        <v>100</v>
      </c>
      <c r="AF97" s="202">
        <v>0</v>
      </c>
      <c r="AG97" s="202">
        <v>0</v>
      </c>
      <c r="AH97" s="202" t="s">
        <v>434</v>
      </c>
      <c r="AI97" s="202">
        <v>0</v>
      </c>
      <c r="AJ97" s="205">
        <f t="shared" si="169"/>
        <v>0</v>
      </c>
      <c r="AK97" s="202">
        <v>100</v>
      </c>
      <c r="AL97" s="202">
        <v>0</v>
      </c>
      <c r="AM97" s="202">
        <v>0</v>
      </c>
      <c r="AN97" s="202" t="s">
        <v>434</v>
      </c>
      <c r="AO97" s="202">
        <v>0</v>
      </c>
      <c r="AP97" s="205">
        <f t="shared" si="170"/>
        <v>0</v>
      </c>
      <c r="AQ97" s="202">
        <v>100</v>
      </c>
      <c r="AR97" s="202">
        <v>0</v>
      </c>
      <c r="AS97" s="202">
        <v>0</v>
      </c>
      <c r="AT97" s="202" t="s">
        <v>434</v>
      </c>
      <c r="AU97" s="202">
        <v>0</v>
      </c>
      <c r="AV97" s="205">
        <f t="shared" si="171"/>
        <v>0</v>
      </c>
      <c r="AW97" s="202">
        <v>100</v>
      </c>
      <c r="AX97" s="202">
        <v>0</v>
      </c>
      <c r="AY97" s="202">
        <v>0</v>
      </c>
      <c r="AZ97" s="202" t="s">
        <v>434</v>
      </c>
      <c r="BA97" s="202">
        <v>0</v>
      </c>
      <c r="BB97" s="205">
        <f t="shared" si="172"/>
        <v>0</v>
      </c>
      <c r="BC97" s="202">
        <v>100</v>
      </c>
      <c r="BD97" s="202">
        <v>0</v>
      </c>
      <c r="BE97" s="202">
        <v>0</v>
      </c>
      <c r="BF97" s="202" t="s">
        <v>434</v>
      </c>
      <c r="BG97" s="202">
        <v>0</v>
      </c>
      <c r="BH97" s="205">
        <f t="shared" si="173"/>
        <v>0</v>
      </c>
      <c r="BI97" s="202">
        <v>100</v>
      </c>
      <c r="BJ97" s="202">
        <v>0</v>
      </c>
      <c r="BK97" s="202">
        <v>0</v>
      </c>
      <c r="BL97" s="202" t="s">
        <v>434</v>
      </c>
      <c r="BM97" s="202">
        <v>0</v>
      </c>
      <c r="BN97" s="205">
        <f t="shared" si="174"/>
        <v>0</v>
      </c>
      <c r="BO97" s="202">
        <v>100</v>
      </c>
      <c r="BP97" s="202">
        <v>0</v>
      </c>
      <c r="BQ97" s="202">
        <v>0</v>
      </c>
      <c r="BR97" s="202" t="s">
        <v>434</v>
      </c>
      <c r="BS97" s="202">
        <v>0</v>
      </c>
      <c r="BT97" s="205">
        <f t="shared" si="175"/>
        <v>0</v>
      </c>
      <c r="BU97" s="202">
        <v>100</v>
      </c>
      <c r="BV97" s="202">
        <v>0</v>
      </c>
      <c r="BW97" s="202">
        <v>0</v>
      </c>
      <c r="BX97" s="202" t="s">
        <v>434</v>
      </c>
      <c r="BY97" s="202">
        <v>0</v>
      </c>
      <c r="BZ97" s="205">
        <f t="shared" si="176"/>
        <v>0</v>
      </c>
      <c r="CA97" s="202">
        <v>100</v>
      </c>
      <c r="CB97" s="202">
        <v>0</v>
      </c>
      <c r="CC97" s="202">
        <v>0</v>
      </c>
      <c r="CD97" s="202" t="s">
        <v>434</v>
      </c>
      <c r="CE97" s="202">
        <v>0</v>
      </c>
      <c r="CF97" s="205">
        <f t="shared" si="177"/>
        <v>0</v>
      </c>
      <c r="CG97" s="202">
        <v>100</v>
      </c>
      <c r="CH97" s="202">
        <v>0</v>
      </c>
      <c r="CI97" s="202">
        <v>0</v>
      </c>
      <c r="CJ97" s="202" t="s">
        <v>434</v>
      </c>
      <c r="CK97" s="202">
        <v>0</v>
      </c>
      <c r="CL97" s="205">
        <f t="shared" si="178"/>
        <v>0</v>
      </c>
      <c r="CM97" s="202">
        <v>100</v>
      </c>
      <c r="CN97" s="202">
        <v>0</v>
      </c>
      <c r="CO97" s="202">
        <v>0</v>
      </c>
      <c r="CP97" s="202" t="s">
        <v>434</v>
      </c>
      <c r="CQ97" s="202">
        <v>0</v>
      </c>
      <c r="CR97" s="205">
        <f t="shared" si="179"/>
        <v>0</v>
      </c>
      <c r="CS97" s="202">
        <v>100</v>
      </c>
      <c r="CT97" s="202">
        <v>0</v>
      </c>
      <c r="CU97" s="202">
        <v>0</v>
      </c>
      <c r="CV97" s="202" t="s">
        <v>434</v>
      </c>
      <c r="CW97" s="202">
        <v>0</v>
      </c>
      <c r="CX97" s="205">
        <f t="shared" si="182"/>
        <v>0</v>
      </c>
      <c r="CY97" s="202">
        <v>150</v>
      </c>
      <c r="CZ97" s="202">
        <v>0.05</v>
      </c>
      <c r="DA97" s="202">
        <v>4</v>
      </c>
      <c r="DB97" s="202" t="s">
        <v>434</v>
      </c>
      <c r="DC97" s="202">
        <v>0</v>
      </c>
      <c r="DD97" s="205">
        <f t="shared" si="180"/>
        <v>0</v>
      </c>
      <c r="DE97" s="202">
        <v>100</v>
      </c>
      <c r="DF97" s="202">
        <v>0</v>
      </c>
      <c r="DG97" s="202">
        <v>0</v>
      </c>
      <c r="DH97" s="202" t="s">
        <v>434</v>
      </c>
      <c r="DI97" s="202">
        <v>0</v>
      </c>
      <c r="DJ97" s="205">
        <f t="shared" si="181"/>
        <v>0</v>
      </c>
      <c r="DK97" s="202">
        <v>100</v>
      </c>
      <c r="DL97" s="202">
        <v>0</v>
      </c>
      <c r="DM97" s="202">
        <v>0</v>
      </c>
      <c r="DN97" s="202" t="s">
        <v>434</v>
      </c>
    </row>
    <row r="98" spans="2:118" x14ac:dyDescent="0.35">
      <c r="B98" s="203" t="s">
        <v>461</v>
      </c>
      <c r="C98" s="203"/>
      <c r="D98" s="203"/>
      <c r="E98" s="204"/>
      <c r="F98" s="203"/>
      <c r="G98" s="203"/>
      <c r="H98" s="203"/>
      <c r="I98" s="203"/>
      <c r="J98" s="203"/>
      <c r="K98" s="204"/>
      <c r="L98" s="203"/>
      <c r="M98" s="203"/>
      <c r="N98" s="203"/>
      <c r="O98" s="203"/>
      <c r="P98" s="203"/>
      <c r="Q98" s="204"/>
      <c r="R98" s="203"/>
      <c r="S98" s="203"/>
      <c r="T98" s="203"/>
      <c r="U98" s="203"/>
      <c r="V98" s="203"/>
      <c r="W98" s="204"/>
      <c r="X98" s="203"/>
      <c r="Y98" s="203"/>
      <c r="Z98" s="203"/>
      <c r="AA98" s="203"/>
      <c r="AB98" s="203"/>
      <c r="AC98" s="204"/>
      <c r="AD98" s="203"/>
      <c r="AE98" s="203"/>
      <c r="AF98" s="203"/>
      <c r="AG98" s="203"/>
      <c r="AH98" s="203"/>
      <c r="AI98" s="204"/>
      <c r="AJ98" s="203"/>
      <c r="AK98" s="203"/>
      <c r="AL98" s="203"/>
      <c r="AM98" s="203"/>
      <c r="AN98" s="203"/>
      <c r="AO98" s="204"/>
      <c r="AP98" s="203"/>
      <c r="AQ98" s="203"/>
      <c r="AR98" s="203"/>
      <c r="AS98" s="203"/>
      <c r="AT98" s="203"/>
      <c r="AU98" s="204"/>
      <c r="AV98" s="203"/>
      <c r="AW98" s="203"/>
      <c r="AX98" s="203"/>
      <c r="AY98" s="203"/>
      <c r="AZ98" s="203"/>
      <c r="BA98" s="204"/>
      <c r="BB98" s="203"/>
      <c r="BC98" s="203"/>
      <c r="BD98" s="203"/>
      <c r="BE98" s="203"/>
      <c r="BF98" s="203"/>
      <c r="BG98" s="204"/>
      <c r="BH98" s="203"/>
      <c r="BI98" s="203"/>
      <c r="BJ98" s="203"/>
      <c r="BK98" s="203"/>
      <c r="BL98" s="203"/>
      <c r="BM98" s="204"/>
      <c r="BN98" s="203"/>
      <c r="BO98" s="203"/>
      <c r="BP98" s="203"/>
      <c r="BQ98" s="203"/>
      <c r="BR98" s="203"/>
      <c r="BS98" s="204"/>
      <c r="BT98" s="203"/>
      <c r="BU98" s="203"/>
      <c r="BV98" s="203"/>
      <c r="BW98" s="203"/>
      <c r="BX98" s="203"/>
      <c r="BY98" s="204"/>
      <c r="BZ98" s="203"/>
      <c r="CA98" s="203"/>
      <c r="CB98" s="203"/>
      <c r="CC98" s="203"/>
      <c r="CD98" s="203"/>
      <c r="CE98" s="204"/>
      <c r="CF98" s="203"/>
      <c r="CG98" s="203"/>
      <c r="CH98" s="203"/>
      <c r="CI98" s="203"/>
      <c r="CJ98" s="203"/>
      <c r="CK98" s="204"/>
      <c r="CL98" s="203"/>
      <c r="CM98" s="203"/>
      <c r="CN98" s="203"/>
      <c r="CO98" s="203"/>
      <c r="CP98" s="203"/>
      <c r="CQ98" s="204"/>
      <c r="CR98" s="203"/>
      <c r="CS98" s="203"/>
      <c r="CT98" s="203"/>
      <c r="CU98" s="203"/>
      <c r="CV98" s="203"/>
      <c r="CW98" s="202">
        <v>0</v>
      </c>
      <c r="CX98" s="205">
        <f t="shared" si="182"/>
        <v>0</v>
      </c>
      <c r="CY98" s="202">
        <v>100</v>
      </c>
      <c r="CZ98" s="202">
        <v>0</v>
      </c>
      <c r="DA98" s="202">
        <v>0</v>
      </c>
      <c r="DB98" s="202" t="s">
        <v>434</v>
      </c>
      <c r="DC98" s="204"/>
      <c r="DD98" s="203"/>
      <c r="DE98" s="203"/>
      <c r="DF98" s="203"/>
      <c r="DG98" s="203"/>
      <c r="DH98" s="203"/>
      <c r="DI98" s="204"/>
      <c r="DJ98" s="203"/>
      <c r="DK98" s="203"/>
      <c r="DL98" s="203"/>
      <c r="DM98" s="203"/>
      <c r="DN98" s="203"/>
    </row>
    <row r="99" spans="2:118" x14ac:dyDescent="0.35">
      <c r="B99" s="201" t="s">
        <v>462</v>
      </c>
      <c r="C99" s="13"/>
      <c r="D99" s="13"/>
      <c r="E99" s="202">
        <v>0</v>
      </c>
      <c r="F99" s="205">
        <f t="shared" si="128"/>
        <v>0</v>
      </c>
      <c r="G99" s="202">
        <v>950</v>
      </c>
      <c r="H99" s="202">
        <v>0.25</v>
      </c>
      <c r="I99" s="202">
        <v>4</v>
      </c>
      <c r="J99" s="202" t="s">
        <v>434</v>
      </c>
      <c r="K99" s="202">
        <v>1</v>
      </c>
      <c r="L99" s="205">
        <f t="shared" ref="L99:L107" si="183">IF(ISNUMBER(K99),K99*(M99/K$41+N99*(1+O99/K$28^0.3)),0)</f>
        <v>0.84275335889376046</v>
      </c>
      <c r="M99" s="202">
        <v>950</v>
      </c>
      <c r="N99" s="202">
        <v>0.25</v>
      </c>
      <c r="O99" s="202">
        <v>4</v>
      </c>
      <c r="P99" s="202" t="s">
        <v>434</v>
      </c>
      <c r="Q99" s="202">
        <v>1</v>
      </c>
      <c r="R99" s="205">
        <f t="shared" ref="R99:R107" si="184">IF(ISNUMBER(Q99),Q99*(S99/Q$41+T99*(1+U99/Q$28^0.3)),0)</f>
        <v>0.84275335889376046</v>
      </c>
      <c r="S99" s="202">
        <v>950</v>
      </c>
      <c r="T99" s="202">
        <v>0.25</v>
      </c>
      <c r="U99" s="202">
        <v>4</v>
      </c>
      <c r="V99" s="202" t="s">
        <v>434</v>
      </c>
      <c r="W99" s="202">
        <v>1</v>
      </c>
      <c r="X99" s="205">
        <f t="shared" ref="X99:X107" si="185">IF(ISNUMBER(W99),W99*(Y99/W$41+Z99*(1+AA99/W$28^0.3)),0)</f>
        <v>0.83885903680016682</v>
      </c>
      <c r="Y99" s="202">
        <v>950</v>
      </c>
      <c r="Z99" s="202">
        <v>0.25</v>
      </c>
      <c r="AA99" s="202">
        <v>4</v>
      </c>
      <c r="AB99" s="202" t="s">
        <v>434</v>
      </c>
      <c r="AC99" s="202">
        <v>1</v>
      </c>
      <c r="AD99" s="205">
        <f t="shared" ref="AD99:AD107" si="186">IF(ISNUMBER(AC99),AC99*(AE99/AC$41+AF99*(1+AG99/AC$28^0.3)),0)</f>
        <v>0.91285285071674316</v>
      </c>
      <c r="AE99" s="202">
        <v>950</v>
      </c>
      <c r="AF99" s="202">
        <v>0.25</v>
      </c>
      <c r="AG99" s="202">
        <v>4</v>
      </c>
      <c r="AH99" s="202" t="s">
        <v>434</v>
      </c>
      <c r="AI99" s="202">
        <v>1</v>
      </c>
      <c r="AJ99" s="205">
        <f t="shared" ref="AJ99:AJ107" si="187">IF(ISNUMBER(AI99),AI99*(AK99/AI$41+AL99*(1+AM99/AI$28^0.3)),0)</f>
        <v>0.91285285071674316</v>
      </c>
      <c r="AK99" s="202">
        <v>950</v>
      </c>
      <c r="AL99" s="202">
        <v>0.25</v>
      </c>
      <c r="AM99" s="202">
        <v>4</v>
      </c>
      <c r="AN99" s="202" t="s">
        <v>434</v>
      </c>
      <c r="AO99" s="202">
        <v>1</v>
      </c>
      <c r="AP99" s="205">
        <f t="shared" ref="AP99:AP107" si="188">IF(ISNUMBER(AO99),AO99*(AQ99/AO$41+AR99*(1+AS99/AO$28^0.3)),0)</f>
        <v>0.91285285071674316</v>
      </c>
      <c r="AQ99" s="202">
        <v>950</v>
      </c>
      <c r="AR99" s="202">
        <v>0.25</v>
      </c>
      <c r="AS99" s="202">
        <v>4</v>
      </c>
      <c r="AT99" s="202" t="s">
        <v>434</v>
      </c>
      <c r="AU99" s="202">
        <v>1</v>
      </c>
      <c r="AV99" s="205">
        <f t="shared" ref="AV99:AV107" si="189">IF(ISNUMBER(AU99),AU99*(AW99/AU$41+AX99*(1+AY99/AU$28^0.3)),0)</f>
        <v>0.91285374557593602</v>
      </c>
      <c r="AW99" s="202">
        <v>950</v>
      </c>
      <c r="AX99" s="202">
        <v>0.25</v>
      </c>
      <c r="AY99" s="202">
        <v>4</v>
      </c>
      <c r="AZ99" s="202" t="s">
        <v>434</v>
      </c>
      <c r="BA99" s="202">
        <v>1</v>
      </c>
      <c r="BB99" s="205">
        <f t="shared" ref="BB99:BB107" si="190">IF(ISNUMBER(BA99),BA99*(BC99/BA$41+BD99*(1+BE99/BA$28^0.3)),0)</f>
        <v>0.91285374557593602</v>
      </c>
      <c r="BC99" s="202">
        <v>950</v>
      </c>
      <c r="BD99" s="202">
        <v>0.25</v>
      </c>
      <c r="BE99" s="202">
        <v>4</v>
      </c>
      <c r="BF99" s="202" t="s">
        <v>434</v>
      </c>
      <c r="BG99" s="202">
        <v>1</v>
      </c>
      <c r="BH99" s="205">
        <f t="shared" ref="BH99:BH107" si="191">IF(ISNUMBER(BG99),BG99*(BI99/BG$41+BJ99*(1+BK99/BG$28^0.3)),0)</f>
        <v>0.91285374557593602</v>
      </c>
      <c r="BI99" s="202">
        <v>950</v>
      </c>
      <c r="BJ99" s="202">
        <v>0.25</v>
      </c>
      <c r="BK99" s="202">
        <v>4</v>
      </c>
      <c r="BL99" s="202" t="s">
        <v>434</v>
      </c>
      <c r="BM99" s="202">
        <v>1</v>
      </c>
      <c r="BN99" s="205">
        <f t="shared" ref="BN99:BN107" si="192">IF(ISNUMBER(BM99),BM99*(BO99/BM$41+BP99*(1+BQ99/BM$28^0.3)),0)</f>
        <v>0.80367322687331044</v>
      </c>
      <c r="BO99" s="202">
        <v>950</v>
      </c>
      <c r="BP99" s="202">
        <v>0.25</v>
      </c>
      <c r="BQ99" s="202">
        <v>4</v>
      </c>
      <c r="BR99" s="202" t="s">
        <v>434</v>
      </c>
      <c r="BS99" s="202">
        <v>1</v>
      </c>
      <c r="BT99" s="205">
        <f t="shared" ref="BT99:BT107" si="193">IF(ISNUMBER(BS99),BS99*(BU99/BS$41+BV99*(1+BW99/BS$28^0.3)),0)</f>
        <v>0.79939401999001303</v>
      </c>
      <c r="BU99" s="202">
        <v>950</v>
      </c>
      <c r="BV99" s="202">
        <v>0.25</v>
      </c>
      <c r="BW99" s="202">
        <v>4</v>
      </c>
      <c r="BX99" s="202" t="s">
        <v>434</v>
      </c>
      <c r="BY99" s="202">
        <v>1</v>
      </c>
      <c r="BZ99" s="205">
        <f t="shared" ref="BZ99:BZ107" si="194">IF(ISNUMBER(BY99),BY99*(CA99/BY$41+CB99*(1+CC99/BY$28^0.3)),0)</f>
        <v>0.91656768103413977</v>
      </c>
      <c r="CA99" s="202">
        <v>950</v>
      </c>
      <c r="CB99" s="202">
        <v>0.25</v>
      </c>
      <c r="CC99" s="202">
        <v>4</v>
      </c>
      <c r="CD99" s="202" t="s">
        <v>434</v>
      </c>
      <c r="CE99" s="202">
        <v>1</v>
      </c>
      <c r="CF99" s="205">
        <f t="shared" ref="CF99:CF107" si="195">IF(ISNUMBER(CE99),CE99*(CG99/CE$41+CH99*(1+CI99/CE$28^0.3)),0)</f>
        <v>0.91656768103413977</v>
      </c>
      <c r="CG99" s="202">
        <v>950</v>
      </c>
      <c r="CH99" s="202">
        <v>0.25</v>
      </c>
      <c r="CI99" s="202">
        <v>4</v>
      </c>
      <c r="CJ99" s="202" t="s">
        <v>434</v>
      </c>
      <c r="CK99" s="202">
        <v>1</v>
      </c>
      <c r="CL99" s="205">
        <f t="shared" ref="CL99:CL107" si="196">IF(ISNUMBER(CK99),CK99*(CM99/CK$41+CN99*(1+CO99/CK$28^0.3)),0)</f>
        <v>0.98041049325733332</v>
      </c>
      <c r="CM99" s="202">
        <v>950</v>
      </c>
      <c r="CN99" s="202">
        <v>0.25</v>
      </c>
      <c r="CO99" s="202">
        <v>4</v>
      </c>
      <c r="CP99" s="202" t="s">
        <v>434</v>
      </c>
      <c r="CQ99" s="202">
        <v>1</v>
      </c>
      <c r="CR99" s="205">
        <f t="shared" ref="CR99:CR107" si="197">IF(ISNUMBER(CQ99),CQ99*(CS99/CQ$41+CT99*(1+CU99/CQ$28^0.3)),0)</f>
        <v>0.98041049325733332</v>
      </c>
      <c r="CS99" s="202">
        <v>950</v>
      </c>
      <c r="CT99" s="202">
        <v>0.25</v>
      </c>
      <c r="CU99" s="202">
        <v>4</v>
      </c>
      <c r="CV99" s="202" t="s">
        <v>434</v>
      </c>
      <c r="CW99" s="204"/>
      <c r="CX99" s="203"/>
      <c r="CY99" s="203"/>
      <c r="CZ99" s="203"/>
      <c r="DA99" s="203"/>
      <c r="DB99" s="203"/>
      <c r="DC99" s="202">
        <v>1</v>
      </c>
      <c r="DD99" s="205">
        <f t="shared" ref="DD99:DD107" si="198">IF(ISNUMBER(DC99),DC99*(DE99/DC$41+DF99*(1+DG99/DC$28^0.3)),0)</f>
        <v>0.98041049325733332</v>
      </c>
      <c r="DE99" s="202">
        <v>950</v>
      </c>
      <c r="DF99" s="202">
        <v>0.25</v>
      </c>
      <c r="DG99" s="202">
        <v>4</v>
      </c>
      <c r="DH99" s="202" t="s">
        <v>434</v>
      </c>
      <c r="DI99" s="202">
        <v>1</v>
      </c>
      <c r="DJ99" s="205">
        <f t="shared" ref="DJ99:DJ107" si="199">IF(ISNUMBER(DI99),DI99*(DK99/DI$41+DL99*(1+DM99/DI$28^0.3)),0)</f>
        <v>0.98041049325733332</v>
      </c>
      <c r="DK99" s="202">
        <v>950</v>
      </c>
      <c r="DL99" s="202">
        <v>0.25</v>
      </c>
      <c r="DM99" s="202">
        <v>4</v>
      </c>
      <c r="DN99" s="202" t="s">
        <v>434</v>
      </c>
    </row>
    <row r="100" spans="2:118" x14ac:dyDescent="0.35">
      <c r="B100" s="201" t="s">
        <v>463</v>
      </c>
      <c r="C100" s="13"/>
      <c r="D100" s="13"/>
      <c r="E100" s="202">
        <v>0</v>
      </c>
      <c r="F100" s="205">
        <f t="shared" si="128"/>
        <v>0</v>
      </c>
      <c r="G100" s="202">
        <v>1000</v>
      </c>
      <c r="H100" s="202">
        <v>0.69</v>
      </c>
      <c r="I100" s="202">
        <v>4</v>
      </c>
      <c r="J100" s="202" t="s">
        <v>434</v>
      </c>
      <c r="K100" s="202">
        <v>0</v>
      </c>
      <c r="L100" s="205">
        <f t="shared" si="183"/>
        <v>0</v>
      </c>
      <c r="M100" s="202">
        <v>1000</v>
      </c>
      <c r="N100" s="202">
        <v>0.69</v>
      </c>
      <c r="O100" s="202">
        <v>4</v>
      </c>
      <c r="P100" s="202" t="s">
        <v>434</v>
      </c>
      <c r="Q100" s="202">
        <v>0</v>
      </c>
      <c r="R100" s="205">
        <f t="shared" si="184"/>
        <v>0</v>
      </c>
      <c r="S100" s="202">
        <v>1000</v>
      </c>
      <c r="T100" s="202">
        <v>0.69</v>
      </c>
      <c r="U100" s="202">
        <v>4</v>
      </c>
      <c r="V100" s="202" t="s">
        <v>434</v>
      </c>
      <c r="W100" s="202">
        <v>0</v>
      </c>
      <c r="X100" s="205">
        <f t="shared" si="185"/>
        <v>0</v>
      </c>
      <c r="Y100" s="202">
        <v>1000</v>
      </c>
      <c r="Z100" s="202">
        <v>0.69</v>
      </c>
      <c r="AA100" s="202">
        <v>4</v>
      </c>
      <c r="AB100" s="202" t="s">
        <v>434</v>
      </c>
      <c r="AC100" s="202">
        <v>0</v>
      </c>
      <c r="AD100" s="205">
        <f t="shared" si="186"/>
        <v>0</v>
      </c>
      <c r="AE100" s="202">
        <v>1000</v>
      </c>
      <c r="AF100" s="202">
        <v>0.69</v>
      </c>
      <c r="AG100" s="202">
        <v>4</v>
      </c>
      <c r="AH100" s="202" t="s">
        <v>434</v>
      </c>
      <c r="AI100" s="202">
        <v>0</v>
      </c>
      <c r="AJ100" s="205">
        <f t="shared" si="187"/>
        <v>0</v>
      </c>
      <c r="AK100" s="202">
        <v>1000</v>
      </c>
      <c r="AL100" s="202">
        <v>0.69</v>
      </c>
      <c r="AM100" s="202">
        <v>4</v>
      </c>
      <c r="AN100" s="202" t="s">
        <v>434</v>
      </c>
      <c r="AO100" s="202">
        <v>0</v>
      </c>
      <c r="AP100" s="205">
        <f t="shared" si="188"/>
        <v>0</v>
      </c>
      <c r="AQ100" s="202">
        <v>1000</v>
      </c>
      <c r="AR100" s="202">
        <v>0.69</v>
      </c>
      <c r="AS100" s="202">
        <v>4</v>
      </c>
      <c r="AT100" s="202" t="s">
        <v>434</v>
      </c>
      <c r="AU100" s="202">
        <v>0</v>
      </c>
      <c r="AV100" s="205">
        <f t="shared" si="189"/>
        <v>0</v>
      </c>
      <c r="AW100" s="202">
        <v>1000</v>
      </c>
      <c r="AX100" s="202">
        <v>0.69</v>
      </c>
      <c r="AY100" s="202">
        <v>4</v>
      </c>
      <c r="AZ100" s="202" t="s">
        <v>434</v>
      </c>
      <c r="BA100" s="202">
        <v>0</v>
      </c>
      <c r="BB100" s="205">
        <f t="shared" si="190"/>
        <v>0</v>
      </c>
      <c r="BC100" s="202">
        <v>1000</v>
      </c>
      <c r="BD100" s="202">
        <v>0.69</v>
      </c>
      <c r="BE100" s="202">
        <v>4</v>
      </c>
      <c r="BF100" s="202" t="s">
        <v>434</v>
      </c>
      <c r="BG100" s="202">
        <v>0</v>
      </c>
      <c r="BH100" s="205">
        <f t="shared" si="191"/>
        <v>0</v>
      </c>
      <c r="BI100" s="202">
        <v>1000</v>
      </c>
      <c r="BJ100" s="202">
        <v>0.69</v>
      </c>
      <c r="BK100" s="202">
        <v>4</v>
      </c>
      <c r="BL100" s="202" t="s">
        <v>434</v>
      </c>
      <c r="BM100" s="202">
        <v>0</v>
      </c>
      <c r="BN100" s="205">
        <f t="shared" si="192"/>
        <v>0</v>
      </c>
      <c r="BO100" s="202">
        <v>1000</v>
      </c>
      <c r="BP100" s="202">
        <v>0.69</v>
      </c>
      <c r="BQ100" s="202">
        <v>4</v>
      </c>
      <c r="BR100" s="202" t="s">
        <v>434</v>
      </c>
      <c r="BS100" s="202">
        <v>0</v>
      </c>
      <c r="BT100" s="205">
        <f t="shared" si="193"/>
        <v>0</v>
      </c>
      <c r="BU100" s="202">
        <v>1000</v>
      </c>
      <c r="BV100" s="202">
        <v>0.69</v>
      </c>
      <c r="BW100" s="202">
        <v>4</v>
      </c>
      <c r="BX100" s="202" t="s">
        <v>434</v>
      </c>
      <c r="BY100" s="202">
        <v>0</v>
      </c>
      <c r="BZ100" s="205">
        <f t="shared" si="194"/>
        <v>0</v>
      </c>
      <c r="CA100" s="202">
        <v>1000</v>
      </c>
      <c r="CB100" s="202">
        <v>0.69</v>
      </c>
      <c r="CC100" s="202">
        <v>4</v>
      </c>
      <c r="CD100" s="202" t="s">
        <v>434</v>
      </c>
      <c r="CE100" s="202">
        <v>0</v>
      </c>
      <c r="CF100" s="205">
        <f t="shared" si="195"/>
        <v>0</v>
      </c>
      <c r="CG100" s="202">
        <v>1000</v>
      </c>
      <c r="CH100" s="202">
        <v>0.69</v>
      </c>
      <c r="CI100" s="202">
        <v>4</v>
      </c>
      <c r="CJ100" s="202" t="s">
        <v>434</v>
      </c>
      <c r="CK100" s="202">
        <v>0</v>
      </c>
      <c r="CL100" s="205">
        <f t="shared" si="196"/>
        <v>0</v>
      </c>
      <c r="CM100" s="202">
        <v>1000</v>
      </c>
      <c r="CN100" s="202">
        <v>0.69</v>
      </c>
      <c r="CO100" s="202">
        <v>4</v>
      </c>
      <c r="CP100" s="202" t="s">
        <v>434</v>
      </c>
      <c r="CQ100" s="202">
        <v>0</v>
      </c>
      <c r="CR100" s="205">
        <f t="shared" si="197"/>
        <v>0</v>
      </c>
      <c r="CS100" s="202">
        <v>1000</v>
      </c>
      <c r="CT100" s="202">
        <v>0.69</v>
      </c>
      <c r="CU100" s="202">
        <v>4</v>
      </c>
      <c r="CV100" s="202" t="s">
        <v>434</v>
      </c>
      <c r="CW100" s="202">
        <v>1</v>
      </c>
      <c r="CX100" s="205">
        <f t="shared" ref="CX100:CX108" si="200">IF(ISNUMBER(CW100),CW100*(CY100/CW$41+CZ100*(1+DA100/CW$28^0.3)),0)</f>
        <v>0.98041049325733332</v>
      </c>
      <c r="CY100" s="202">
        <v>950</v>
      </c>
      <c r="CZ100" s="202">
        <v>0.25</v>
      </c>
      <c r="DA100" s="202">
        <v>4</v>
      </c>
      <c r="DB100" s="202" t="s">
        <v>434</v>
      </c>
      <c r="DC100" s="202">
        <v>0</v>
      </c>
      <c r="DD100" s="205">
        <f t="shared" si="198"/>
        <v>0</v>
      </c>
      <c r="DE100" s="202">
        <v>1000</v>
      </c>
      <c r="DF100" s="202">
        <v>0.69</v>
      </c>
      <c r="DG100" s="202">
        <v>4</v>
      </c>
      <c r="DH100" s="202" t="s">
        <v>434</v>
      </c>
      <c r="DI100" s="202">
        <v>0</v>
      </c>
      <c r="DJ100" s="205">
        <f t="shared" si="199"/>
        <v>0</v>
      </c>
      <c r="DK100" s="202">
        <v>1000</v>
      </c>
      <c r="DL100" s="202">
        <v>0.69</v>
      </c>
      <c r="DM100" s="202">
        <v>4</v>
      </c>
      <c r="DN100" s="202" t="s">
        <v>434</v>
      </c>
    </row>
    <row r="101" spans="2:118" x14ac:dyDescent="0.35">
      <c r="B101" s="201" t="s">
        <v>464</v>
      </c>
      <c r="C101" s="13"/>
      <c r="D101" s="13"/>
      <c r="E101" s="202">
        <v>0</v>
      </c>
      <c r="F101" s="205">
        <f t="shared" si="128"/>
        <v>0</v>
      </c>
      <c r="G101" s="202">
        <v>1500</v>
      </c>
      <c r="H101" s="202">
        <v>1.7</v>
      </c>
      <c r="I101" s="202">
        <v>3.6</v>
      </c>
      <c r="J101" s="202" t="s">
        <v>434</v>
      </c>
      <c r="K101" s="202">
        <v>0</v>
      </c>
      <c r="L101" s="205">
        <f t="shared" si="183"/>
        <v>0</v>
      </c>
      <c r="M101" s="202">
        <v>1500</v>
      </c>
      <c r="N101" s="202">
        <v>1.7</v>
      </c>
      <c r="O101" s="202">
        <v>3.6</v>
      </c>
      <c r="P101" s="202" t="s">
        <v>434</v>
      </c>
      <c r="Q101" s="202">
        <v>0</v>
      </c>
      <c r="R101" s="205">
        <f t="shared" si="184"/>
        <v>0</v>
      </c>
      <c r="S101" s="202">
        <v>1500</v>
      </c>
      <c r="T101" s="202">
        <v>1.7</v>
      </c>
      <c r="U101" s="202">
        <v>3.6</v>
      </c>
      <c r="V101" s="202" t="s">
        <v>434</v>
      </c>
      <c r="W101" s="202">
        <v>0</v>
      </c>
      <c r="X101" s="205">
        <f t="shared" si="185"/>
        <v>0</v>
      </c>
      <c r="Y101" s="202">
        <v>1500</v>
      </c>
      <c r="Z101" s="202">
        <v>1.7</v>
      </c>
      <c r="AA101" s="202">
        <v>3.6</v>
      </c>
      <c r="AB101" s="202" t="s">
        <v>434</v>
      </c>
      <c r="AC101" s="202">
        <v>0</v>
      </c>
      <c r="AD101" s="205">
        <f t="shared" si="186"/>
        <v>0</v>
      </c>
      <c r="AE101" s="202">
        <v>1500</v>
      </c>
      <c r="AF101" s="202">
        <v>1.7</v>
      </c>
      <c r="AG101" s="202">
        <v>3.6</v>
      </c>
      <c r="AH101" s="202" t="s">
        <v>434</v>
      </c>
      <c r="AI101" s="202">
        <v>0</v>
      </c>
      <c r="AJ101" s="205">
        <f t="shared" si="187"/>
        <v>0</v>
      </c>
      <c r="AK101" s="202">
        <v>1500</v>
      </c>
      <c r="AL101" s="202">
        <v>1.7</v>
      </c>
      <c r="AM101" s="202">
        <v>3.6</v>
      </c>
      <c r="AN101" s="202" t="s">
        <v>434</v>
      </c>
      <c r="AO101" s="202">
        <v>0</v>
      </c>
      <c r="AP101" s="205">
        <f t="shared" si="188"/>
        <v>0</v>
      </c>
      <c r="AQ101" s="202">
        <v>1500</v>
      </c>
      <c r="AR101" s="202">
        <v>1.7</v>
      </c>
      <c r="AS101" s="202">
        <v>3.6</v>
      </c>
      <c r="AT101" s="202" t="s">
        <v>434</v>
      </c>
      <c r="AU101" s="202">
        <v>0</v>
      </c>
      <c r="AV101" s="205">
        <f t="shared" si="189"/>
        <v>0</v>
      </c>
      <c r="AW101" s="202">
        <v>1500</v>
      </c>
      <c r="AX101" s="202">
        <v>1.7</v>
      </c>
      <c r="AY101" s="202">
        <v>3.6</v>
      </c>
      <c r="AZ101" s="202" t="s">
        <v>434</v>
      </c>
      <c r="BA101" s="202">
        <v>0</v>
      </c>
      <c r="BB101" s="205">
        <f t="shared" si="190"/>
        <v>0</v>
      </c>
      <c r="BC101" s="202">
        <v>1500</v>
      </c>
      <c r="BD101" s="202">
        <v>1.7</v>
      </c>
      <c r="BE101" s="202">
        <v>3.6</v>
      </c>
      <c r="BF101" s="202" t="s">
        <v>434</v>
      </c>
      <c r="BG101" s="202">
        <v>0</v>
      </c>
      <c r="BH101" s="205">
        <f t="shared" si="191"/>
        <v>0</v>
      </c>
      <c r="BI101" s="202">
        <v>1500</v>
      </c>
      <c r="BJ101" s="202">
        <v>1.7</v>
      </c>
      <c r="BK101" s="202">
        <v>3.6</v>
      </c>
      <c r="BL101" s="202" t="s">
        <v>434</v>
      </c>
      <c r="BM101" s="202">
        <v>0</v>
      </c>
      <c r="BN101" s="205">
        <f t="shared" si="192"/>
        <v>0</v>
      </c>
      <c r="BO101" s="202">
        <v>1500</v>
      </c>
      <c r="BP101" s="202">
        <v>1.7</v>
      </c>
      <c r="BQ101" s="202">
        <v>3.6</v>
      </c>
      <c r="BR101" s="202" t="s">
        <v>434</v>
      </c>
      <c r="BS101" s="202">
        <v>0</v>
      </c>
      <c r="BT101" s="205">
        <f t="shared" si="193"/>
        <v>0</v>
      </c>
      <c r="BU101" s="202">
        <v>1500</v>
      </c>
      <c r="BV101" s="202">
        <v>1.7</v>
      </c>
      <c r="BW101" s="202">
        <v>3.6</v>
      </c>
      <c r="BX101" s="202" t="s">
        <v>434</v>
      </c>
      <c r="BY101" s="202">
        <v>0</v>
      </c>
      <c r="BZ101" s="205">
        <f t="shared" si="194"/>
        <v>0</v>
      </c>
      <c r="CA101" s="202">
        <v>1500</v>
      </c>
      <c r="CB101" s="202">
        <v>1.7</v>
      </c>
      <c r="CC101" s="202">
        <v>3.6</v>
      </c>
      <c r="CD101" s="202" t="s">
        <v>434</v>
      </c>
      <c r="CE101" s="202">
        <v>0</v>
      </c>
      <c r="CF101" s="205">
        <f t="shared" si="195"/>
        <v>0</v>
      </c>
      <c r="CG101" s="202">
        <v>1500</v>
      </c>
      <c r="CH101" s="202">
        <v>1.7</v>
      </c>
      <c r="CI101" s="202">
        <v>3.6</v>
      </c>
      <c r="CJ101" s="202" t="s">
        <v>434</v>
      </c>
      <c r="CK101" s="202">
        <v>0</v>
      </c>
      <c r="CL101" s="205">
        <f t="shared" si="196"/>
        <v>0</v>
      </c>
      <c r="CM101" s="202">
        <v>1500</v>
      </c>
      <c r="CN101" s="202">
        <v>1.7</v>
      </c>
      <c r="CO101" s="202">
        <v>3.6</v>
      </c>
      <c r="CP101" s="202" t="s">
        <v>434</v>
      </c>
      <c r="CQ101" s="202">
        <v>0</v>
      </c>
      <c r="CR101" s="205">
        <f t="shared" si="197"/>
        <v>0</v>
      </c>
      <c r="CS101" s="202">
        <v>1500</v>
      </c>
      <c r="CT101" s="202">
        <v>1.7</v>
      </c>
      <c r="CU101" s="202">
        <v>3.6</v>
      </c>
      <c r="CV101" s="202" t="s">
        <v>434</v>
      </c>
      <c r="CW101" s="202">
        <v>0</v>
      </c>
      <c r="CX101" s="205">
        <f t="shared" si="200"/>
        <v>0</v>
      </c>
      <c r="CY101" s="202">
        <v>1000</v>
      </c>
      <c r="CZ101" s="202">
        <v>0.69</v>
      </c>
      <c r="DA101" s="202">
        <v>4</v>
      </c>
      <c r="DB101" s="202" t="s">
        <v>434</v>
      </c>
      <c r="DC101" s="202">
        <v>0</v>
      </c>
      <c r="DD101" s="205">
        <f t="shared" si="198"/>
        <v>0</v>
      </c>
      <c r="DE101" s="202">
        <v>1500</v>
      </c>
      <c r="DF101" s="202">
        <v>1.7</v>
      </c>
      <c r="DG101" s="202">
        <v>3.6</v>
      </c>
      <c r="DH101" s="202" t="s">
        <v>434</v>
      </c>
      <c r="DI101" s="202">
        <v>0</v>
      </c>
      <c r="DJ101" s="205">
        <f t="shared" si="199"/>
        <v>0</v>
      </c>
      <c r="DK101" s="202">
        <v>1500</v>
      </c>
      <c r="DL101" s="202">
        <v>1.7</v>
      </c>
      <c r="DM101" s="202">
        <v>3.6</v>
      </c>
      <c r="DN101" s="202" t="s">
        <v>434</v>
      </c>
    </row>
    <row r="102" spans="2:118" x14ac:dyDescent="0.35">
      <c r="B102" s="201" t="s">
        <v>465</v>
      </c>
      <c r="C102" s="13"/>
      <c r="D102" s="13"/>
      <c r="E102" s="202">
        <v>0</v>
      </c>
      <c r="F102" s="205">
        <f t="shared" si="128"/>
        <v>0</v>
      </c>
      <c r="G102" s="202">
        <v>500</v>
      </c>
      <c r="H102" s="202">
        <v>0.41</v>
      </c>
      <c r="I102" s="202">
        <v>4</v>
      </c>
      <c r="J102" s="202" t="s">
        <v>434</v>
      </c>
      <c r="K102" s="202">
        <v>0</v>
      </c>
      <c r="L102" s="205">
        <f t="shared" si="183"/>
        <v>0</v>
      </c>
      <c r="M102" s="202">
        <v>500</v>
      </c>
      <c r="N102" s="202">
        <v>0.41</v>
      </c>
      <c r="O102" s="202">
        <v>4</v>
      </c>
      <c r="P102" s="202" t="s">
        <v>434</v>
      </c>
      <c r="Q102" s="202">
        <v>0</v>
      </c>
      <c r="R102" s="205">
        <f t="shared" si="184"/>
        <v>0</v>
      </c>
      <c r="S102" s="202">
        <v>500</v>
      </c>
      <c r="T102" s="202">
        <v>0.41</v>
      </c>
      <c r="U102" s="202">
        <v>4</v>
      </c>
      <c r="V102" s="202" t="s">
        <v>434</v>
      </c>
      <c r="W102" s="202">
        <v>0</v>
      </c>
      <c r="X102" s="205">
        <f t="shared" si="185"/>
        <v>0</v>
      </c>
      <c r="Y102" s="202">
        <v>500</v>
      </c>
      <c r="Z102" s="202">
        <v>0.41</v>
      </c>
      <c r="AA102" s="202">
        <v>4</v>
      </c>
      <c r="AB102" s="202" t="s">
        <v>434</v>
      </c>
      <c r="AC102" s="202">
        <v>0</v>
      </c>
      <c r="AD102" s="205">
        <f t="shared" si="186"/>
        <v>0</v>
      </c>
      <c r="AE102" s="202">
        <v>500</v>
      </c>
      <c r="AF102" s="202">
        <v>0.41</v>
      </c>
      <c r="AG102" s="202">
        <v>4</v>
      </c>
      <c r="AH102" s="202" t="s">
        <v>434</v>
      </c>
      <c r="AI102" s="202">
        <v>0</v>
      </c>
      <c r="AJ102" s="205">
        <f t="shared" si="187"/>
        <v>0</v>
      </c>
      <c r="AK102" s="202">
        <v>500</v>
      </c>
      <c r="AL102" s="202">
        <v>0.41</v>
      </c>
      <c r="AM102" s="202">
        <v>4</v>
      </c>
      <c r="AN102" s="202" t="s">
        <v>434</v>
      </c>
      <c r="AO102" s="202">
        <v>0</v>
      </c>
      <c r="AP102" s="205">
        <f t="shared" si="188"/>
        <v>0</v>
      </c>
      <c r="AQ102" s="202">
        <v>500</v>
      </c>
      <c r="AR102" s="202">
        <v>0.41</v>
      </c>
      <c r="AS102" s="202">
        <v>4</v>
      </c>
      <c r="AT102" s="202" t="s">
        <v>434</v>
      </c>
      <c r="AU102" s="202">
        <v>0</v>
      </c>
      <c r="AV102" s="205">
        <f t="shared" si="189"/>
        <v>0</v>
      </c>
      <c r="AW102" s="202">
        <v>500</v>
      </c>
      <c r="AX102" s="202">
        <v>0.41</v>
      </c>
      <c r="AY102" s="202">
        <v>4</v>
      </c>
      <c r="AZ102" s="202" t="s">
        <v>434</v>
      </c>
      <c r="BA102" s="202">
        <v>0</v>
      </c>
      <c r="BB102" s="205">
        <f t="shared" si="190"/>
        <v>0</v>
      </c>
      <c r="BC102" s="202">
        <v>500</v>
      </c>
      <c r="BD102" s="202">
        <v>0.41</v>
      </c>
      <c r="BE102" s="202">
        <v>4</v>
      </c>
      <c r="BF102" s="202" t="s">
        <v>434</v>
      </c>
      <c r="BG102" s="202">
        <v>0</v>
      </c>
      <c r="BH102" s="205">
        <f t="shared" si="191"/>
        <v>0</v>
      </c>
      <c r="BI102" s="202">
        <v>500</v>
      </c>
      <c r="BJ102" s="202">
        <v>0.41</v>
      </c>
      <c r="BK102" s="202">
        <v>4</v>
      </c>
      <c r="BL102" s="202" t="s">
        <v>434</v>
      </c>
      <c r="BM102" s="202">
        <v>0</v>
      </c>
      <c r="BN102" s="205">
        <f t="shared" si="192"/>
        <v>0</v>
      </c>
      <c r="BO102" s="202">
        <v>500</v>
      </c>
      <c r="BP102" s="202">
        <v>0.41</v>
      </c>
      <c r="BQ102" s="202">
        <v>4</v>
      </c>
      <c r="BR102" s="202" t="s">
        <v>434</v>
      </c>
      <c r="BS102" s="202">
        <v>0</v>
      </c>
      <c r="BT102" s="205">
        <f t="shared" si="193"/>
        <v>0</v>
      </c>
      <c r="BU102" s="202">
        <v>500</v>
      </c>
      <c r="BV102" s="202">
        <v>0.41</v>
      </c>
      <c r="BW102" s="202">
        <v>4</v>
      </c>
      <c r="BX102" s="202" t="s">
        <v>434</v>
      </c>
      <c r="BY102" s="202">
        <v>0</v>
      </c>
      <c r="BZ102" s="205">
        <f t="shared" si="194"/>
        <v>0</v>
      </c>
      <c r="CA102" s="202">
        <v>500</v>
      </c>
      <c r="CB102" s="202">
        <v>0.41</v>
      </c>
      <c r="CC102" s="202">
        <v>4</v>
      </c>
      <c r="CD102" s="202" t="s">
        <v>434</v>
      </c>
      <c r="CE102" s="202">
        <v>0</v>
      </c>
      <c r="CF102" s="205">
        <f t="shared" si="195"/>
        <v>0</v>
      </c>
      <c r="CG102" s="202">
        <v>500</v>
      </c>
      <c r="CH102" s="202">
        <v>0.41</v>
      </c>
      <c r="CI102" s="202">
        <v>4</v>
      </c>
      <c r="CJ102" s="202" t="s">
        <v>434</v>
      </c>
      <c r="CK102" s="202">
        <v>0</v>
      </c>
      <c r="CL102" s="205">
        <f t="shared" si="196"/>
        <v>0</v>
      </c>
      <c r="CM102" s="202">
        <v>500</v>
      </c>
      <c r="CN102" s="202">
        <v>0.41</v>
      </c>
      <c r="CO102" s="202">
        <v>4</v>
      </c>
      <c r="CP102" s="202" t="s">
        <v>434</v>
      </c>
      <c r="CQ102" s="202">
        <v>0</v>
      </c>
      <c r="CR102" s="205">
        <f t="shared" si="197"/>
        <v>0</v>
      </c>
      <c r="CS102" s="202">
        <v>500</v>
      </c>
      <c r="CT102" s="202">
        <v>0.41</v>
      </c>
      <c r="CU102" s="202">
        <v>4</v>
      </c>
      <c r="CV102" s="202" t="s">
        <v>434</v>
      </c>
      <c r="CW102" s="202">
        <v>0</v>
      </c>
      <c r="CX102" s="205">
        <f t="shared" si="200"/>
        <v>0</v>
      </c>
      <c r="CY102" s="202">
        <v>1500</v>
      </c>
      <c r="CZ102" s="202">
        <v>1.7</v>
      </c>
      <c r="DA102" s="202">
        <v>3.6</v>
      </c>
      <c r="DB102" s="202" t="s">
        <v>434</v>
      </c>
      <c r="DC102" s="202">
        <v>0</v>
      </c>
      <c r="DD102" s="205">
        <f t="shared" si="198"/>
        <v>0</v>
      </c>
      <c r="DE102" s="202">
        <v>500</v>
      </c>
      <c r="DF102" s="202">
        <v>0.41</v>
      </c>
      <c r="DG102" s="202">
        <v>4</v>
      </c>
      <c r="DH102" s="202" t="s">
        <v>434</v>
      </c>
      <c r="DI102" s="202">
        <v>0</v>
      </c>
      <c r="DJ102" s="205">
        <f t="shared" si="199"/>
        <v>0</v>
      </c>
      <c r="DK102" s="202">
        <v>500</v>
      </c>
      <c r="DL102" s="202">
        <v>0.41</v>
      </c>
      <c r="DM102" s="202">
        <v>4</v>
      </c>
      <c r="DN102" s="202" t="s">
        <v>434</v>
      </c>
    </row>
    <row r="103" spans="2:118" x14ac:dyDescent="0.35">
      <c r="B103" s="201" t="s">
        <v>466</v>
      </c>
      <c r="C103" s="13"/>
      <c r="D103" s="13"/>
      <c r="E103" s="202">
        <v>0</v>
      </c>
      <c r="F103" s="205">
        <f t="shared" si="128"/>
        <v>0</v>
      </c>
      <c r="G103" s="202">
        <v>300</v>
      </c>
      <c r="H103" s="202">
        <v>8.4000000000000005E-2</v>
      </c>
      <c r="I103" s="202">
        <v>3.9</v>
      </c>
      <c r="J103" s="202" t="s">
        <v>434</v>
      </c>
      <c r="K103" s="202">
        <v>0</v>
      </c>
      <c r="L103" s="205">
        <f t="shared" si="183"/>
        <v>0</v>
      </c>
      <c r="M103" s="202">
        <v>300</v>
      </c>
      <c r="N103" s="202">
        <v>8.4000000000000005E-2</v>
      </c>
      <c r="O103" s="202">
        <v>3.9</v>
      </c>
      <c r="P103" s="202" t="s">
        <v>434</v>
      </c>
      <c r="Q103" s="202">
        <v>0</v>
      </c>
      <c r="R103" s="205">
        <f t="shared" si="184"/>
        <v>0</v>
      </c>
      <c r="S103" s="202">
        <v>300</v>
      </c>
      <c r="T103" s="202">
        <v>8.4000000000000005E-2</v>
      </c>
      <c r="U103" s="202">
        <v>3.9</v>
      </c>
      <c r="V103" s="202" t="s">
        <v>434</v>
      </c>
      <c r="W103" s="202">
        <v>0</v>
      </c>
      <c r="X103" s="205">
        <f t="shared" si="185"/>
        <v>0</v>
      </c>
      <c r="Y103" s="202">
        <v>300</v>
      </c>
      <c r="Z103" s="202">
        <v>8.4000000000000005E-2</v>
      </c>
      <c r="AA103" s="202">
        <v>3.9</v>
      </c>
      <c r="AB103" s="202" t="s">
        <v>434</v>
      </c>
      <c r="AC103" s="202">
        <v>0</v>
      </c>
      <c r="AD103" s="205">
        <f t="shared" si="186"/>
        <v>0</v>
      </c>
      <c r="AE103" s="202">
        <v>300</v>
      </c>
      <c r="AF103" s="202">
        <v>8.4000000000000005E-2</v>
      </c>
      <c r="AG103" s="202">
        <v>3.9</v>
      </c>
      <c r="AH103" s="202" t="s">
        <v>434</v>
      </c>
      <c r="AI103" s="202">
        <v>0</v>
      </c>
      <c r="AJ103" s="205">
        <f t="shared" si="187"/>
        <v>0</v>
      </c>
      <c r="AK103" s="202">
        <v>300</v>
      </c>
      <c r="AL103" s="202">
        <v>8.4000000000000005E-2</v>
      </c>
      <c r="AM103" s="202">
        <v>3.9</v>
      </c>
      <c r="AN103" s="202" t="s">
        <v>434</v>
      </c>
      <c r="AO103" s="202">
        <v>0</v>
      </c>
      <c r="AP103" s="205">
        <f t="shared" si="188"/>
        <v>0</v>
      </c>
      <c r="AQ103" s="202">
        <v>300</v>
      </c>
      <c r="AR103" s="202">
        <v>8.4000000000000005E-2</v>
      </c>
      <c r="AS103" s="202">
        <v>3.9</v>
      </c>
      <c r="AT103" s="202" t="s">
        <v>434</v>
      </c>
      <c r="AU103" s="202">
        <v>0</v>
      </c>
      <c r="AV103" s="205">
        <f t="shared" si="189"/>
        <v>0</v>
      </c>
      <c r="AW103" s="202">
        <v>300</v>
      </c>
      <c r="AX103" s="202">
        <v>8.4000000000000005E-2</v>
      </c>
      <c r="AY103" s="202">
        <v>3.9</v>
      </c>
      <c r="AZ103" s="202" t="s">
        <v>434</v>
      </c>
      <c r="BA103" s="202">
        <v>0</v>
      </c>
      <c r="BB103" s="205">
        <f t="shared" si="190"/>
        <v>0</v>
      </c>
      <c r="BC103" s="202">
        <v>300</v>
      </c>
      <c r="BD103" s="202">
        <v>8.4000000000000005E-2</v>
      </c>
      <c r="BE103" s="202">
        <v>3.9</v>
      </c>
      <c r="BF103" s="202" t="s">
        <v>434</v>
      </c>
      <c r="BG103" s="202">
        <v>0</v>
      </c>
      <c r="BH103" s="205">
        <f t="shared" si="191"/>
        <v>0</v>
      </c>
      <c r="BI103" s="202">
        <v>300</v>
      </c>
      <c r="BJ103" s="202">
        <v>8.4000000000000005E-2</v>
      </c>
      <c r="BK103" s="202">
        <v>3.9</v>
      </c>
      <c r="BL103" s="202" t="s">
        <v>434</v>
      </c>
      <c r="BM103" s="202">
        <v>0</v>
      </c>
      <c r="BN103" s="205">
        <f t="shared" si="192"/>
        <v>0</v>
      </c>
      <c r="BO103" s="202">
        <v>300</v>
      </c>
      <c r="BP103" s="202">
        <v>8.4000000000000005E-2</v>
      </c>
      <c r="BQ103" s="202">
        <v>3.9</v>
      </c>
      <c r="BR103" s="202" t="s">
        <v>434</v>
      </c>
      <c r="BS103" s="202">
        <v>0</v>
      </c>
      <c r="BT103" s="205">
        <f t="shared" si="193"/>
        <v>0</v>
      </c>
      <c r="BU103" s="202">
        <v>300</v>
      </c>
      <c r="BV103" s="202">
        <v>8.4000000000000005E-2</v>
      </c>
      <c r="BW103" s="202">
        <v>3.9</v>
      </c>
      <c r="BX103" s="202" t="s">
        <v>434</v>
      </c>
      <c r="BY103" s="202">
        <v>0</v>
      </c>
      <c r="BZ103" s="205">
        <f t="shared" si="194"/>
        <v>0</v>
      </c>
      <c r="CA103" s="202">
        <v>300</v>
      </c>
      <c r="CB103" s="202">
        <v>8.4000000000000005E-2</v>
      </c>
      <c r="CC103" s="202">
        <v>3.9</v>
      </c>
      <c r="CD103" s="202" t="s">
        <v>434</v>
      </c>
      <c r="CE103" s="202">
        <v>0</v>
      </c>
      <c r="CF103" s="205">
        <f t="shared" si="195"/>
        <v>0</v>
      </c>
      <c r="CG103" s="202">
        <v>300</v>
      </c>
      <c r="CH103" s="202">
        <v>8.4000000000000005E-2</v>
      </c>
      <c r="CI103" s="202">
        <v>3.9</v>
      </c>
      <c r="CJ103" s="202" t="s">
        <v>434</v>
      </c>
      <c r="CK103" s="202">
        <v>0</v>
      </c>
      <c r="CL103" s="205">
        <f t="shared" si="196"/>
        <v>0</v>
      </c>
      <c r="CM103" s="202">
        <v>300</v>
      </c>
      <c r="CN103" s="202">
        <v>8.4000000000000005E-2</v>
      </c>
      <c r="CO103" s="202">
        <v>3.9</v>
      </c>
      <c r="CP103" s="202" t="s">
        <v>434</v>
      </c>
      <c r="CQ103" s="202">
        <v>0</v>
      </c>
      <c r="CR103" s="205">
        <f t="shared" si="197"/>
        <v>0</v>
      </c>
      <c r="CS103" s="202">
        <v>300</v>
      </c>
      <c r="CT103" s="202">
        <v>8.4000000000000005E-2</v>
      </c>
      <c r="CU103" s="202">
        <v>3.9</v>
      </c>
      <c r="CV103" s="202" t="s">
        <v>434</v>
      </c>
      <c r="CW103" s="202">
        <v>0</v>
      </c>
      <c r="CX103" s="205">
        <f t="shared" si="200"/>
        <v>0</v>
      </c>
      <c r="CY103" s="202">
        <v>500</v>
      </c>
      <c r="CZ103" s="202">
        <v>0.41</v>
      </c>
      <c r="DA103" s="202">
        <v>4</v>
      </c>
      <c r="DB103" s="202" t="s">
        <v>434</v>
      </c>
      <c r="DC103" s="202">
        <v>0</v>
      </c>
      <c r="DD103" s="205">
        <f t="shared" si="198"/>
        <v>0</v>
      </c>
      <c r="DE103" s="202">
        <v>300</v>
      </c>
      <c r="DF103" s="202">
        <v>8.4000000000000005E-2</v>
      </c>
      <c r="DG103" s="202">
        <v>3.9</v>
      </c>
      <c r="DH103" s="202" t="s">
        <v>434</v>
      </c>
      <c r="DI103" s="202">
        <v>0</v>
      </c>
      <c r="DJ103" s="205">
        <f t="shared" si="199"/>
        <v>0</v>
      </c>
      <c r="DK103" s="202">
        <v>300</v>
      </c>
      <c r="DL103" s="202">
        <v>8.4000000000000005E-2</v>
      </c>
      <c r="DM103" s="202">
        <v>3.9</v>
      </c>
      <c r="DN103" s="202" t="s">
        <v>434</v>
      </c>
    </row>
    <row r="104" spans="2:118" x14ac:dyDescent="0.35">
      <c r="B104" s="201" t="s">
        <v>467</v>
      </c>
      <c r="C104" s="13"/>
      <c r="D104" s="13"/>
      <c r="E104" s="202">
        <v>0</v>
      </c>
      <c r="F104" s="205">
        <f t="shared" si="128"/>
        <v>0</v>
      </c>
      <c r="G104" s="202">
        <v>300</v>
      </c>
      <c r="H104" s="202">
        <v>0.14000000000000001</v>
      </c>
      <c r="I104" s="202">
        <v>4</v>
      </c>
      <c r="J104" s="202" t="s">
        <v>434</v>
      </c>
      <c r="K104" s="202">
        <v>2</v>
      </c>
      <c r="L104" s="205">
        <f t="shared" si="183"/>
        <v>0.93970156984394315</v>
      </c>
      <c r="M104" s="202">
        <v>300</v>
      </c>
      <c r="N104" s="202">
        <v>0.14000000000000001</v>
      </c>
      <c r="O104" s="202">
        <v>4</v>
      </c>
      <c r="P104" s="202" t="s">
        <v>434</v>
      </c>
      <c r="Q104" s="202">
        <v>2</v>
      </c>
      <c r="R104" s="205">
        <f t="shared" si="184"/>
        <v>0.93970156984394315</v>
      </c>
      <c r="S104" s="202">
        <v>300</v>
      </c>
      <c r="T104" s="202">
        <v>0.14000000000000001</v>
      </c>
      <c r="U104" s="202">
        <v>4</v>
      </c>
      <c r="V104" s="202" t="s">
        <v>434</v>
      </c>
      <c r="W104" s="202">
        <v>2</v>
      </c>
      <c r="X104" s="205">
        <f t="shared" si="185"/>
        <v>0.93724199799535768</v>
      </c>
      <c r="Y104" s="202">
        <v>300</v>
      </c>
      <c r="Z104" s="202">
        <v>0.14000000000000001</v>
      </c>
      <c r="AA104" s="202">
        <v>4</v>
      </c>
      <c r="AB104" s="202" t="s">
        <v>434</v>
      </c>
      <c r="AC104" s="202">
        <v>2</v>
      </c>
      <c r="AD104" s="205">
        <f t="shared" si="186"/>
        <v>1.0208816270835344</v>
      </c>
      <c r="AE104" s="202">
        <v>300</v>
      </c>
      <c r="AF104" s="202">
        <v>0.14000000000000001</v>
      </c>
      <c r="AG104" s="202">
        <v>4</v>
      </c>
      <c r="AH104" s="202" t="s">
        <v>434</v>
      </c>
      <c r="AI104" s="202">
        <v>2</v>
      </c>
      <c r="AJ104" s="205">
        <f t="shared" si="187"/>
        <v>1.0208816270835344</v>
      </c>
      <c r="AK104" s="202">
        <v>300</v>
      </c>
      <c r="AL104" s="202">
        <v>0.14000000000000001</v>
      </c>
      <c r="AM104" s="202">
        <v>4</v>
      </c>
      <c r="AN104" s="202" t="s">
        <v>434</v>
      </c>
      <c r="AO104" s="202">
        <v>2</v>
      </c>
      <c r="AP104" s="205">
        <f t="shared" si="188"/>
        <v>1.0208816270835344</v>
      </c>
      <c r="AQ104" s="202">
        <v>300</v>
      </c>
      <c r="AR104" s="202">
        <v>0.14000000000000001</v>
      </c>
      <c r="AS104" s="202">
        <v>4</v>
      </c>
      <c r="AT104" s="202" t="s">
        <v>434</v>
      </c>
      <c r="AU104" s="202">
        <v>2</v>
      </c>
      <c r="AV104" s="205">
        <f t="shared" si="189"/>
        <v>1.0208821922577613</v>
      </c>
      <c r="AW104" s="202">
        <v>300</v>
      </c>
      <c r="AX104" s="202">
        <v>0.14000000000000001</v>
      </c>
      <c r="AY104" s="202">
        <v>4</v>
      </c>
      <c r="AZ104" s="202" t="s">
        <v>434</v>
      </c>
      <c r="BA104" s="202">
        <v>2</v>
      </c>
      <c r="BB104" s="205">
        <f t="shared" si="190"/>
        <v>1.0208821922577613</v>
      </c>
      <c r="BC104" s="202">
        <v>300</v>
      </c>
      <c r="BD104" s="202">
        <v>0.14000000000000001</v>
      </c>
      <c r="BE104" s="202">
        <v>4</v>
      </c>
      <c r="BF104" s="202" t="s">
        <v>434</v>
      </c>
      <c r="BG104" s="202">
        <v>2</v>
      </c>
      <c r="BH104" s="205">
        <f t="shared" si="191"/>
        <v>1.0208821922577613</v>
      </c>
      <c r="BI104" s="202">
        <v>300</v>
      </c>
      <c r="BJ104" s="202">
        <v>0.14000000000000001</v>
      </c>
      <c r="BK104" s="202">
        <v>4</v>
      </c>
      <c r="BL104" s="202" t="s">
        <v>434</v>
      </c>
      <c r="BM104" s="202">
        <v>2</v>
      </c>
      <c r="BN104" s="205">
        <f t="shared" si="192"/>
        <v>0.89142671519200667</v>
      </c>
      <c r="BO104" s="202">
        <v>300</v>
      </c>
      <c r="BP104" s="202">
        <v>0.14000000000000001</v>
      </c>
      <c r="BQ104" s="202">
        <v>4</v>
      </c>
      <c r="BR104" s="202" t="s">
        <v>434</v>
      </c>
      <c r="BS104" s="202">
        <v>2</v>
      </c>
      <c r="BT104" s="205">
        <f t="shared" si="193"/>
        <v>0.88872405821308198</v>
      </c>
      <c r="BU104" s="202">
        <v>300</v>
      </c>
      <c r="BV104" s="202">
        <v>0.14000000000000001</v>
      </c>
      <c r="BW104" s="202">
        <v>4</v>
      </c>
      <c r="BX104" s="202" t="s">
        <v>434</v>
      </c>
      <c r="BY104" s="202">
        <v>2</v>
      </c>
      <c r="BZ104" s="205">
        <f t="shared" si="194"/>
        <v>1.0232278357050479</v>
      </c>
      <c r="CA104" s="202">
        <v>300</v>
      </c>
      <c r="CB104" s="202">
        <v>0.14000000000000001</v>
      </c>
      <c r="CC104" s="202">
        <v>4</v>
      </c>
      <c r="CD104" s="202" t="s">
        <v>434</v>
      </c>
      <c r="CE104" s="202">
        <v>2</v>
      </c>
      <c r="CF104" s="205">
        <f t="shared" si="195"/>
        <v>1.0232278357050479</v>
      </c>
      <c r="CG104" s="202">
        <v>300</v>
      </c>
      <c r="CH104" s="202">
        <v>0.14000000000000001</v>
      </c>
      <c r="CI104" s="202">
        <v>4</v>
      </c>
      <c r="CJ104" s="202" t="s">
        <v>434</v>
      </c>
      <c r="CK104" s="202">
        <v>2</v>
      </c>
      <c r="CL104" s="205">
        <f t="shared" si="196"/>
        <v>1.0925955907969864</v>
      </c>
      <c r="CM104" s="202">
        <v>300</v>
      </c>
      <c r="CN104" s="202">
        <v>0.14000000000000001</v>
      </c>
      <c r="CO104" s="202">
        <v>4</v>
      </c>
      <c r="CP104" s="202" t="s">
        <v>434</v>
      </c>
      <c r="CQ104" s="202">
        <v>2</v>
      </c>
      <c r="CR104" s="205">
        <f t="shared" si="197"/>
        <v>1.0925955907969864</v>
      </c>
      <c r="CS104" s="202">
        <v>300</v>
      </c>
      <c r="CT104" s="202">
        <v>0.14000000000000001</v>
      </c>
      <c r="CU104" s="202">
        <v>4</v>
      </c>
      <c r="CV104" s="202" t="s">
        <v>434</v>
      </c>
      <c r="CW104" s="202">
        <v>0</v>
      </c>
      <c r="CX104" s="205">
        <f t="shared" si="200"/>
        <v>0</v>
      </c>
      <c r="CY104" s="202">
        <v>300</v>
      </c>
      <c r="CZ104" s="202">
        <v>8.4000000000000005E-2</v>
      </c>
      <c r="DA104" s="202">
        <v>3.9</v>
      </c>
      <c r="DB104" s="202" t="s">
        <v>434</v>
      </c>
      <c r="DC104" s="202">
        <v>2</v>
      </c>
      <c r="DD104" s="205">
        <f t="shared" si="198"/>
        <v>1.0925955907969864</v>
      </c>
      <c r="DE104" s="202">
        <v>300</v>
      </c>
      <c r="DF104" s="202">
        <v>0.14000000000000001</v>
      </c>
      <c r="DG104" s="202">
        <v>4</v>
      </c>
      <c r="DH104" s="202" t="s">
        <v>434</v>
      </c>
      <c r="DI104" s="202">
        <v>2</v>
      </c>
      <c r="DJ104" s="205">
        <f t="shared" si="199"/>
        <v>1.0925955907969864</v>
      </c>
      <c r="DK104" s="202">
        <v>300</v>
      </c>
      <c r="DL104" s="202">
        <v>0.14000000000000001</v>
      </c>
      <c r="DM104" s="202">
        <v>4</v>
      </c>
      <c r="DN104" s="202" t="s">
        <v>434</v>
      </c>
    </row>
    <row r="105" spans="2:118" x14ac:dyDescent="0.35">
      <c r="B105" s="201" t="s">
        <v>468</v>
      </c>
      <c r="C105" s="13"/>
      <c r="D105" s="13"/>
      <c r="E105" s="202">
        <v>0</v>
      </c>
      <c r="F105" s="205">
        <f t="shared" si="128"/>
        <v>0</v>
      </c>
      <c r="G105" s="202">
        <v>300</v>
      </c>
      <c r="H105" s="202">
        <v>3.6999999999999998E-2</v>
      </c>
      <c r="I105" s="202">
        <v>3.9</v>
      </c>
      <c r="J105" s="202" t="s">
        <v>434</v>
      </c>
      <c r="K105" s="202">
        <v>0</v>
      </c>
      <c r="L105" s="205">
        <f t="shared" si="183"/>
        <v>0</v>
      </c>
      <c r="M105" s="202">
        <v>300</v>
      </c>
      <c r="N105" s="202">
        <v>3.6999999999999998E-2</v>
      </c>
      <c r="O105" s="202">
        <v>3.9</v>
      </c>
      <c r="P105" s="202" t="s">
        <v>434</v>
      </c>
      <c r="Q105" s="202">
        <v>0</v>
      </c>
      <c r="R105" s="205">
        <f t="shared" si="184"/>
        <v>0</v>
      </c>
      <c r="S105" s="202">
        <v>300</v>
      </c>
      <c r="T105" s="202">
        <v>3.6999999999999998E-2</v>
      </c>
      <c r="U105" s="202">
        <v>3.9</v>
      </c>
      <c r="V105" s="202" t="s">
        <v>434</v>
      </c>
      <c r="W105" s="202">
        <v>0</v>
      </c>
      <c r="X105" s="205">
        <f t="shared" si="185"/>
        <v>0</v>
      </c>
      <c r="Y105" s="202">
        <v>300</v>
      </c>
      <c r="Z105" s="202">
        <v>3.6999999999999998E-2</v>
      </c>
      <c r="AA105" s="202">
        <v>3.9</v>
      </c>
      <c r="AB105" s="202" t="s">
        <v>434</v>
      </c>
      <c r="AC105" s="202">
        <v>0</v>
      </c>
      <c r="AD105" s="205">
        <f t="shared" si="186"/>
        <v>0</v>
      </c>
      <c r="AE105" s="202">
        <v>300</v>
      </c>
      <c r="AF105" s="202">
        <v>3.6999999999999998E-2</v>
      </c>
      <c r="AG105" s="202">
        <v>3.9</v>
      </c>
      <c r="AH105" s="202" t="s">
        <v>434</v>
      </c>
      <c r="AI105" s="202">
        <v>0</v>
      </c>
      <c r="AJ105" s="205">
        <f t="shared" si="187"/>
        <v>0</v>
      </c>
      <c r="AK105" s="202">
        <v>300</v>
      </c>
      <c r="AL105" s="202">
        <v>3.6999999999999998E-2</v>
      </c>
      <c r="AM105" s="202">
        <v>3.9</v>
      </c>
      <c r="AN105" s="202" t="s">
        <v>434</v>
      </c>
      <c r="AO105" s="202">
        <v>0</v>
      </c>
      <c r="AP105" s="205">
        <f t="shared" si="188"/>
        <v>0</v>
      </c>
      <c r="AQ105" s="202">
        <v>300</v>
      </c>
      <c r="AR105" s="202">
        <v>3.6999999999999998E-2</v>
      </c>
      <c r="AS105" s="202">
        <v>3.9</v>
      </c>
      <c r="AT105" s="202" t="s">
        <v>434</v>
      </c>
      <c r="AU105" s="202">
        <v>0</v>
      </c>
      <c r="AV105" s="205">
        <f t="shared" si="189"/>
        <v>0</v>
      </c>
      <c r="AW105" s="202">
        <v>300</v>
      </c>
      <c r="AX105" s="202">
        <v>3.6999999999999998E-2</v>
      </c>
      <c r="AY105" s="202">
        <v>3.9</v>
      </c>
      <c r="AZ105" s="202" t="s">
        <v>434</v>
      </c>
      <c r="BA105" s="202">
        <v>0</v>
      </c>
      <c r="BB105" s="205">
        <f t="shared" si="190"/>
        <v>0</v>
      </c>
      <c r="BC105" s="202">
        <v>300</v>
      </c>
      <c r="BD105" s="202">
        <v>3.6999999999999998E-2</v>
      </c>
      <c r="BE105" s="202">
        <v>3.9</v>
      </c>
      <c r="BF105" s="202" t="s">
        <v>434</v>
      </c>
      <c r="BG105" s="202">
        <v>0</v>
      </c>
      <c r="BH105" s="205">
        <f t="shared" si="191"/>
        <v>0</v>
      </c>
      <c r="BI105" s="202">
        <v>300</v>
      </c>
      <c r="BJ105" s="202">
        <v>3.6999999999999998E-2</v>
      </c>
      <c r="BK105" s="202">
        <v>3.9</v>
      </c>
      <c r="BL105" s="202" t="s">
        <v>434</v>
      </c>
      <c r="BM105" s="202">
        <v>0</v>
      </c>
      <c r="BN105" s="205">
        <f t="shared" si="192"/>
        <v>0</v>
      </c>
      <c r="BO105" s="202">
        <v>300</v>
      </c>
      <c r="BP105" s="202">
        <v>3.6999999999999998E-2</v>
      </c>
      <c r="BQ105" s="202">
        <v>3.9</v>
      </c>
      <c r="BR105" s="202" t="s">
        <v>434</v>
      </c>
      <c r="BS105" s="202">
        <v>0</v>
      </c>
      <c r="BT105" s="205">
        <f t="shared" si="193"/>
        <v>0</v>
      </c>
      <c r="BU105" s="202">
        <v>300</v>
      </c>
      <c r="BV105" s="202">
        <v>3.6999999999999998E-2</v>
      </c>
      <c r="BW105" s="202">
        <v>3.9</v>
      </c>
      <c r="BX105" s="202" t="s">
        <v>434</v>
      </c>
      <c r="BY105" s="202">
        <v>0</v>
      </c>
      <c r="BZ105" s="205">
        <f t="shared" si="194"/>
        <v>0</v>
      </c>
      <c r="CA105" s="202">
        <v>300</v>
      </c>
      <c r="CB105" s="202">
        <v>3.6999999999999998E-2</v>
      </c>
      <c r="CC105" s="202">
        <v>3.9</v>
      </c>
      <c r="CD105" s="202" t="s">
        <v>434</v>
      </c>
      <c r="CE105" s="202">
        <v>0</v>
      </c>
      <c r="CF105" s="205">
        <f t="shared" si="195"/>
        <v>0</v>
      </c>
      <c r="CG105" s="202">
        <v>300</v>
      </c>
      <c r="CH105" s="202">
        <v>3.6999999999999998E-2</v>
      </c>
      <c r="CI105" s="202">
        <v>3.9</v>
      </c>
      <c r="CJ105" s="202" t="s">
        <v>434</v>
      </c>
      <c r="CK105" s="202">
        <v>0</v>
      </c>
      <c r="CL105" s="205">
        <f t="shared" si="196"/>
        <v>0</v>
      </c>
      <c r="CM105" s="202">
        <v>300</v>
      </c>
      <c r="CN105" s="202">
        <v>3.6999999999999998E-2</v>
      </c>
      <c r="CO105" s="202">
        <v>3.9</v>
      </c>
      <c r="CP105" s="202" t="s">
        <v>434</v>
      </c>
      <c r="CQ105" s="202">
        <v>0</v>
      </c>
      <c r="CR105" s="205">
        <f t="shared" si="197"/>
        <v>0</v>
      </c>
      <c r="CS105" s="202">
        <v>300</v>
      </c>
      <c r="CT105" s="202">
        <v>3.6999999999999998E-2</v>
      </c>
      <c r="CU105" s="202">
        <v>3.9</v>
      </c>
      <c r="CV105" s="202" t="s">
        <v>434</v>
      </c>
      <c r="CW105" s="202">
        <v>2</v>
      </c>
      <c r="CX105" s="205">
        <f t="shared" si="200"/>
        <v>1.0925955907969864</v>
      </c>
      <c r="CY105" s="202">
        <v>300</v>
      </c>
      <c r="CZ105" s="202">
        <v>0.14000000000000001</v>
      </c>
      <c r="DA105" s="202">
        <v>4</v>
      </c>
      <c r="DB105" s="202" t="s">
        <v>434</v>
      </c>
      <c r="DC105" s="202">
        <v>0</v>
      </c>
      <c r="DD105" s="205">
        <f t="shared" si="198"/>
        <v>0</v>
      </c>
      <c r="DE105" s="202">
        <v>300</v>
      </c>
      <c r="DF105" s="202">
        <v>3.6999999999999998E-2</v>
      </c>
      <c r="DG105" s="202">
        <v>3.9</v>
      </c>
      <c r="DH105" s="202" t="s">
        <v>434</v>
      </c>
      <c r="DI105" s="202">
        <v>0</v>
      </c>
      <c r="DJ105" s="205">
        <f t="shared" si="199"/>
        <v>0</v>
      </c>
      <c r="DK105" s="202">
        <v>300</v>
      </c>
      <c r="DL105" s="202">
        <v>3.6999999999999998E-2</v>
      </c>
      <c r="DM105" s="202">
        <v>3.9</v>
      </c>
      <c r="DN105" s="202" t="s">
        <v>434</v>
      </c>
    </row>
    <row r="106" spans="2:118" x14ac:dyDescent="0.35">
      <c r="B106" s="201" t="s">
        <v>469</v>
      </c>
      <c r="C106" s="13"/>
      <c r="D106" s="13"/>
      <c r="E106" s="202">
        <v>2</v>
      </c>
      <c r="F106" s="205">
        <f t="shared" si="128"/>
        <v>0.10892638357330445</v>
      </c>
      <c r="G106" s="202">
        <v>300</v>
      </c>
      <c r="H106" s="202">
        <v>1.7000000000000001E-2</v>
      </c>
      <c r="I106" s="202">
        <v>3.5</v>
      </c>
      <c r="J106" s="202" t="s">
        <v>434</v>
      </c>
      <c r="K106" s="202">
        <v>0</v>
      </c>
      <c r="L106" s="205">
        <f t="shared" si="183"/>
        <v>0</v>
      </c>
      <c r="M106" s="202">
        <v>300</v>
      </c>
      <c r="N106" s="202">
        <v>1.7000000000000001E-2</v>
      </c>
      <c r="O106" s="202">
        <v>3.5</v>
      </c>
      <c r="P106" s="202" t="s">
        <v>434</v>
      </c>
      <c r="Q106" s="202">
        <v>0</v>
      </c>
      <c r="R106" s="205">
        <f t="shared" si="184"/>
        <v>0</v>
      </c>
      <c r="S106" s="202">
        <v>300</v>
      </c>
      <c r="T106" s="202">
        <v>1.7000000000000001E-2</v>
      </c>
      <c r="U106" s="202">
        <v>3.5</v>
      </c>
      <c r="V106" s="202" t="s">
        <v>434</v>
      </c>
      <c r="W106" s="202">
        <v>0</v>
      </c>
      <c r="X106" s="205">
        <f t="shared" si="185"/>
        <v>0</v>
      </c>
      <c r="Y106" s="202">
        <v>300</v>
      </c>
      <c r="Z106" s="202">
        <v>1.7000000000000001E-2</v>
      </c>
      <c r="AA106" s="202">
        <v>3.5</v>
      </c>
      <c r="AB106" s="202" t="s">
        <v>434</v>
      </c>
      <c r="AC106" s="202">
        <v>0</v>
      </c>
      <c r="AD106" s="205">
        <f t="shared" si="186"/>
        <v>0</v>
      </c>
      <c r="AE106" s="202">
        <v>300</v>
      </c>
      <c r="AF106" s="202">
        <v>1.7000000000000001E-2</v>
      </c>
      <c r="AG106" s="202">
        <v>3.5</v>
      </c>
      <c r="AH106" s="202" t="s">
        <v>434</v>
      </c>
      <c r="AI106" s="202">
        <v>0</v>
      </c>
      <c r="AJ106" s="205">
        <f t="shared" si="187"/>
        <v>0</v>
      </c>
      <c r="AK106" s="202">
        <v>300</v>
      </c>
      <c r="AL106" s="202">
        <v>1.7000000000000001E-2</v>
      </c>
      <c r="AM106" s="202">
        <v>3.5</v>
      </c>
      <c r="AN106" s="202" t="s">
        <v>434</v>
      </c>
      <c r="AO106" s="202">
        <v>0</v>
      </c>
      <c r="AP106" s="205">
        <f t="shared" si="188"/>
        <v>0</v>
      </c>
      <c r="AQ106" s="202">
        <v>300</v>
      </c>
      <c r="AR106" s="202">
        <v>1.7000000000000001E-2</v>
      </c>
      <c r="AS106" s="202">
        <v>3.5</v>
      </c>
      <c r="AT106" s="202" t="s">
        <v>434</v>
      </c>
      <c r="AU106" s="202">
        <v>0</v>
      </c>
      <c r="AV106" s="205">
        <f t="shared" si="189"/>
        <v>0</v>
      </c>
      <c r="AW106" s="202">
        <v>300</v>
      </c>
      <c r="AX106" s="202">
        <v>1.7000000000000001E-2</v>
      </c>
      <c r="AY106" s="202">
        <v>3.5</v>
      </c>
      <c r="AZ106" s="202" t="s">
        <v>434</v>
      </c>
      <c r="BA106" s="202">
        <v>0</v>
      </c>
      <c r="BB106" s="205">
        <f t="shared" si="190"/>
        <v>0</v>
      </c>
      <c r="BC106" s="202">
        <v>300</v>
      </c>
      <c r="BD106" s="202">
        <v>1.7000000000000001E-2</v>
      </c>
      <c r="BE106" s="202">
        <v>3.5</v>
      </c>
      <c r="BF106" s="202" t="s">
        <v>434</v>
      </c>
      <c r="BG106" s="202">
        <v>0</v>
      </c>
      <c r="BH106" s="205">
        <f t="shared" si="191"/>
        <v>0</v>
      </c>
      <c r="BI106" s="202">
        <v>300</v>
      </c>
      <c r="BJ106" s="202">
        <v>1.7000000000000001E-2</v>
      </c>
      <c r="BK106" s="202">
        <v>3.5</v>
      </c>
      <c r="BL106" s="202" t="s">
        <v>434</v>
      </c>
      <c r="BM106" s="202">
        <v>0</v>
      </c>
      <c r="BN106" s="205">
        <f t="shared" si="192"/>
        <v>0</v>
      </c>
      <c r="BO106" s="202">
        <v>300</v>
      </c>
      <c r="BP106" s="202">
        <v>1.7000000000000001E-2</v>
      </c>
      <c r="BQ106" s="202">
        <v>3.5</v>
      </c>
      <c r="BR106" s="202" t="s">
        <v>434</v>
      </c>
      <c r="BS106" s="202">
        <v>0</v>
      </c>
      <c r="BT106" s="205">
        <f t="shared" si="193"/>
        <v>0</v>
      </c>
      <c r="BU106" s="202">
        <v>300</v>
      </c>
      <c r="BV106" s="202">
        <v>1.7000000000000001E-2</v>
      </c>
      <c r="BW106" s="202">
        <v>3.5</v>
      </c>
      <c r="BX106" s="202" t="s">
        <v>434</v>
      </c>
      <c r="BY106" s="202">
        <v>0</v>
      </c>
      <c r="BZ106" s="205">
        <f t="shared" si="194"/>
        <v>0</v>
      </c>
      <c r="CA106" s="202">
        <v>300</v>
      </c>
      <c r="CB106" s="202">
        <v>1.7000000000000001E-2</v>
      </c>
      <c r="CC106" s="202">
        <v>3.5</v>
      </c>
      <c r="CD106" s="202" t="s">
        <v>434</v>
      </c>
      <c r="CE106" s="202">
        <v>0</v>
      </c>
      <c r="CF106" s="205">
        <f t="shared" si="195"/>
        <v>0</v>
      </c>
      <c r="CG106" s="202">
        <v>300</v>
      </c>
      <c r="CH106" s="202">
        <v>1.7000000000000001E-2</v>
      </c>
      <c r="CI106" s="202">
        <v>3.5</v>
      </c>
      <c r="CJ106" s="202" t="s">
        <v>434</v>
      </c>
      <c r="CK106" s="202">
        <v>0</v>
      </c>
      <c r="CL106" s="205">
        <f t="shared" si="196"/>
        <v>0</v>
      </c>
      <c r="CM106" s="202">
        <v>300</v>
      </c>
      <c r="CN106" s="202">
        <v>1.7000000000000001E-2</v>
      </c>
      <c r="CO106" s="202">
        <v>3.5</v>
      </c>
      <c r="CP106" s="202" t="s">
        <v>434</v>
      </c>
      <c r="CQ106" s="202">
        <v>0</v>
      </c>
      <c r="CR106" s="205">
        <f t="shared" si="197"/>
        <v>0</v>
      </c>
      <c r="CS106" s="202">
        <v>300</v>
      </c>
      <c r="CT106" s="202">
        <v>1.7000000000000001E-2</v>
      </c>
      <c r="CU106" s="202">
        <v>3.5</v>
      </c>
      <c r="CV106" s="202" t="s">
        <v>434</v>
      </c>
      <c r="CW106" s="202">
        <v>0</v>
      </c>
      <c r="CX106" s="205">
        <f t="shared" si="200"/>
        <v>0</v>
      </c>
      <c r="CY106" s="202">
        <v>300</v>
      </c>
      <c r="CZ106" s="202">
        <v>3.6999999999999998E-2</v>
      </c>
      <c r="DA106" s="202">
        <v>3.9</v>
      </c>
      <c r="DB106" s="202" t="s">
        <v>434</v>
      </c>
      <c r="DC106" s="202">
        <v>0</v>
      </c>
      <c r="DD106" s="205">
        <f t="shared" si="198"/>
        <v>0</v>
      </c>
      <c r="DE106" s="202">
        <v>300</v>
      </c>
      <c r="DF106" s="202">
        <v>1.7000000000000001E-2</v>
      </c>
      <c r="DG106" s="202">
        <v>3.5</v>
      </c>
      <c r="DH106" s="202" t="s">
        <v>434</v>
      </c>
      <c r="DI106" s="202">
        <v>0</v>
      </c>
      <c r="DJ106" s="205">
        <f t="shared" si="199"/>
        <v>0</v>
      </c>
      <c r="DK106" s="202">
        <v>300</v>
      </c>
      <c r="DL106" s="202">
        <v>1.7000000000000001E-2</v>
      </c>
      <c r="DM106" s="202">
        <v>3.5</v>
      </c>
      <c r="DN106" s="202" t="s">
        <v>434</v>
      </c>
    </row>
    <row r="107" spans="2:118" x14ac:dyDescent="0.35">
      <c r="B107" s="201" t="s">
        <v>470</v>
      </c>
      <c r="C107" s="13"/>
      <c r="D107" s="13"/>
      <c r="E107" s="202">
        <v>0</v>
      </c>
      <c r="F107" s="205">
        <f t="shared" si="128"/>
        <v>0</v>
      </c>
      <c r="G107" s="202">
        <v>1000</v>
      </c>
      <c r="H107" s="202">
        <v>0.69</v>
      </c>
      <c r="I107" s="202">
        <v>4.9000000000000004</v>
      </c>
      <c r="J107" s="202" t="s">
        <v>434</v>
      </c>
      <c r="K107" s="202">
        <v>0</v>
      </c>
      <c r="L107" s="205">
        <f t="shared" si="183"/>
        <v>0</v>
      </c>
      <c r="M107" s="202">
        <v>1000</v>
      </c>
      <c r="N107" s="202">
        <v>0.69</v>
      </c>
      <c r="O107" s="202">
        <v>4.9000000000000004</v>
      </c>
      <c r="P107" s="202" t="s">
        <v>434</v>
      </c>
      <c r="Q107" s="202">
        <v>0</v>
      </c>
      <c r="R107" s="205">
        <f t="shared" si="184"/>
        <v>0</v>
      </c>
      <c r="S107" s="202">
        <v>1000</v>
      </c>
      <c r="T107" s="202">
        <v>0.69</v>
      </c>
      <c r="U107" s="202">
        <v>4.9000000000000004</v>
      </c>
      <c r="V107" s="202" t="s">
        <v>434</v>
      </c>
      <c r="W107" s="202">
        <v>0</v>
      </c>
      <c r="X107" s="205">
        <f t="shared" si="185"/>
        <v>0</v>
      </c>
      <c r="Y107" s="202">
        <v>1000</v>
      </c>
      <c r="Z107" s="202">
        <v>0.69</v>
      </c>
      <c r="AA107" s="202">
        <v>4.9000000000000004</v>
      </c>
      <c r="AB107" s="202" t="s">
        <v>434</v>
      </c>
      <c r="AC107" s="202">
        <v>0</v>
      </c>
      <c r="AD107" s="205">
        <f t="shared" si="186"/>
        <v>0</v>
      </c>
      <c r="AE107" s="202">
        <v>1000</v>
      </c>
      <c r="AF107" s="202">
        <v>0.69</v>
      </c>
      <c r="AG107" s="202">
        <v>4.9000000000000004</v>
      </c>
      <c r="AH107" s="202" t="s">
        <v>434</v>
      </c>
      <c r="AI107" s="202">
        <v>0</v>
      </c>
      <c r="AJ107" s="205">
        <f t="shared" si="187"/>
        <v>0</v>
      </c>
      <c r="AK107" s="202">
        <v>1000</v>
      </c>
      <c r="AL107" s="202">
        <v>0.69</v>
      </c>
      <c r="AM107" s="202">
        <v>4.9000000000000004</v>
      </c>
      <c r="AN107" s="202" t="s">
        <v>434</v>
      </c>
      <c r="AO107" s="202">
        <v>0</v>
      </c>
      <c r="AP107" s="205">
        <f t="shared" si="188"/>
        <v>0</v>
      </c>
      <c r="AQ107" s="202">
        <v>1000</v>
      </c>
      <c r="AR107" s="202">
        <v>0.69</v>
      </c>
      <c r="AS107" s="202">
        <v>4.9000000000000004</v>
      </c>
      <c r="AT107" s="202" t="s">
        <v>434</v>
      </c>
      <c r="AU107" s="202">
        <v>0</v>
      </c>
      <c r="AV107" s="205">
        <f t="shared" si="189"/>
        <v>0</v>
      </c>
      <c r="AW107" s="202">
        <v>1000</v>
      </c>
      <c r="AX107" s="202">
        <v>0.69</v>
      </c>
      <c r="AY107" s="202">
        <v>4.9000000000000004</v>
      </c>
      <c r="AZ107" s="202" t="s">
        <v>434</v>
      </c>
      <c r="BA107" s="202">
        <v>0</v>
      </c>
      <c r="BB107" s="205">
        <f t="shared" si="190"/>
        <v>0</v>
      </c>
      <c r="BC107" s="202">
        <v>1000</v>
      </c>
      <c r="BD107" s="202">
        <v>0.69</v>
      </c>
      <c r="BE107" s="202">
        <v>4.9000000000000004</v>
      </c>
      <c r="BF107" s="202" t="s">
        <v>434</v>
      </c>
      <c r="BG107" s="202">
        <v>0</v>
      </c>
      <c r="BH107" s="205">
        <f t="shared" si="191"/>
        <v>0</v>
      </c>
      <c r="BI107" s="202">
        <v>1000</v>
      </c>
      <c r="BJ107" s="202">
        <v>0.69</v>
      </c>
      <c r="BK107" s="202">
        <v>4.9000000000000004</v>
      </c>
      <c r="BL107" s="202" t="s">
        <v>434</v>
      </c>
      <c r="BM107" s="202">
        <v>0</v>
      </c>
      <c r="BN107" s="205">
        <f t="shared" si="192"/>
        <v>0</v>
      </c>
      <c r="BO107" s="202">
        <v>1000</v>
      </c>
      <c r="BP107" s="202">
        <v>0.69</v>
      </c>
      <c r="BQ107" s="202">
        <v>4.9000000000000004</v>
      </c>
      <c r="BR107" s="202" t="s">
        <v>434</v>
      </c>
      <c r="BS107" s="202">
        <v>0</v>
      </c>
      <c r="BT107" s="205">
        <f t="shared" si="193"/>
        <v>0</v>
      </c>
      <c r="BU107" s="202">
        <v>1000</v>
      </c>
      <c r="BV107" s="202">
        <v>0.69</v>
      </c>
      <c r="BW107" s="202">
        <v>4.9000000000000004</v>
      </c>
      <c r="BX107" s="202" t="s">
        <v>434</v>
      </c>
      <c r="BY107" s="202">
        <v>0</v>
      </c>
      <c r="BZ107" s="205">
        <f t="shared" si="194"/>
        <v>0</v>
      </c>
      <c r="CA107" s="202">
        <v>1000</v>
      </c>
      <c r="CB107" s="202">
        <v>0.69</v>
      </c>
      <c r="CC107" s="202">
        <v>4.9000000000000004</v>
      </c>
      <c r="CD107" s="202" t="s">
        <v>434</v>
      </c>
      <c r="CE107" s="202">
        <v>0</v>
      </c>
      <c r="CF107" s="205">
        <f t="shared" si="195"/>
        <v>0</v>
      </c>
      <c r="CG107" s="202">
        <v>1000</v>
      </c>
      <c r="CH107" s="202">
        <v>0.69</v>
      </c>
      <c r="CI107" s="202">
        <v>4.9000000000000004</v>
      </c>
      <c r="CJ107" s="202" t="s">
        <v>434</v>
      </c>
      <c r="CK107" s="202">
        <v>0</v>
      </c>
      <c r="CL107" s="205">
        <f t="shared" si="196"/>
        <v>0</v>
      </c>
      <c r="CM107" s="202">
        <v>1000</v>
      </c>
      <c r="CN107" s="202">
        <v>0.69</v>
      </c>
      <c r="CO107" s="202">
        <v>4.9000000000000004</v>
      </c>
      <c r="CP107" s="202" t="s">
        <v>434</v>
      </c>
      <c r="CQ107" s="202">
        <v>0</v>
      </c>
      <c r="CR107" s="205">
        <f t="shared" si="197"/>
        <v>0</v>
      </c>
      <c r="CS107" s="202">
        <v>1000</v>
      </c>
      <c r="CT107" s="202">
        <v>0.69</v>
      </c>
      <c r="CU107" s="202">
        <v>4.9000000000000004</v>
      </c>
      <c r="CV107" s="202" t="s">
        <v>434</v>
      </c>
      <c r="CW107" s="202">
        <v>0</v>
      </c>
      <c r="CX107" s="205">
        <f t="shared" si="200"/>
        <v>0</v>
      </c>
      <c r="CY107" s="202">
        <v>300</v>
      </c>
      <c r="CZ107" s="202">
        <v>1.7000000000000001E-2</v>
      </c>
      <c r="DA107" s="202">
        <v>3.5</v>
      </c>
      <c r="DB107" s="202" t="s">
        <v>434</v>
      </c>
      <c r="DC107" s="202">
        <v>0</v>
      </c>
      <c r="DD107" s="205">
        <f t="shared" si="198"/>
        <v>0</v>
      </c>
      <c r="DE107" s="202">
        <v>1000</v>
      </c>
      <c r="DF107" s="202">
        <v>0.69</v>
      </c>
      <c r="DG107" s="202">
        <v>4.9000000000000004</v>
      </c>
      <c r="DH107" s="202" t="s">
        <v>434</v>
      </c>
      <c r="DI107" s="202">
        <v>0</v>
      </c>
      <c r="DJ107" s="205">
        <f t="shared" si="199"/>
        <v>0</v>
      </c>
      <c r="DK107" s="202">
        <v>1000</v>
      </c>
      <c r="DL107" s="202">
        <v>0.69</v>
      </c>
      <c r="DM107" s="202">
        <v>4.9000000000000004</v>
      </c>
      <c r="DN107" s="202" t="s">
        <v>434</v>
      </c>
    </row>
    <row r="108" spans="2:118" x14ac:dyDescent="0.35">
      <c r="B108" s="201" t="s">
        <v>471</v>
      </c>
      <c r="C108" s="13"/>
      <c r="D108" s="13"/>
      <c r="E108" s="202">
        <v>0</v>
      </c>
      <c r="F108" s="205">
        <f>IF(ISNUMBER(E108),E108*(G108/E$41+H108*(1+I108/E$30^0.3)),0)</f>
        <v>0</v>
      </c>
      <c r="G108" s="202">
        <v>1000</v>
      </c>
      <c r="H108" s="202">
        <v>2</v>
      </c>
      <c r="I108" s="202"/>
      <c r="J108" s="202" t="s">
        <v>444</v>
      </c>
      <c r="K108" s="202">
        <v>0</v>
      </c>
      <c r="L108" s="205">
        <f>IF(ISNUMBER(K108),K108*(M108/K$41+N108*(1+O108/K$30^0.3)),0)</f>
        <v>0</v>
      </c>
      <c r="M108" s="202">
        <v>1000</v>
      </c>
      <c r="N108" s="202">
        <v>2</v>
      </c>
      <c r="O108" s="202"/>
      <c r="P108" s="202" t="s">
        <v>444</v>
      </c>
      <c r="Q108" s="202">
        <v>0</v>
      </c>
      <c r="R108" s="205">
        <f>IF(ISNUMBER(Q108),Q108*(S108/Q$41+T108*(1+U108/Q$30^0.3)),0)</f>
        <v>0</v>
      </c>
      <c r="S108" s="202">
        <v>1000</v>
      </c>
      <c r="T108" s="202">
        <v>2</v>
      </c>
      <c r="U108" s="202"/>
      <c r="V108" s="202" t="s">
        <v>444</v>
      </c>
      <c r="W108" s="202">
        <v>0</v>
      </c>
      <c r="X108" s="205">
        <f>IF(ISNUMBER(W108),W108*(Y108/W$41+Z108*(1+AA108/W$30^0.3)),0)</f>
        <v>0</v>
      </c>
      <c r="Y108" s="202">
        <v>1000</v>
      </c>
      <c r="Z108" s="202">
        <v>2</v>
      </c>
      <c r="AA108" s="202"/>
      <c r="AB108" s="202" t="s">
        <v>444</v>
      </c>
      <c r="AC108" s="202">
        <v>0</v>
      </c>
      <c r="AD108" s="205">
        <f>IF(ISNUMBER(AC108),AC108*(AE108/AC$41+AF108*(1+AG108/AC$30^0.3)),0)</f>
        <v>0</v>
      </c>
      <c r="AE108" s="202">
        <v>1000</v>
      </c>
      <c r="AF108" s="202">
        <v>2</v>
      </c>
      <c r="AG108" s="202"/>
      <c r="AH108" s="202" t="s">
        <v>444</v>
      </c>
      <c r="AI108" s="202">
        <v>0</v>
      </c>
      <c r="AJ108" s="205">
        <f>IF(ISNUMBER(AI108),AI108*(AK108/AI$41+AL108*(1+AM108/AI$30^0.3)),0)</f>
        <v>0</v>
      </c>
      <c r="AK108" s="202">
        <v>1000</v>
      </c>
      <c r="AL108" s="202">
        <v>2</v>
      </c>
      <c r="AM108" s="202"/>
      <c r="AN108" s="202" t="s">
        <v>444</v>
      </c>
      <c r="AO108" s="202">
        <v>0</v>
      </c>
      <c r="AP108" s="205">
        <f>IF(ISNUMBER(AO108),AO108*(AQ108/AO$41+AR108*(1+AS108/AO$30^0.3)),0)</f>
        <v>0</v>
      </c>
      <c r="AQ108" s="202">
        <v>1000</v>
      </c>
      <c r="AR108" s="202">
        <v>2</v>
      </c>
      <c r="AS108" s="202"/>
      <c r="AT108" s="202" t="s">
        <v>444</v>
      </c>
      <c r="AU108" s="202">
        <v>0</v>
      </c>
      <c r="AV108" s="205">
        <f>IF(ISNUMBER(AU108),AU108*(AW108/AU$41+AX108*(1+AY108/AU$30^0.3)),0)</f>
        <v>0</v>
      </c>
      <c r="AW108" s="202">
        <v>1000</v>
      </c>
      <c r="AX108" s="202">
        <v>2</v>
      </c>
      <c r="AY108" s="202"/>
      <c r="AZ108" s="202" t="s">
        <v>444</v>
      </c>
      <c r="BA108" s="202">
        <v>0</v>
      </c>
      <c r="BB108" s="205">
        <f>IF(ISNUMBER(BA108),BA108*(BC108/BA$41+BD108*(1+BE108/BA$30^0.3)),0)</f>
        <v>0</v>
      </c>
      <c r="BC108" s="202">
        <v>1000</v>
      </c>
      <c r="BD108" s="202">
        <v>2</v>
      </c>
      <c r="BE108" s="202"/>
      <c r="BF108" s="202" t="s">
        <v>444</v>
      </c>
      <c r="BG108" s="202">
        <v>0</v>
      </c>
      <c r="BH108" s="205">
        <f>IF(ISNUMBER(BG108),BG108*(BI108/BG$41+BJ108*(1+BK108/BG$30^0.3)),0)</f>
        <v>0</v>
      </c>
      <c r="BI108" s="202">
        <v>1000</v>
      </c>
      <c r="BJ108" s="202">
        <v>2</v>
      </c>
      <c r="BK108" s="202"/>
      <c r="BL108" s="202" t="s">
        <v>444</v>
      </c>
      <c r="BM108" s="202">
        <v>0</v>
      </c>
      <c r="BN108" s="205">
        <f>IF(ISNUMBER(BM108),BM108*(BO108/BM$41+BP108*(1+BQ108/BM$30^0.3)),0)</f>
        <v>0</v>
      </c>
      <c r="BO108" s="202">
        <v>1000</v>
      </c>
      <c r="BP108" s="202">
        <v>2</v>
      </c>
      <c r="BQ108" s="202"/>
      <c r="BR108" s="202" t="s">
        <v>444</v>
      </c>
      <c r="BS108" s="202">
        <v>0</v>
      </c>
      <c r="BT108" s="205">
        <f>IF(ISNUMBER(BS108),BS108*(BU108/BS$41+BV108*(1+BW108/BS$30^0.3)),0)</f>
        <v>0</v>
      </c>
      <c r="BU108" s="202">
        <v>1000</v>
      </c>
      <c r="BV108" s="202">
        <v>2</v>
      </c>
      <c r="BW108" s="202"/>
      <c r="BX108" s="202" t="s">
        <v>444</v>
      </c>
      <c r="BY108" s="202">
        <v>0</v>
      </c>
      <c r="BZ108" s="205">
        <f>IF(ISNUMBER(BY108),BY108*(CA108/BY$41+CB108*(1+CC108/BY$30^0.3)),0)</f>
        <v>0</v>
      </c>
      <c r="CA108" s="202">
        <v>1000</v>
      </c>
      <c r="CB108" s="202">
        <v>2</v>
      </c>
      <c r="CC108" s="202"/>
      <c r="CD108" s="202" t="s">
        <v>444</v>
      </c>
      <c r="CE108" s="202">
        <v>0</v>
      </c>
      <c r="CF108" s="205">
        <f>IF(ISNUMBER(CE108),CE108*(CG108/CE$41+CH108*(1+CI108/CE$30^0.3)),0)</f>
        <v>0</v>
      </c>
      <c r="CG108" s="202">
        <v>1000</v>
      </c>
      <c r="CH108" s="202">
        <v>2</v>
      </c>
      <c r="CI108" s="202"/>
      <c r="CJ108" s="202" t="s">
        <v>444</v>
      </c>
      <c r="CK108" s="202">
        <v>0</v>
      </c>
      <c r="CL108" s="205">
        <f>IF(ISNUMBER(CK108),CK108*(CM108/CK$41+CN108*(1+CO108/CK$30^0.3)),0)</f>
        <v>0</v>
      </c>
      <c r="CM108" s="202">
        <v>1000</v>
      </c>
      <c r="CN108" s="202">
        <v>2</v>
      </c>
      <c r="CO108" s="202"/>
      <c r="CP108" s="202" t="s">
        <v>444</v>
      </c>
      <c r="CQ108" s="202">
        <v>0</v>
      </c>
      <c r="CR108" s="205">
        <f>IF(ISNUMBER(CQ108),CQ108*(CS108/CQ$41+CT108*(1+CU108/CQ$30^0.3)),0)</f>
        <v>0</v>
      </c>
      <c r="CS108" s="202">
        <v>1000</v>
      </c>
      <c r="CT108" s="202">
        <v>2</v>
      </c>
      <c r="CU108" s="202"/>
      <c r="CV108" s="202" t="s">
        <v>444</v>
      </c>
      <c r="CW108" s="202">
        <v>0</v>
      </c>
      <c r="CX108" s="205">
        <f t="shared" si="200"/>
        <v>0</v>
      </c>
      <c r="CY108" s="202">
        <v>1000</v>
      </c>
      <c r="CZ108" s="202">
        <v>0.69</v>
      </c>
      <c r="DA108" s="202">
        <v>4.9000000000000004</v>
      </c>
      <c r="DB108" s="202" t="s">
        <v>434</v>
      </c>
      <c r="DC108" s="202">
        <v>0</v>
      </c>
      <c r="DD108" s="205">
        <f>IF(ISNUMBER(DC108),DC108*(DE108/DC$41+DF108*(1+DG108/DC$30^0.3)),0)</f>
        <v>0</v>
      </c>
      <c r="DE108" s="202">
        <v>1000</v>
      </c>
      <c r="DF108" s="202">
        <v>2</v>
      </c>
      <c r="DG108" s="202"/>
      <c r="DH108" s="202" t="s">
        <v>444</v>
      </c>
      <c r="DI108" s="202">
        <v>0</v>
      </c>
      <c r="DJ108" s="205">
        <f>IF(ISNUMBER(DI108),DI108*(DK108/DI$41+DL108*(1+DM108/DI$30^0.3)),0)</f>
        <v>0</v>
      </c>
      <c r="DK108" s="202">
        <v>1000</v>
      </c>
      <c r="DL108" s="202">
        <v>2</v>
      </c>
      <c r="DM108" s="202"/>
      <c r="DN108" s="202" t="s">
        <v>444</v>
      </c>
    </row>
    <row r="109" spans="2:118" x14ac:dyDescent="0.35">
      <c r="B109" s="201" t="s">
        <v>472</v>
      </c>
      <c r="C109" s="13"/>
      <c r="D109" s="13"/>
      <c r="E109" s="202">
        <v>0</v>
      </c>
      <c r="F109" s="205">
        <f t="shared" si="128"/>
        <v>0</v>
      </c>
      <c r="G109" s="202">
        <v>1500</v>
      </c>
      <c r="H109" s="202">
        <v>0.46</v>
      </c>
      <c r="I109" s="202">
        <v>4</v>
      </c>
      <c r="J109" s="202" t="s">
        <v>434</v>
      </c>
      <c r="K109" s="202">
        <v>0</v>
      </c>
      <c r="L109" s="205">
        <f t="shared" ref="L109:L110" si="201">IF(ISNUMBER(K109),K109*(M109/K$41+N109*(1+O109/K$28^0.3)),0)</f>
        <v>0</v>
      </c>
      <c r="M109" s="202">
        <v>1500</v>
      </c>
      <c r="N109" s="202">
        <v>0.46</v>
      </c>
      <c r="O109" s="202">
        <v>4</v>
      </c>
      <c r="P109" s="202" t="s">
        <v>434</v>
      </c>
      <c r="Q109" s="202">
        <v>0</v>
      </c>
      <c r="R109" s="205">
        <f t="shared" ref="R109:R110" si="202">IF(ISNUMBER(Q109),Q109*(S109/Q$41+T109*(1+U109/Q$28^0.3)),0)</f>
        <v>0</v>
      </c>
      <c r="S109" s="202">
        <v>1500</v>
      </c>
      <c r="T109" s="202">
        <v>0.46</v>
      </c>
      <c r="U109" s="202">
        <v>4</v>
      </c>
      <c r="V109" s="202" t="s">
        <v>434</v>
      </c>
      <c r="W109" s="202">
        <v>0</v>
      </c>
      <c r="X109" s="205">
        <f t="shared" ref="X109:X110" si="203">IF(ISNUMBER(W109),W109*(Y109/W$41+Z109*(1+AA109/W$28^0.3)),0)</f>
        <v>0</v>
      </c>
      <c r="Y109" s="202">
        <v>1500</v>
      </c>
      <c r="Z109" s="202">
        <v>0.46</v>
      </c>
      <c r="AA109" s="202">
        <v>4</v>
      </c>
      <c r="AB109" s="202" t="s">
        <v>434</v>
      </c>
      <c r="AC109" s="202">
        <v>0</v>
      </c>
      <c r="AD109" s="205">
        <f t="shared" ref="AD109:AD110" si="204">IF(ISNUMBER(AC109),AC109*(AE109/AC$41+AF109*(1+AG109/AC$28^0.3)),0)</f>
        <v>0</v>
      </c>
      <c r="AE109" s="202">
        <v>1500</v>
      </c>
      <c r="AF109" s="202">
        <v>0.46</v>
      </c>
      <c r="AG109" s="202">
        <v>4</v>
      </c>
      <c r="AH109" s="202" t="s">
        <v>434</v>
      </c>
      <c r="AI109" s="202">
        <v>0</v>
      </c>
      <c r="AJ109" s="205">
        <f t="shared" ref="AJ109:AJ110" si="205">IF(ISNUMBER(AI109),AI109*(AK109/AI$41+AL109*(1+AM109/AI$28^0.3)),0)</f>
        <v>0</v>
      </c>
      <c r="AK109" s="202">
        <v>1500</v>
      </c>
      <c r="AL109" s="202">
        <v>0.46</v>
      </c>
      <c r="AM109" s="202">
        <v>4</v>
      </c>
      <c r="AN109" s="202" t="s">
        <v>434</v>
      </c>
      <c r="AO109" s="202">
        <v>0</v>
      </c>
      <c r="AP109" s="205">
        <f t="shared" ref="AP109:AP110" si="206">IF(ISNUMBER(AO109),AO109*(AQ109/AO$41+AR109*(1+AS109/AO$28^0.3)),0)</f>
        <v>0</v>
      </c>
      <c r="AQ109" s="202">
        <v>1500</v>
      </c>
      <c r="AR109" s="202">
        <v>0.46</v>
      </c>
      <c r="AS109" s="202">
        <v>4</v>
      </c>
      <c r="AT109" s="202" t="s">
        <v>434</v>
      </c>
      <c r="AU109" s="202">
        <v>0</v>
      </c>
      <c r="AV109" s="205">
        <f t="shared" ref="AV109:AV110" si="207">IF(ISNUMBER(AU109),AU109*(AW109/AU$41+AX109*(1+AY109/AU$28^0.3)),0)</f>
        <v>0</v>
      </c>
      <c r="AW109" s="202">
        <v>1500</v>
      </c>
      <c r="AX109" s="202">
        <v>0.46</v>
      </c>
      <c r="AY109" s="202">
        <v>4</v>
      </c>
      <c r="AZ109" s="202" t="s">
        <v>434</v>
      </c>
      <c r="BA109" s="202">
        <v>0</v>
      </c>
      <c r="BB109" s="205">
        <f t="shared" ref="BB109:BB110" si="208">IF(ISNUMBER(BA109),BA109*(BC109/BA$41+BD109*(1+BE109/BA$28^0.3)),0)</f>
        <v>0</v>
      </c>
      <c r="BC109" s="202">
        <v>1500</v>
      </c>
      <c r="BD109" s="202">
        <v>0.46</v>
      </c>
      <c r="BE109" s="202">
        <v>4</v>
      </c>
      <c r="BF109" s="202" t="s">
        <v>434</v>
      </c>
      <c r="BG109" s="202">
        <v>0</v>
      </c>
      <c r="BH109" s="205">
        <f t="shared" ref="BH109:BH110" si="209">IF(ISNUMBER(BG109),BG109*(BI109/BG$41+BJ109*(1+BK109/BG$28^0.3)),0)</f>
        <v>0</v>
      </c>
      <c r="BI109" s="202">
        <v>1500</v>
      </c>
      <c r="BJ109" s="202">
        <v>0.46</v>
      </c>
      <c r="BK109" s="202">
        <v>4</v>
      </c>
      <c r="BL109" s="202" t="s">
        <v>434</v>
      </c>
      <c r="BM109" s="202">
        <v>0</v>
      </c>
      <c r="BN109" s="205">
        <f t="shared" ref="BN109:BN110" si="210">IF(ISNUMBER(BM109),BM109*(BO109/BM$41+BP109*(1+BQ109/BM$28^0.3)),0)</f>
        <v>0</v>
      </c>
      <c r="BO109" s="202">
        <v>1500</v>
      </c>
      <c r="BP109" s="202">
        <v>0.46</v>
      </c>
      <c r="BQ109" s="202">
        <v>4</v>
      </c>
      <c r="BR109" s="202" t="s">
        <v>434</v>
      </c>
      <c r="BS109" s="202">
        <v>0</v>
      </c>
      <c r="BT109" s="205">
        <f t="shared" ref="BT109:BT110" si="211">IF(ISNUMBER(BS109),BS109*(BU109/BS$41+BV109*(1+BW109/BS$28^0.3)),0)</f>
        <v>0</v>
      </c>
      <c r="BU109" s="202">
        <v>1500</v>
      </c>
      <c r="BV109" s="202">
        <v>0.46</v>
      </c>
      <c r="BW109" s="202">
        <v>4</v>
      </c>
      <c r="BX109" s="202" t="s">
        <v>434</v>
      </c>
      <c r="BY109" s="202">
        <v>0</v>
      </c>
      <c r="BZ109" s="205">
        <f t="shared" ref="BZ109:BZ110" si="212">IF(ISNUMBER(BY109),BY109*(CA109/BY$41+CB109*(1+CC109/BY$28^0.3)),0)</f>
        <v>0</v>
      </c>
      <c r="CA109" s="202">
        <v>1500</v>
      </c>
      <c r="CB109" s="202">
        <v>0.46</v>
      </c>
      <c r="CC109" s="202">
        <v>4</v>
      </c>
      <c r="CD109" s="202" t="s">
        <v>434</v>
      </c>
      <c r="CE109" s="202">
        <v>0</v>
      </c>
      <c r="CF109" s="205">
        <f t="shared" ref="CF109:CF110" si="213">IF(ISNUMBER(CE109),CE109*(CG109/CE$41+CH109*(1+CI109/CE$28^0.3)),0)</f>
        <v>0</v>
      </c>
      <c r="CG109" s="202">
        <v>1500</v>
      </c>
      <c r="CH109" s="202">
        <v>0.46</v>
      </c>
      <c r="CI109" s="202">
        <v>4</v>
      </c>
      <c r="CJ109" s="202" t="s">
        <v>434</v>
      </c>
      <c r="CK109" s="202">
        <v>0</v>
      </c>
      <c r="CL109" s="205">
        <f t="shared" ref="CL109:CL110" si="214">IF(ISNUMBER(CK109),CK109*(CM109/CK$41+CN109*(1+CO109/CK$28^0.3)),0)</f>
        <v>0</v>
      </c>
      <c r="CM109" s="202">
        <v>1500</v>
      </c>
      <c r="CN109" s="202">
        <v>0.46</v>
      </c>
      <c r="CO109" s="202">
        <v>4</v>
      </c>
      <c r="CP109" s="202" t="s">
        <v>434</v>
      </c>
      <c r="CQ109" s="202">
        <v>0</v>
      </c>
      <c r="CR109" s="205">
        <f t="shared" ref="CR109:CR110" si="215">IF(ISNUMBER(CQ109),CQ109*(CS109/CQ$41+CT109*(1+CU109/CQ$28^0.3)),0)</f>
        <v>0</v>
      </c>
      <c r="CS109" s="202">
        <v>1500</v>
      </c>
      <c r="CT109" s="202">
        <v>0.46</v>
      </c>
      <c r="CU109" s="202">
        <v>4</v>
      </c>
      <c r="CV109" s="202" t="s">
        <v>434</v>
      </c>
      <c r="CW109" s="202">
        <v>0</v>
      </c>
      <c r="CX109" s="205">
        <f>IF(ISNUMBER(CW109),CW109*(CY109/CW$41+CZ109*(1+DA109/CW$30^0.3)),0)</f>
        <v>0</v>
      </c>
      <c r="CY109" s="202">
        <v>1000</v>
      </c>
      <c r="CZ109" s="202">
        <v>2</v>
      </c>
      <c r="DA109" s="202"/>
      <c r="DB109" s="202" t="s">
        <v>444</v>
      </c>
      <c r="DC109" s="202">
        <v>0</v>
      </c>
      <c r="DD109" s="205">
        <f t="shared" ref="DD109:DD110" si="216">IF(ISNUMBER(DC109),DC109*(DE109/DC$41+DF109*(1+DG109/DC$28^0.3)),0)</f>
        <v>0</v>
      </c>
      <c r="DE109" s="202">
        <v>1500</v>
      </c>
      <c r="DF109" s="202">
        <v>0.46</v>
      </c>
      <c r="DG109" s="202">
        <v>4</v>
      </c>
      <c r="DH109" s="202" t="s">
        <v>434</v>
      </c>
      <c r="DI109" s="202">
        <v>0</v>
      </c>
      <c r="DJ109" s="205">
        <f t="shared" ref="DJ109:DJ110" si="217">IF(ISNUMBER(DI109),DI109*(DK109/DI$41+DL109*(1+DM109/DI$28^0.3)),0)</f>
        <v>0</v>
      </c>
      <c r="DK109" s="202">
        <v>1500</v>
      </c>
      <c r="DL109" s="202">
        <v>0.46</v>
      </c>
      <c r="DM109" s="202">
        <v>4</v>
      </c>
      <c r="DN109" s="202" t="s">
        <v>434</v>
      </c>
    </row>
    <row r="110" spans="2:118" x14ac:dyDescent="0.35">
      <c r="B110" s="201" t="s">
        <v>473</v>
      </c>
      <c r="C110" s="13"/>
      <c r="D110" s="13"/>
      <c r="E110" s="202">
        <v>0</v>
      </c>
      <c r="F110" s="205">
        <f t="shared" si="128"/>
        <v>0</v>
      </c>
      <c r="G110" s="202">
        <v>2000</v>
      </c>
      <c r="H110" s="202">
        <v>2.85</v>
      </c>
      <c r="I110" s="202">
        <v>3.8</v>
      </c>
      <c r="J110" s="202" t="s">
        <v>434</v>
      </c>
      <c r="K110" s="202">
        <v>0</v>
      </c>
      <c r="L110" s="205">
        <f t="shared" si="201"/>
        <v>0</v>
      </c>
      <c r="M110" s="202">
        <v>2000</v>
      </c>
      <c r="N110" s="202">
        <v>2.85</v>
      </c>
      <c r="O110" s="202">
        <v>3.8</v>
      </c>
      <c r="P110" s="202" t="s">
        <v>434</v>
      </c>
      <c r="Q110" s="202">
        <v>0</v>
      </c>
      <c r="R110" s="205">
        <f t="shared" si="202"/>
        <v>0</v>
      </c>
      <c r="S110" s="202">
        <v>2000</v>
      </c>
      <c r="T110" s="202">
        <v>2.85</v>
      </c>
      <c r="U110" s="202">
        <v>3.8</v>
      </c>
      <c r="V110" s="202" t="s">
        <v>434</v>
      </c>
      <c r="W110" s="202">
        <v>0</v>
      </c>
      <c r="X110" s="205">
        <f t="shared" si="203"/>
        <v>0</v>
      </c>
      <c r="Y110" s="202">
        <v>2000</v>
      </c>
      <c r="Z110" s="202">
        <v>2.85</v>
      </c>
      <c r="AA110" s="202">
        <v>3.8</v>
      </c>
      <c r="AB110" s="202" t="s">
        <v>434</v>
      </c>
      <c r="AC110" s="202">
        <v>0</v>
      </c>
      <c r="AD110" s="205">
        <f t="shared" si="204"/>
        <v>0</v>
      </c>
      <c r="AE110" s="202">
        <v>2000</v>
      </c>
      <c r="AF110" s="202">
        <v>2.85</v>
      </c>
      <c r="AG110" s="202">
        <v>3.8</v>
      </c>
      <c r="AH110" s="202" t="s">
        <v>434</v>
      </c>
      <c r="AI110" s="202">
        <v>0</v>
      </c>
      <c r="AJ110" s="205">
        <f t="shared" si="205"/>
        <v>0</v>
      </c>
      <c r="AK110" s="202">
        <v>2000</v>
      </c>
      <c r="AL110" s="202">
        <v>2.85</v>
      </c>
      <c r="AM110" s="202">
        <v>3.8</v>
      </c>
      <c r="AN110" s="202" t="s">
        <v>434</v>
      </c>
      <c r="AO110" s="202">
        <v>0</v>
      </c>
      <c r="AP110" s="205">
        <f t="shared" si="206"/>
        <v>0</v>
      </c>
      <c r="AQ110" s="202">
        <v>2000</v>
      </c>
      <c r="AR110" s="202">
        <v>2.85</v>
      </c>
      <c r="AS110" s="202">
        <v>3.8</v>
      </c>
      <c r="AT110" s="202" t="s">
        <v>434</v>
      </c>
      <c r="AU110" s="202">
        <v>0</v>
      </c>
      <c r="AV110" s="205">
        <f t="shared" si="207"/>
        <v>0</v>
      </c>
      <c r="AW110" s="202">
        <v>2000</v>
      </c>
      <c r="AX110" s="202">
        <v>2.85</v>
      </c>
      <c r="AY110" s="202">
        <v>3.8</v>
      </c>
      <c r="AZ110" s="202" t="s">
        <v>434</v>
      </c>
      <c r="BA110" s="202">
        <v>0</v>
      </c>
      <c r="BB110" s="205">
        <f t="shared" si="208"/>
        <v>0</v>
      </c>
      <c r="BC110" s="202">
        <v>2000</v>
      </c>
      <c r="BD110" s="202">
        <v>2.85</v>
      </c>
      <c r="BE110" s="202">
        <v>3.8</v>
      </c>
      <c r="BF110" s="202" t="s">
        <v>434</v>
      </c>
      <c r="BG110" s="202">
        <v>0</v>
      </c>
      <c r="BH110" s="205">
        <f t="shared" si="209"/>
        <v>0</v>
      </c>
      <c r="BI110" s="202">
        <v>2000</v>
      </c>
      <c r="BJ110" s="202">
        <v>2.85</v>
      </c>
      <c r="BK110" s="202">
        <v>3.8</v>
      </c>
      <c r="BL110" s="202" t="s">
        <v>434</v>
      </c>
      <c r="BM110" s="202">
        <v>0</v>
      </c>
      <c r="BN110" s="205">
        <f t="shared" si="210"/>
        <v>0</v>
      </c>
      <c r="BO110" s="202">
        <v>2000</v>
      </c>
      <c r="BP110" s="202">
        <v>2.85</v>
      </c>
      <c r="BQ110" s="202">
        <v>3.8</v>
      </c>
      <c r="BR110" s="202" t="s">
        <v>434</v>
      </c>
      <c r="BS110" s="202">
        <v>0</v>
      </c>
      <c r="BT110" s="205">
        <f t="shared" si="211"/>
        <v>0</v>
      </c>
      <c r="BU110" s="202">
        <v>2000</v>
      </c>
      <c r="BV110" s="202">
        <v>2.85</v>
      </c>
      <c r="BW110" s="202">
        <v>3.8</v>
      </c>
      <c r="BX110" s="202" t="s">
        <v>434</v>
      </c>
      <c r="BY110" s="202">
        <v>0</v>
      </c>
      <c r="BZ110" s="205">
        <f t="shared" si="212"/>
        <v>0</v>
      </c>
      <c r="CA110" s="202">
        <v>2000</v>
      </c>
      <c r="CB110" s="202">
        <v>2.85</v>
      </c>
      <c r="CC110" s="202">
        <v>3.8</v>
      </c>
      <c r="CD110" s="202" t="s">
        <v>434</v>
      </c>
      <c r="CE110" s="202">
        <v>0</v>
      </c>
      <c r="CF110" s="205">
        <f t="shared" si="213"/>
        <v>0</v>
      </c>
      <c r="CG110" s="202">
        <v>2000</v>
      </c>
      <c r="CH110" s="202">
        <v>2.85</v>
      </c>
      <c r="CI110" s="202">
        <v>3.8</v>
      </c>
      <c r="CJ110" s="202" t="s">
        <v>434</v>
      </c>
      <c r="CK110" s="202">
        <v>0</v>
      </c>
      <c r="CL110" s="205">
        <f t="shared" si="214"/>
        <v>0</v>
      </c>
      <c r="CM110" s="202">
        <v>2000</v>
      </c>
      <c r="CN110" s="202">
        <v>2.85</v>
      </c>
      <c r="CO110" s="202">
        <v>3.8</v>
      </c>
      <c r="CP110" s="202" t="s">
        <v>434</v>
      </c>
      <c r="CQ110" s="202">
        <v>0</v>
      </c>
      <c r="CR110" s="205">
        <f t="shared" si="215"/>
        <v>0</v>
      </c>
      <c r="CS110" s="202">
        <v>2000</v>
      </c>
      <c r="CT110" s="202">
        <v>2.85</v>
      </c>
      <c r="CU110" s="202">
        <v>3.8</v>
      </c>
      <c r="CV110" s="202" t="s">
        <v>434</v>
      </c>
      <c r="CW110" s="202">
        <v>0</v>
      </c>
      <c r="CX110" s="205">
        <f t="shared" ref="CX110:CX111" si="218">IF(ISNUMBER(CW110),CW110*(CY110/CW$41+CZ110*(1+DA110/CW$28^0.3)),0)</f>
        <v>0</v>
      </c>
      <c r="CY110" s="202">
        <v>1500</v>
      </c>
      <c r="CZ110" s="202">
        <v>0.46</v>
      </c>
      <c r="DA110" s="202">
        <v>4</v>
      </c>
      <c r="DB110" s="202" t="s">
        <v>434</v>
      </c>
      <c r="DC110" s="202">
        <v>0</v>
      </c>
      <c r="DD110" s="205">
        <f t="shared" si="216"/>
        <v>0</v>
      </c>
      <c r="DE110" s="202">
        <v>2000</v>
      </c>
      <c r="DF110" s="202">
        <v>2.85</v>
      </c>
      <c r="DG110" s="202">
        <v>3.8</v>
      </c>
      <c r="DH110" s="202" t="s">
        <v>434</v>
      </c>
      <c r="DI110" s="202">
        <v>0</v>
      </c>
      <c r="DJ110" s="205">
        <f t="shared" si="217"/>
        <v>0</v>
      </c>
      <c r="DK110" s="202">
        <v>2000</v>
      </c>
      <c r="DL110" s="202">
        <v>2.85</v>
      </c>
      <c r="DM110" s="202">
        <v>3.8</v>
      </c>
      <c r="DN110" s="202" t="s">
        <v>434</v>
      </c>
    </row>
    <row r="111" spans="2:118" x14ac:dyDescent="0.35">
      <c r="B111" s="201" t="s">
        <v>474</v>
      </c>
      <c r="C111" s="201"/>
      <c r="D111" s="201"/>
      <c r="E111" s="202">
        <v>0</v>
      </c>
      <c r="F111" s="205">
        <f>IF(ISNUMBER(E111),E111*(G111/E$41+H111*(1+I111/E$30^0.3)),0)</f>
        <v>0</v>
      </c>
      <c r="G111" s="202">
        <v>1000</v>
      </c>
      <c r="H111" s="202">
        <v>0.5</v>
      </c>
      <c r="I111" s="202"/>
      <c r="J111" s="202" t="s">
        <v>444</v>
      </c>
      <c r="K111" s="202">
        <v>0</v>
      </c>
      <c r="L111" s="205">
        <f>IF(ISNUMBER(K111),K111*(M111/K$41+N111*(1+O111/K$30^0.3)),0)</f>
        <v>0</v>
      </c>
      <c r="M111" s="202">
        <v>1000</v>
      </c>
      <c r="N111" s="202">
        <v>0.5</v>
      </c>
      <c r="O111" s="202"/>
      <c r="P111" s="202" t="s">
        <v>444</v>
      </c>
      <c r="Q111" s="202">
        <v>0</v>
      </c>
      <c r="R111" s="205">
        <f>IF(ISNUMBER(Q111),Q111*(S111/Q$41+T111*(1+U111/Q$30^0.3)),0)</f>
        <v>0</v>
      </c>
      <c r="S111" s="202">
        <v>1000</v>
      </c>
      <c r="T111" s="202">
        <v>0.5</v>
      </c>
      <c r="U111" s="202"/>
      <c r="V111" s="202" t="s">
        <v>444</v>
      </c>
      <c r="W111" s="202">
        <v>0</v>
      </c>
      <c r="X111" s="205">
        <f>IF(ISNUMBER(W111),W111*(Y111/W$41+Z111*(1+AA111/W$30^0.3)),0)</f>
        <v>0</v>
      </c>
      <c r="Y111" s="202">
        <v>1000</v>
      </c>
      <c r="Z111" s="202">
        <v>0.5</v>
      </c>
      <c r="AA111" s="202"/>
      <c r="AB111" s="202" t="s">
        <v>444</v>
      </c>
      <c r="AC111" s="202">
        <v>0</v>
      </c>
      <c r="AD111" s="205">
        <f>IF(ISNUMBER(AC111),AC111*(AE111/AC$41+AF111*(1+AG111/AC$30^0.3)),0)</f>
        <v>0</v>
      </c>
      <c r="AE111" s="202">
        <v>1000</v>
      </c>
      <c r="AF111" s="202">
        <v>0.5</v>
      </c>
      <c r="AG111" s="202"/>
      <c r="AH111" s="202" t="s">
        <v>444</v>
      </c>
      <c r="AI111" s="202">
        <v>0</v>
      </c>
      <c r="AJ111" s="205">
        <f>IF(ISNUMBER(AI111),AI111*(AK111/AI$41+AL111*(1+AM111/AI$30^0.3)),0)</f>
        <v>0</v>
      </c>
      <c r="AK111" s="202">
        <v>1000</v>
      </c>
      <c r="AL111" s="202">
        <v>0.5</v>
      </c>
      <c r="AM111" s="202"/>
      <c r="AN111" s="202" t="s">
        <v>444</v>
      </c>
      <c r="AO111" s="202">
        <v>0</v>
      </c>
      <c r="AP111" s="205">
        <f>IF(ISNUMBER(AO111),AO111*(AQ111/AO$41+AR111*(1+AS111/AO$30^0.3)),0)</f>
        <v>0</v>
      </c>
      <c r="AQ111" s="202">
        <v>1000</v>
      </c>
      <c r="AR111" s="202">
        <v>0.5</v>
      </c>
      <c r="AS111" s="202"/>
      <c r="AT111" s="202" t="s">
        <v>444</v>
      </c>
      <c r="AU111" s="202">
        <v>0</v>
      </c>
      <c r="AV111" s="205">
        <f>IF(ISNUMBER(AU111),AU111*(AW111/AU$41+AX111*(1+AY111/AU$30^0.3)),0)</f>
        <v>0</v>
      </c>
      <c r="AW111" s="202">
        <v>1000</v>
      </c>
      <c r="AX111" s="202">
        <v>0.5</v>
      </c>
      <c r="AY111" s="202"/>
      <c r="AZ111" s="202" t="s">
        <v>444</v>
      </c>
      <c r="BA111" s="202">
        <v>0</v>
      </c>
      <c r="BB111" s="205">
        <f>IF(ISNUMBER(BA111),BA111*(BC111/BA$41+BD111*(1+BE111/BA$30^0.3)),0)</f>
        <v>0</v>
      </c>
      <c r="BC111" s="202">
        <v>1000</v>
      </c>
      <c r="BD111" s="202">
        <v>0.5</v>
      </c>
      <c r="BE111" s="202"/>
      <c r="BF111" s="202" t="s">
        <v>444</v>
      </c>
      <c r="BG111" s="202">
        <v>0</v>
      </c>
      <c r="BH111" s="205">
        <f>IF(ISNUMBER(BG111),BG111*(BI111/BG$41+BJ111*(1+BK111/BG$30^0.3)),0)</f>
        <v>0</v>
      </c>
      <c r="BI111" s="202">
        <v>1000</v>
      </c>
      <c r="BJ111" s="202">
        <v>0.5</v>
      </c>
      <c r="BK111" s="202"/>
      <c r="BL111" s="202" t="s">
        <v>444</v>
      </c>
      <c r="BM111" s="202">
        <v>0</v>
      </c>
      <c r="BN111" s="205">
        <f>IF(ISNUMBER(BM111),BM111*(BO111/BM$41+BP111*(1+BQ111/BM$30^0.3)),0)</f>
        <v>0</v>
      </c>
      <c r="BO111" s="202">
        <v>1000</v>
      </c>
      <c r="BP111" s="202">
        <v>0.5</v>
      </c>
      <c r="BQ111" s="202"/>
      <c r="BR111" s="202" t="s">
        <v>444</v>
      </c>
      <c r="BS111" s="202">
        <v>0</v>
      </c>
      <c r="BT111" s="205">
        <f>IF(ISNUMBER(BS111),BS111*(BU111/BS$41+BV111*(1+BW111/BS$30^0.3)),0)</f>
        <v>0</v>
      </c>
      <c r="BU111" s="202">
        <v>1000</v>
      </c>
      <c r="BV111" s="202">
        <v>0.5</v>
      </c>
      <c r="BW111" s="202"/>
      <c r="BX111" s="202" t="s">
        <v>444</v>
      </c>
      <c r="BY111" s="202">
        <v>0</v>
      </c>
      <c r="BZ111" s="205">
        <f>IF(ISNUMBER(BY111),BY111*(CA111/BY$41+CB111*(1+CC111/BY$30^0.3)),0)</f>
        <v>0</v>
      </c>
      <c r="CA111" s="202">
        <v>1000</v>
      </c>
      <c r="CB111" s="202">
        <v>0.5</v>
      </c>
      <c r="CC111" s="202"/>
      <c r="CD111" s="202" t="s">
        <v>444</v>
      </c>
      <c r="CE111" s="202">
        <v>0</v>
      </c>
      <c r="CF111" s="205">
        <f>IF(ISNUMBER(CE111),CE111*(CG111/CE$41+CH111*(1+CI111/CE$30^0.3)),0)</f>
        <v>0</v>
      </c>
      <c r="CG111" s="202">
        <v>1000</v>
      </c>
      <c r="CH111" s="202">
        <v>0.5</v>
      </c>
      <c r="CI111" s="202"/>
      <c r="CJ111" s="202" t="s">
        <v>444</v>
      </c>
      <c r="CK111" s="202">
        <v>0</v>
      </c>
      <c r="CL111" s="205">
        <f>IF(ISNUMBER(CK111),CK111*(CM111/CK$41+CN111*(1+CO111/CK$30^0.3)),0)</f>
        <v>0</v>
      </c>
      <c r="CM111" s="202">
        <v>1000</v>
      </c>
      <c r="CN111" s="202">
        <v>0.5</v>
      </c>
      <c r="CO111" s="202"/>
      <c r="CP111" s="202" t="s">
        <v>444</v>
      </c>
      <c r="CQ111" s="202">
        <v>0</v>
      </c>
      <c r="CR111" s="205">
        <f>IF(ISNUMBER(CQ111),CQ111*(CS111/CQ$41+CT111*(1+CU111/CQ$30^0.3)),0)</f>
        <v>0</v>
      </c>
      <c r="CS111" s="202">
        <v>1000</v>
      </c>
      <c r="CT111" s="202">
        <v>0.5</v>
      </c>
      <c r="CU111" s="202"/>
      <c r="CV111" s="202" t="s">
        <v>444</v>
      </c>
      <c r="CW111" s="202">
        <v>0</v>
      </c>
      <c r="CX111" s="205">
        <f t="shared" si="218"/>
        <v>0</v>
      </c>
      <c r="CY111" s="202">
        <v>2000</v>
      </c>
      <c r="CZ111" s="202">
        <v>2.85</v>
      </c>
      <c r="DA111" s="202">
        <v>3.8</v>
      </c>
      <c r="DB111" s="202" t="s">
        <v>434</v>
      </c>
      <c r="DC111" s="202">
        <v>0</v>
      </c>
      <c r="DD111" s="205">
        <f>IF(ISNUMBER(DC111),DC111*(DE111/DC$41+DF111*(1+DG111/DC$30^0.3)),0)</f>
        <v>0</v>
      </c>
      <c r="DE111" s="202">
        <v>1000</v>
      </c>
      <c r="DF111" s="202">
        <v>0.5</v>
      </c>
      <c r="DG111" s="202"/>
      <c r="DH111" s="202" t="s">
        <v>444</v>
      </c>
      <c r="DI111" s="202">
        <v>0</v>
      </c>
      <c r="DJ111" s="205">
        <f>IF(ISNUMBER(DI111),DI111*(DK111/DI$41+DL111*(1+DM111/DI$30^0.3)),0)</f>
        <v>0</v>
      </c>
      <c r="DK111" s="202">
        <v>1000</v>
      </c>
      <c r="DL111" s="202">
        <v>0.5</v>
      </c>
      <c r="DM111" s="202"/>
      <c r="DN111" s="202" t="s">
        <v>444</v>
      </c>
    </row>
    <row r="112" spans="2:118" x14ac:dyDescent="0.35">
      <c r="B112" s="203" t="s">
        <v>475</v>
      </c>
      <c r="C112" s="203"/>
      <c r="D112" s="201" t="s">
        <v>514</v>
      </c>
      <c r="E112" s="206">
        <v>1.5</v>
      </c>
      <c r="F112" s="204" t="s">
        <v>428</v>
      </c>
      <c r="G112" s="207" t="s">
        <v>476</v>
      </c>
      <c r="H112" s="396"/>
      <c r="I112" s="396"/>
      <c r="J112" s="396"/>
      <c r="K112" s="206">
        <v>1.5</v>
      </c>
      <c r="L112" s="204" t="s">
        <v>428</v>
      </c>
      <c r="M112" s="207" t="s">
        <v>476</v>
      </c>
      <c r="N112" s="396"/>
      <c r="O112" s="396"/>
      <c r="P112" s="396"/>
      <c r="Q112" s="206">
        <v>1.5</v>
      </c>
      <c r="R112" s="204" t="s">
        <v>428</v>
      </c>
      <c r="S112" s="207" t="s">
        <v>476</v>
      </c>
      <c r="T112" s="396"/>
      <c r="U112" s="396"/>
      <c r="V112" s="396"/>
      <c r="W112" s="206">
        <v>1.5</v>
      </c>
      <c r="X112" s="204" t="s">
        <v>428</v>
      </c>
      <c r="Y112" s="207" t="s">
        <v>476</v>
      </c>
      <c r="Z112" s="396"/>
      <c r="AA112" s="396"/>
      <c r="AB112" s="396"/>
      <c r="AC112" s="206">
        <v>1.5</v>
      </c>
      <c r="AD112" s="204" t="s">
        <v>428</v>
      </c>
      <c r="AE112" s="207" t="s">
        <v>476</v>
      </c>
      <c r="AF112" s="396"/>
      <c r="AG112" s="396"/>
      <c r="AH112" s="396"/>
      <c r="AI112" s="206">
        <v>1.5</v>
      </c>
      <c r="AJ112" s="204" t="s">
        <v>428</v>
      </c>
      <c r="AK112" s="207" t="s">
        <v>476</v>
      </c>
      <c r="AL112" s="396"/>
      <c r="AM112" s="396"/>
      <c r="AN112" s="396"/>
      <c r="AO112" s="206">
        <v>1.5</v>
      </c>
      <c r="AP112" s="204" t="s">
        <v>428</v>
      </c>
      <c r="AQ112" s="207" t="s">
        <v>476</v>
      </c>
      <c r="AR112" s="396"/>
      <c r="AS112" s="396"/>
      <c r="AT112" s="396"/>
      <c r="AU112" s="206">
        <v>1.5</v>
      </c>
      <c r="AV112" s="204" t="s">
        <v>428</v>
      </c>
      <c r="AW112" s="207" t="s">
        <v>476</v>
      </c>
      <c r="AX112" s="396"/>
      <c r="AY112" s="396"/>
      <c r="AZ112" s="396"/>
      <c r="BA112" s="206">
        <v>1.5</v>
      </c>
      <c r="BB112" s="204" t="s">
        <v>428</v>
      </c>
      <c r="BC112" s="207" t="s">
        <v>476</v>
      </c>
      <c r="BD112" s="396"/>
      <c r="BE112" s="396"/>
      <c r="BF112" s="396"/>
      <c r="BG112" s="206">
        <v>1.5</v>
      </c>
      <c r="BH112" s="204" t="s">
        <v>428</v>
      </c>
      <c r="BI112" s="207" t="s">
        <v>476</v>
      </c>
      <c r="BJ112" s="396"/>
      <c r="BK112" s="396"/>
      <c r="BL112" s="396"/>
      <c r="BM112" s="206">
        <v>1.5</v>
      </c>
      <c r="BN112" s="204" t="s">
        <v>428</v>
      </c>
      <c r="BO112" s="207" t="s">
        <v>476</v>
      </c>
      <c r="BP112" s="396"/>
      <c r="BQ112" s="396"/>
      <c r="BR112" s="396"/>
      <c r="BS112" s="206">
        <v>1.5</v>
      </c>
      <c r="BT112" s="204" t="s">
        <v>428</v>
      </c>
      <c r="BU112" s="207" t="s">
        <v>476</v>
      </c>
      <c r="BV112" s="396"/>
      <c r="BW112" s="396"/>
      <c r="BX112" s="396"/>
      <c r="BY112" s="206">
        <v>1.5</v>
      </c>
      <c r="BZ112" s="204" t="s">
        <v>428</v>
      </c>
      <c r="CA112" s="207" t="s">
        <v>476</v>
      </c>
      <c r="CB112" s="396"/>
      <c r="CC112" s="396"/>
      <c r="CD112" s="396"/>
      <c r="CE112" s="206">
        <v>1.5</v>
      </c>
      <c r="CF112" s="204" t="s">
        <v>428</v>
      </c>
      <c r="CG112" s="207" t="s">
        <v>476</v>
      </c>
      <c r="CH112" s="396"/>
      <c r="CI112" s="396"/>
      <c r="CJ112" s="396"/>
      <c r="CK112" s="206">
        <v>1.5</v>
      </c>
      <c r="CL112" s="204" t="s">
        <v>428</v>
      </c>
      <c r="CM112" s="207" t="s">
        <v>476</v>
      </c>
      <c r="CN112" s="396"/>
      <c r="CO112" s="396"/>
      <c r="CP112" s="396"/>
      <c r="CQ112" s="206">
        <v>1.5</v>
      </c>
      <c r="CR112" s="204" t="s">
        <v>428</v>
      </c>
      <c r="CS112" s="207" t="s">
        <v>476</v>
      </c>
      <c r="CT112" s="396"/>
      <c r="CU112" s="396"/>
      <c r="CV112" s="396"/>
      <c r="CW112" s="202">
        <v>0</v>
      </c>
      <c r="CX112" s="205">
        <f>IF(ISNUMBER(CW112),CW112*(CY112/CW$41+CZ112*(1+DA112/CW$30^0.3)),0)</f>
        <v>0</v>
      </c>
      <c r="CY112" s="202">
        <v>1000</v>
      </c>
      <c r="CZ112" s="202">
        <v>0.5</v>
      </c>
      <c r="DA112" s="202"/>
      <c r="DB112" s="202" t="s">
        <v>444</v>
      </c>
      <c r="DC112" s="206">
        <v>1.5</v>
      </c>
      <c r="DD112" s="204" t="s">
        <v>428</v>
      </c>
      <c r="DE112" s="207" t="s">
        <v>476</v>
      </c>
      <c r="DF112" s="396"/>
      <c r="DG112" s="396"/>
      <c r="DH112" s="396"/>
      <c r="DI112" s="206">
        <v>1.5</v>
      </c>
      <c r="DJ112" s="204" t="s">
        <v>428</v>
      </c>
      <c r="DK112" s="207" t="s">
        <v>476</v>
      </c>
      <c r="DL112" s="396"/>
      <c r="DM112" s="396"/>
      <c r="DN112" s="396"/>
    </row>
    <row r="113" spans="2:118" ht="14.5" hidden="1" customHeight="1" x14ac:dyDescent="0.35">
      <c r="B113" s="203"/>
      <c r="C113" s="203"/>
      <c r="D113" s="201"/>
      <c r="E113" s="206">
        <f>E112*25.4</f>
        <v>38.099999999999994</v>
      </c>
      <c r="F113" s="204"/>
      <c r="G113" s="207"/>
      <c r="H113" s="396"/>
      <c r="I113" s="396"/>
      <c r="J113" s="396"/>
      <c r="K113" s="206">
        <f>K112*25.4</f>
        <v>38.099999999999994</v>
      </c>
      <c r="L113" s="204"/>
      <c r="M113" s="207"/>
      <c r="N113" s="396"/>
      <c r="O113" s="396"/>
      <c r="P113" s="396"/>
      <c r="Q113" s="206">
        <f>Q112*25.4</f>
        <v>38.099999999999994</v>
      </c>
      <c r="R113" s="204"/>
      <c r="S113" s="207"/>
      <c r="T113" s="396"/>
      <c r="U113" s="396"/>
      <c r="V113" s="396"/>
      <c r="W113" s="206">
        <f>W112*25.4</f>
        <v>38.099999999999994</v>
      </c>
      <c r="X113" s="204"/>
      <c r="Y113" s="207"/>
      <c r="Z113" s="396"/>
      <c r="AA113" s="396"/>
      <c r="AB113" s="396"/>
      <c r="AC113" s="206">
        <f>AC112*25.4</f>
        <v>38.099999999999994</v>
      </c>
      <c r="AD113" s="204"/>
      <c r="AE113" s="207"/>
      <c r="AF113" s="396"/>
      <c r="AG113" s="396"/>
      <c r="AH113" s="396"/>
      <c r="AI113" s="206">
        <f>AI112*25.4</f>
        <v>38.099999999999994</v>
      </c>
      <c r="AJ113" s="204"/>
      <c r="AK113" s="207"/>
      <c r="AL113" s="396"/>
      <c r="AM113" s="396"/>
      <c r="AN113" s="396"/>
      <c r="AO113" s="206">
        <f>AO112*25.4</f>
        <v>38.099999999999994</v>
      </c>
      <c r="AP113" s="204"/>
      <c r="AQ113" s="207"/>
      <c r="AR113" s="396"/>
      <c r="AS113" s="396"/>
      <c r="AT113" s="396"/>
      <c r="AU113" s="206">
        <f>AU112*25.4</f>
        <v>38.099999999999994</v>
      </c>
      <c r="AV113" s="204"/>
      <c r="AW113" s="207"/>
      <c r="AX113" s="396"/>
      <c r="AY113" s="396"/>
      <c r="AZ113" s="396"/>
      <c r="BA113" s="206">
        <f>BA112*25.4</f>
        <v>38.099999999999994</v>
      </c>
      <c r="BB113" s="204"/>
      <c r="BC113" s="207"/>
      <c r="BD113" s="396"/>
      <c r="BE113" s="396"/>
      <c r="BF113" s="396"/>
      <c r="BG113" s="206">
        <f>BG112*25.4</f>
        <v>38.099999999999994</v>
      </c>
      <c r="BH113" s="204"/>
      <c r="BI113" s="207"/>
      <c r="BJ113" s="396"/>
      <c r="BK113" s="396"/>
      <c r="BL113" s="396"/>
      <c r="BM113" s="206">
        <f>BM112*25.4</f>
        <v>38.099999999999994</v>
      </c>
      <c r="BN113" s="204"/>
      <c r="BO113" s="207"/>
      <c r="BP113" s="396"/>
      <c r="BQ113" s="396"/>
      <c r="BR113" s="396"/>
      <c r="BS113" s="206">
        <f>BS112*25.4</f>
        <v>38.099999999999994</v>
      </c>
      <c r="BT113" s="204"/>
      <c r="BU113" s="207"/>
      <c r="BV113" s="396"/>
      <c r="BW113" s="396"/>
      <c r="BX113" s="396"/>
      <c r="BY113" s="206">
        <f>BY112*25.4</f>
        <v>38.099999999999994</v>
      </c>
      <c r="BZ113" s="204"/>
      <c r="CA113" s="207"/>
      <c r="CB113" s="396"/>
      <c r="CC113" s="396"/>
      <c r="CD113" s="396"/>
      <c r="CE113" s="206">
        <f>CE112*25.4</f>
        <v>38.099999999999994</v>
      </c>
      <c r="CF113" s="204"/>
      <c r="CG113" s="207"/>
      <c r="CH113" s="396"/>
      <c r="CI113" s="396"/>
      <c r="CJ113" s="396"/>
      <c r="CK113" s="206">
        <f>CK112*25.4</f>
        <v>38.099999999999994</v>
      </c>
      <c r="CL113" s="204"/>
      <c r="CM113" s="207"/>
      <c r="CN113" s="396"/>
      <c r="CO113" s="396"/>
      <c r="CP113" s="396"/>
      <c r="CQ113" s="206">
        <f>CQ112*25.4</f>
        <v>38.099999999999994</v>
      </c>
      <c r="CR113" s="204"/>
      <c r="CS113" s="207"/>
      <c r="CT113" s="396"/>
      <c r="CU113" s="396"/>
      <c r="CV113" s="396"/>
      <c r="CW113" s="206">
        <v>1.5</v>
      </c>
      <c r="CX113" s="204" t="s">
        <v>428</v>
      </c>
      <c r="CY113" s="207" t="s">
        <v>476</v>
      </c>
      <c r="CZ113" s="396"/>
      <c r="DA113" s="396"/>
      <c r="DB113" s="396"/>
      <c r="DC113" s="206">
        <f>DC112*25.4</f>
        <v>38.099999999999994</v>
      </c>
      <c r="DD113" s="204"/>
      <c r="DE113" s="207"/>
      <c r="DF113" s="396"/>
      <c r="DG113" s="396"/>
      <c r="DH113" s="396"/>
      <c r="DI113" s="206">
        <f>DI112*25.4</f>
        <v>38.099999999999994</v>
      </c>
      <c r="DJ113" s="204"/>
      <c r="DK113" s="207"/>
      <c r="DL113" s="396"/>
      <c r="DM113" s="396"/>
      <c r="DN113" s="396"/>
    </row>
    <row r="114" spans="2:118" x14ac:dyDescent="0.35">
      <c r="B114" s="208" t="s">
        <v>477</v>
      </c>
      <c r="C114" s="13"/>
      <c r="D114" s="13"/>
      <c r="E114" s="201"/>
      <c r="F114" s="201"/>
      <c r="G114" s="201"/>
      <c r="H114" s="396"/>
      <c r="I114" s="396"/>
      <c r="J114" s="396"/>
      <c r="K114" s="201"/>
      <c r="L114" s="201"/>
      <c r="M114" s="201"/>
      <c r="N114" s="396"/>
      <c r="O114" s="396"/>
      <c r="P114" s="396"/>
      <c r="Q114" s="201"/>
      <c r="R114" s="201"/>
      <c r="S114" s="201"/>
      <c r="T114" s="396"/>
      <c r="U114" s="396"/>
      <c r="V114" s="396"/>
      <c r="W114" s="201"/>
      <c r="X114" s="201"/>
      <c r="Y114" s="201"/>
      <c r="Z114" s="396"/>
      <c r="AA114" s="396"/>
      <c r="AB114" s="396"/>
      <c r="AC114" s="201"/>
      <c r="AD114" s="201"/>
      <c r="AE114" s="201"/>
      <c r="AF114" s="396"/>
      <c r="AG114" s="396"/>
      <c r="AH114" s="396"/>
      <c r="AI114" s="201"/>
      <c r="AJ114" s="201"/>
      <c r="AK114" s="201"/>
      <c r="AL114" s="396"/>
      <c r="AM114" s="396"/>
      <c r="AN114" s="396"/>
      <c r="AO114" s="201"/>
      <c r="AP114" s="201"/>
      <c r="AQ114" s="201"/>
      <c r="AR114" s="396"/>
      <c r="AS114" s="396"/>
      <c r="AT114" s="396"/>
      <c r="AU114" s="201"/>
      <c r="AV114" s="201"/>
      <c r="AW114" s="201"/>
      <c r="AX114" s="396"/>
      <c r="AY114" s="396"/>
      <c r="AZ114" s="396"/>
      <c r="BA114" s="201"/>
      <c r="BB114" s="201"/>
      <c r="BC114" s="201"/>
      <c r="BD114" s="396"/>
      <c r="BE114" s="396"/>
      <c r="BF114" s="396"/>
      <c r="BG114" s="201"/>
      <c r="BH114" s="201"/>
      <c r="BI114" s="201"/>
      <c r="BJ114" s="396"/>
      <c r="BK114" s="396"/>
      <c r="BL114" s="396"/>
      <c r="BM114" s="201"/>
      <c r="BN114" s="201"/>
      <c r="BO114" s="201"/>
      <c r="BP114" s="396"/>
      <c r="BQ114" s="396"/>
      <c r="BR114" s="396"/>
      <c r="BS114" s="201"/>
      <c r="BT114" s="201"/>
      <c r="BU114" s="201"/>
      <c r="BV114" s="396"/>
      <c r="BW114" s="396"/>
      <c r="BX114" s="396"/>
      <c r="BY114" s="201"/>
      <c r="BZ114" s="201"/>
      <c r="CA114" s="201"/>
      <c r="CB114" s="396"/>
      <c r="CC114" s="396"/>
      <c r="CD114" s="396"/>
      <c r="CE114" s="201"/>
      <c r="CF114" s="201"/>
      <c r="CG114" s="201"/>
      <c r="CH114" s="396"/>
      <c r="CI114" s="396"/>
      <c r="CJ114" s="396"/>
      <c r="CK114" s="201"/>
      <c r="CL114" s="201"/>
      <c r="CM114" s="201"/>
      <c r="CN114" s="396"/>
      <c r="CO114" s="396"/>
      <c r="CP114" s="396"/>
      <c r="CQ114" s="201"/>
      <c r="CR114" s="201"/>
      <c r="CS114" s="201"/>
      <c r="CT114" s="396"/>
      <c r="CU114" s="396"/>
      <c r="CV114" s="396"/>
      <c r="CW114" s="206">
        <f>CW113*25.4</f>
        <v>38.099999999999994</v>
      </c>
      <c r="CX114" s="204"/>
      <c r="CY114" s="207"/>
      <c r="CZ114" s="396"/>
      <c r="DA114" s="396"/>
      <c r="DB114" s="396"/>
      <c r="DC114" s="201"/>
      <c r="DD114" s="201"/>
      <c r="DE114" s="201"/>
      <c r="DF114" s="396"/>
      <c r="DG114" s="396"/>
      <c r="DH114" s="396"/>
      <c r="DI114" s="201"/>
      <c r="DJ114" s="201"/>
      <c r="DK114" s="201"/>
      <c r="DL114" s="396"/>
      <c r="DM114" s="396"/>
      <c r="DN114" s="396"/>
    </row>
    <row r="115" spans="2:118" x14ac:dyDescent="0.35">
      <c r="B115" s="201"/>
      <c r="C115" s="13"/>
      <c r="D115" s="201" t="s">
        <v>478</v>
      </c>
      <c r="E115" s="202">
        <v>0</v>
      </c>
      <c r="F115" s="209">
        <f>IF(AND(ISNUMBER(E113),ISNUMBER(E115)),E115*G115,0)</f>
        <v>0</v>
      </c>
      <c r="G115" s="209">
        <f>IF(E113=0,0,( IF(E$41&lt;=2500,(1.2+160/E$41)*(((E$30*25.4)/E$113)^4-1),(0.6+0.48*E$50)*((E$30*25.4)/E$113)^2*(((E$30*25.4)/E$113)^2-1))))</f>
        <v>152.86190940070438</v>
      </c>
      <c r="H115" s="396"/>
      <c r="I115" s="396"/>
      <c r="J115" s="396"/>
      <c r="K115" s="202">
        <v>0</v>
      </c>
      <c r="L115" s="209">
        <f>IF(AND(ISNUMBER(K113),ISNUMBER(K115)),K115*M115,0)</f>
        <v>0</v>
      </c>
      <c r="M115" s="209">
        <f>IF(K113=0,0,( IF(K$41&lt;=2500,(1.2+160/K$41)*(((K$30*25.4)/K$113)^4-1),(0.6+0.48*K$50)*((K$30*25.4)/K$113)^2*(((K$30*25.4)/K$113)^2-1))))</f>
        <v>152.86192944205681</v>
      </c>
      <c r="N115" s="396"/>
      <c r="O115" s="396"/>
      <c r="P115" s="396"/>
      <c r="Q115" s="202">
        <v>0</v>
      </c>
      <c r="R115" s="209">
        <f>IF(AND(ISNUMBER(Q113),ISNUMBER(Q115)),Q115*S115,0)</f>
        <v>0</v>
      </c>
      <c r="S115" s="209">
        <f>IF(Q113=0,0,( IF(Q$41&lt;=2500,(1.2+160/Q$41)*(((Q$30*25.4)/Q$113)^4-1),(0.6+0.48*Q$50)*((Q$30*25.4)/Q$113)^2*(((Q$30*25.4)/Q$113)^2-1))))</f>
        <v>152.86192944205681</v>
      </c>
      <c r="T115" s="396"/>
      <c r="U115" s="396"/>
      <c r="V115" s="396"/>
      <c r="W115" s="202">
        <v>0</v>
      </c>
      <c r="X115" s="209">
        <f>IF(AND(ISNUMBER(W113),ISNUMBER(W115)),W115*Y115,0)</f>
        <v>0</v>
      </c>
      <c r="Y115" s="209">
        <f>IF(W113=0,0,( IF(W$41&lt;=2500,(1.2+160/W$41)*(((W$30*25.4)/W$113)^4-1),(0.6+0.48*W$50)*((W$30*25.4)/W$113)^2*(((W$30*25.4)/W$113)^2-1))))</f>
        <v>152.68296716769106</v>
      </c>
      <c r="Z115" s="396"/>
      <c r="AA115" s="396"/>
      <c r="AB115" s="396"/>
      <c r="AC115" s="202">
        <v>0</v>
      </c>
      <c r="AD115" s="209">
        <f>IF(AND(ISNUMBER(AC113),ISNUMBER(AC115)),AC115*AE115,0)</f>
        <v>0</v>
      </c>
      <c r="AE115" s="209">
        <f>IF(AC113=0,0,( IF(AC$41&lt;=2500,(1.2+160/AC$41)*(((AC$30*25.4)/AC$113)^4-1),(0.6+0.48*AC$50)*((AC$30*25.4)/AC$113)^2*(((AC$30*25.4)/AC$113)^2-1))))</f>
        <v>27.198380414138498</v>
      </c>
      <c r="AF115" s="396"/>
      <c r="AG115" s="396"/>
      <c r="AH115" s="396"/>
      <c r="AI115" s="202">
        <v>0</v>
      </c>
      <c r="AJ115" s="209">
        <f>IF(AND(ISNUMBER(AI113),ISNUMBER(AI115)),AI115*AK115,0)</f>
        <v>0</v>
      </c>
      <c r="AK115" s="209">
        <f>IF(AI113=0,0,( IF(AI$41&lt;=2500,(1.2+160/AI$41)*(((AI$30*25.4)/AI$113)^4-1),(0.6+0.48*AI$50)*((AI$30*25.4)/AI$113)^2*(((AI$30*25.4)/AI$113)^2-1))))</f>
        <v>27.198380414138498</v>
      </c>
      <c r="AL115" s="396"/>
      <c r="AM115" s="396"/>
      <c r="AN115" s="396"/>
      <c r="AO115" s="202">
        <v>0</v>
      </c>
      <c r="AP115" s="209">
        <f>IF(AND(ISNUMBER(AO113),ISNUMBER(AO115)),AO115*AQ115,0)</f>
        <v>0</v>
      </c>
      <c r="AQ115" s="209">
        <f>IF(AO113=0,0,( IF(AO$41&lt;=2500,(1.2+160/AO$41)*(((AO$30*25.4)/AO$113)^4-1),(0.6+0.48*AO$50)*((AO$30*25.4)/AO$113)^2*(((AO$30*25.4)/AO$113)^2-1))))</f>
        <v>27.198380414138498</v>
      </c>
      <c r="AR115" s="396"/>
      <c r="AS115" s="396"/>
      <c r="AT115" s="396"/>
      <c r="AU115" s="202">
        <v>0</v>
      </c>
      <c r="AV115" s="209">
        <f>IF(AND(ISNUMBER(AU113),ISNUMBER(AU115)),AU115*AW115,0)</f>
        <v>0</v>
      </c>
      <c r="AW115" s="209">
        <f>IF(AU113=0,0,( IF(AU$41&lt;=2500,(1.2+160/AU$41)*(((AU$30*25.4)/AU$113)^4-1),(0.6+0.48*AU$50)*((AU$30*25.4)/AU$113)^2*(((AU$30*25.4)/AU$113)^2-1))))</f>
        <v>27.19838872149527</v>
      </c>
      <c r="AX115" s="396"/>
      <c r="AY115" s="396"/>
      <c r="AZ115" s="396"/>
      <c r="BA115" s="202">
        <v>0</v>
      </c>
      <c r="BB115" s="209">
        <f>IF(AND(ISNUMBER(BA113),ISNUMBER(BA115)),BA115*BC115,0)</f>
        <v>0</v>
      </c>
      <c r="BC115" s="209">
        <f>IF(BA113=0,0,( IF(BA$41&lt;=2500,(1.2+160/BA$41)*(((BA$30*25.4)/BA$113)^4-1),(0.6+0.48*BA$50)*((BA$30*25.4)/BA$113)^2*(((BA$30*25.4)/BA$113)^2-1))))</f>
        <v>27.19838872149527</v>
      </c>
      <c r="BD115" s="396"/>
      <c r="BE115" s="396"/>
      <c r="BF115" s="396"/>
      <c r="BG115" s="202">
        <v>0</v>
      </c>
      <c r="BH115" s="209">
        <f>IF(AND(ISNUMBER(BG113),ISNUMBER(BG115)),BG115*BI115,0)</f>
        <v>0</v>
      </c>
      <c r="BI115" s="209">
        <f>IF(BG113=0,0,( IF(BG$41&lt;=2500,(1.2+160/BG$41)*(((BG$30*25.4)/BG$113)^4-1),(0.6+0.48*BG$50)*((BG$30*25.4)/BG$113)^2*(((BG$30*25.4)/BG$113)^2-1))))</f>
        <v>27.19838872149527</v>
      </c>
      <c r="BJ115" s="396"/>
      <c r="BK115" s="396"/>
      <c r="BL115" s="396"/>
      <c r="BM115" s="202">
        <v>0</v>
      </c>
      <c r="BN115" s="209">
        <f>IF(AND(ISNUMBER(BM113),ISNUMBER(BM115)),BM115*BO115,0)</f>
        <v>0</v>
      </c>
      <c r="BO115" s="209">
        <f>IF(BM113=0,0,( IF(BM$41&lt;=2500,(1.2+160/BM$41)*(((BM$30*25.4)/BM$113)^4-1),(0.6+0.48*BM$50)*((BM$30*25.4)/BM$113)^2*(((BM$30*25.4)/BM$113)^2-1))))</f>
        <v>471.81382050041913</v>
      </c>
      <c r="BP115" s="396"/>
      <c r="BQ115" s="396"/>
      <c r="BR115" s="396"/>
      <c r="BS115" s="202">
        <v>0</v>
      </c>
      <c r="BT115" s="209">
        <f>IF(AND(ISNUMBER(BS113),ISNUMBER(BS115)),BS115*BU115,0)</f>
        <v>0</v>
      </c>
      <c r="BU115" s="209">
        <f>IF(BS113=0,0,( IF(BS$41&lt;=2500,(1.2+160/BS$41)*(((BS$30*25.4)/BS$113)^4-1),(0.6+0.48*BS$50)*((BS$30*25.4)/BS$113)^2*(((BS$30*25.4)/BS$113)^2-1))))</f>
        <v>471.41480067497071</v>
      </c>
      <c r="BV115" s="396"/>
      <c r="BW115" s="396"/>
      <c r="BX115" s="396"/>
      <c r="BY115" s="202">
        <v>0</v>
      </c>
      <c r="BZ115" s="209">
        <f>IF(AND(ISNUMBER(BY113),ISNUMBER(BY115)),BY115*CA115,0)</f>
        <v>0</v>
      </c>
      <c r="CA115" s="209">
        <f>IF(BY113=0,0,( IF(BY$41&lt;=2500,(1.2+160/BY$41)*(((BY$30*25.4)/BY$113)^4-1),(0.6+0.48*BY$50)*((BY$30*25.4)/BY$113)^2*(((BY$30*25.4)/BY$113)^2-1))))</f>
        <v>27.22842262605182</v>
      </c>
      <c r="CB115" s="396"/>
      <c r="CC115" s="396"/>
      <c r="CD115" s="396"/>
      <c r="CE115" s="202">
        <v>0</v>
      </c>
      <c r="CF115" s="209">
        <f>IF(AND(ISNUMBER(CE113),ISNUMBER(CE115)),CE115*CG115,0)</f>
        <v>0</v>
      </c>
      <c r="CG115" s="209">
        <f>IF(CE113=0,0,( IF(CE$41&lt;=2500,(1.2+160/CE$41)*(((CE$30*25.4)/CE$113)^4-1),(0.6+0.48*CE$50)*((CE$30*25.4)/CE$113)^2*(((CE$30*25.4)/CE$113)^2-1))))</f>
        <v>27.22842262605182</v>
      </c>
      <c r="CH115" s="396"/>
      <c r="CI115" s="396"/>
      <c r="CJ115" s="396"/>
      <c r="CK115" s="202">
        <v>0</v>
      </c>
      <c r="CL115" s="209">
        <f>IF(AND(ISNUMBER(CK113),ISNUMBER(CK115)),CK115*CM115,0)</f>
        <v>0</v>
      </c>
      <c r="CM115" s="209">
        <f>IF(CK113=0,0,( IF(CK$41&lt;=2500,(1.2+160/CK$41)*(((CK$30*25.4)/CK$113)^4-1),(0.6+0.48*CK$50)*((CK$30*25.4)/CK$113)^2*(((CK$30*25.4)/CK$113)^2-1))))</f>
        <v>6.2441945343358292</v>
      </c>
      <c r="CN115" s="396"/>
      <c r="CO115" s="396"/>
      <c r="CP115" s="396"/>
      <c r="CQ115" s="202">
        <v>0</v>
      </c>
      <c r="CR115" s="209">
        <f>IF(AND(ISNUMBER(CQ113),ISNUMBER(CQ115)),CQ115*CS115,0)</f>
        <v>0</v>
      </c>
      <c r="CS115" s="209">
        <f>IF(CQ113=0,0,( IF(CQ$41&lt;=2500,(1.2+160/CQ$41)*(((CQ$30*25.4)/CQ$113)^4-1),(0.6+0.48*CQ$50)*((CQ$30*25.4)/CQ$113)^2*(((CQ$30*25.4)/CQ$113)^2-1))))</f>
        <v>6.2441945343358292</v>
      </c>
      <c r="CT115" s="396"/>
      <c r="CU115" s="396"/>
      <c r="CV115" s="396"/>
      <c r="CW115" s="201"/>
      <c r="CX115" s="323"/>
      <c r="CY115" s="323"/>
      <c r="CZ115" s="401"/>
      <c r="DA115" s="401"/>
      <c r="DB115" s="401"/>
      <c r="DC115" s="324">
        <v>0</v>
      </c>
      <c r="DD115" s="325">
        <f>IF(AND(ISNUMBER(DC113),ISNUMBER(DC115)),DC115*DE115,0)</f>
        <v>0</v>
      </c>
      <c r="DE115" s="325">
        <f>IF(DC113=0,0,( IF(DC$41&lt;=2500,(1.2+160/DC$41)*(((DC$30*25.4)/DC$113)^4-1),(0.6+0.48*DC$50)*((DC$30*25.4)/DC$113)^2*(((DC$30*25.4)/DC$113)^2-1))))</f>
        <v>6.2441945343358292</v>
      </c>
      <c r="DF115" s="401"/>
      <c r="DG115" s="401"/>
      <c r="DH115" s="401"/>
      <c r="DI115" s="324">
        <v>0</v>
      </c>
      <c r="DJ115" s="325">
        <f>IF(AND(ISNUMBER(DI113),ISNUMBER(DI115)),DI115*DK115,0)</f>
        <v>0</v>
      </c>
      <c r="DK115" s="325">
        <f>IF(DI113=0,0,( IF(DI$41&lt;=2500,(1.2+160/DI$41)*(((DI$30*25.4)/DI$113)^4-1),(0.6+0.48*DI$50)*((DI$30*25.4)/DI$113)^2*(((DI$30*25.4)/DI$113)^2-1))))</f>
        <v>6.2441945343358292</v>
      </c>
      <c r="DL115" s="401"/>
      <c r="DM115" s="401"/>
      <c r="DN115" s="401"/>
    </row>
    <row r="116" spans="2:118" x14ac:dyDescent="0.35">
      <c r="B116" s="201"/>
      <c r="C116" s="13"/>
      <c r="D116" s="13"/>
      <c r="E116" s="201"/>
      <c r="F116" s="201"/>
      <c r="G116" s="205"/>
      <c r="H116" s="396"/>
      <c r="I116" s="396"/>
      <c r="J116" s="396"/>
      <c r="K116" s="201"/>
      <c r="L116" s="201"/>
      <c r="M116" s="205"/>
      <c r="N116" s="396"/>
      <c r="O116" s="396"/>
      <c r="P116" s="396"/>
      <c r="Q116" s="201"/>
      <c r="R116" s="201"/>
      <c r="S116" s="205"/>
      <c r="T116" s="396"/>
      <c r="U116" s="396"/>
      <c r="V116" s="396"/>
      <c r="W116" s="201"/>
      <c r="X116" s="201"/>
      <c r="Y116" s="205"/>
      <c r="Z116" s="396"/>
      <c r="AA116" s="396"/>
      <c r="AB116" s="396"/>
      <c r="AC116" s="201"/>
      <c r="AD116" s="201"/>
      <c r="AE116" s="205"/>
      <c r="AF116" s="396"/>
      <c r="AG116" s="396"/>
      <c r="AH116" s="396"/>
      <c r="AI116" s="201"/>
      <c r="AJ116" s="201"/>
      <c r="AK116" s="205"/>
      <c r="AL116" s="396"/>
      <c r="AM116" s="396"/>
      <c r="AN116" s="396"/>
      <c r="AO116" s="201"/>
      <c r="AP116" s="201"/>
      <c r="AQ116" s="205"/>
      <c r="AR116" s="396"/>
      <c r="AS116" s="396"/>
      <c r="AT116" s="396"/>
      <c r="AU116" s="201"/>
      <c r="AV116" s="201"/>
      <c r="AW116" s="205"/>
      <c r="AX116" s="396"/>
      <c r="AY116" s="396"/>
      <c r="AZ116" s="396"/>
      <c r="BA116" s="201"/>
      <c r="BB116" s="201"/>
      <c r="BC116" s="205"/>
      <c r="BD116" s="396"/>
      <c r="BE116" s="396"/>
      <c r="BF116" s="396"/>
      <c r="BG116" s="201"/>
      <c r="BH116" s="201"/>
      <c r="BI116" s="205"/>
      <c r="BJ116" s="396"/>
      <c r="BK116" s="396"/>
      <c r="BL116" s="396"/>
      <c r="BM116" s="201"/>
      <c r="BN116" s="201"/>
      <c r="BO116" s="205"/>
      <c r="BP116" s="396"/>
      <c r="BQ116" s="396"/>
      <c r="BR116" s="396"/>
      <c r="BS116" s="201"/>
      <c r="BT116" s="201"/>
      <c r="BU116" s="205"/>
      <c r="BV116" s="396"/>
      <c r="BW116" s="396"/>
      <c r="BX116" s="396"/>
      <c r="BY116" s="201"/>
      <c r="BZ116" s="201"/>
      <c r="CA116" s="205"/>
      <c r="CB116" s="396"/>
      <c r="CC116" s="396"/>
      <c r="CD116" s="396"/>
      <c r="CE116" s="201"/>
      <c r="CF116" s="201"/>
      <c r="CG116" s="205"/>
      <c r="CH116" s="396"/>
      <c r="CI116" s="396"/>
      <c r="CJ116" s="396"/>
      <c r="CK116" s="201"/>
      <c r="CL116" s="201"/>
      <c r="CM116" s="205"/>
      <c r="CN116" s="396"/>
      <c r="CO116" s="396"/>
      <c r="CP116" s="396"/>
      <c r="CQ116" s="201"/>
      <c r="CR116" s="201"/>
      <c r="CS116" s="205"/>
      <c r="CT116" s="396"/>
      <c r="CU116" s="396"/>
      <c r="CV116" s="396"/>
      <c r="CW116" s="202">
        <v>0</v>
      </c>
      <c r="CX116" s="209">
        <f>IF(AND(ISNUMBER(CW114),ISNUMBER(CW116)),CW116*CY116,0)</f>
        <v>0</v>
      </c>
      <c r="CY116" s="209">
        <f>IF(CW114=0,0,( IF(CW$41&lt;=2500,(1.2+160/CW$41)*(((CW$30*25.4)/CW$113)^4-1),(0.6+0.48*CW$50)*((CW$30*25.4)/CW$113)^2*(((CW$30*25.4)/CW$113)^2-1))))</f>
        <v>3546879.5623055645</v>
      </c>
      <c r="CZ116" s="396"/>
      <c r="DA116" s="396"/>
      <c r="DB116" s="396"/>
      <c r="DC116" s="201"/>
      <c r="DD116" s="201"/>
      <c r="DE116" s="205"/>
      <c r="DF116" s="396"/>
      <c r="DG116" s="396"/>
      <c r="DH116" s="396"/>
      <c r="DI116" s="201"/>
      <c r="DJ116" s="201"/>
      <c r="DK116" s="205"/>
      <c r="DL116" s="396"/>
      <c r="DM116" s="396"/>
      <c r="DN116" s="396"/>
    </row>
    <row r="117" spans="2:118" x14ac:dyDescent="0.35">
      <c r="B117" s="201"/>
      <c r="C117" s="13"/>
      <c r="D117" s="13"/>
      <c r="E117" s="201"/>
      <c r="F117" s="201"/>
      <c r="G117" s="205"/>
      <c r="H117" s="396"/>
      <c r="I117" s="396"/>
      <c r="J117" s="396"/>
      <c r="K117" s="201"/>
      <c r="L117" s="201"/>
      <c r="M117" s="205"/>
      <c r="N117" s="396"/>
      <c r="O117" s="396"/>
      <c r="P117" s="396"/>
      <c r="Q117" s="201"/>
      <c r="R117" s="201"/>
      <c r="S117" s="205"/>
      <c r="T117" s="396"/>
      <c r="U117" s="396"/>
      <c r="V117" s="396"/>
      <c r="W117" s="201"/>
      <c r="X117" s="201"/>
      <c r="Y117" s="205"/>
      <c r="Z117" s="396"/>
      <c r="AA117" s="396"/>
      <c r="AB117" s="396"/>
      <c r="AC117" s="201"/>
      <c r="AD117" s="201"/>
      <c r="AE117" s="205"/>
      <c r="AF117" s="396"/>
      <c r="AG117" s="396"/>
      <c r="AH117" s="396"/>
      <c r="AI117" s="201"/>
      <c r="AJ117" s="201"/>
      <c r="AK117" s="205"/>
      <c r="AL117" s="396"/>
      <c r="AM117" s="396"/>
      <c r="AN117" s="396"/>
      <c r="AO117" s="201"/>
      <c r="AP117" s="201"/>
      <c r="AQ117" s="205"/>
      <c r="AR117" s="396"/>
      <c r="AS117" s="396"/>
      <c r="AT117" s="396"/>
      <c r="AU117" s="201"/>
      <c r="AV117" s="201"/>
      <c r="AW117" s="205"/>
      <c r="AX117" s="396"/>
      <c r="AY117" s="396"/>
      <c r="AZ117" s="396"/>
      <c r="BA117" s="201"/>
      <c r="BB117" s="201"/>
      <c r="BC117" s="205"/>
      <c r="BD117" s="396"/>
      <c r="BE117" s="396"/>
      <c r="BF117" s="396"/>
      <c r="BG117" s="201"/>
      <c r="BH117" s="201"/>
      <c r="BI117" s="205"/>
      <c r="BJ117" s="396"/>
      <c r="BK117" s="396"/>
      <c r="BL117" s="396"/>
      <c r="BM117" s="201"/>
      <c r="BN117" s="201"/>
      <c r="BO117" s="205"/>
      <c r="BP117" s="396"/>
      <c r="BQ117" s="396"/>
      <c r="BR117" s="396"/>
      <c r="BS117" s="201"/>
      <c r="BT117" s="201"/>
      <c r="BU117" s="205"/>
      <c r="BV117" s="396"/>
      <c r="BW117" s="396"/>
      <c r="BX117" s="396"/>
      <c r="BY117" s="201"/>
      <c r="BZ117" s="201"/>
      <c r="CA117" s="205"/>
      <c r="CB117" s="396"/>
      <c r="CC117" s="396"/>
      <c r="CD117" s="396"/>
      <c r="CE117" s="201"/>
      <c r="CF117" s="201"/>
      <c r="CG117" s="205"/>
      <c r="CH117" s="396"/>
      <c r="CI117" s="396"/>
      <c r="CJ117" s="396"/>
      <c r="CK117" s="201"/>
      <c r="CL117" s="201"/>
      <c r="CM117" s="205"/>
      <c r="CN117" s="396"/>
      <c r="CO117" s="396"/>
      <c r="CP117" s="396"/>
      <c r="CQ117" s="201"/>
      <c r="CR117" s="201"/>
      <c r="CS117" s="205"/>
      <c r="CT117" s="396"/>
      <c r="CU117" s="396"/>
      <c r="CV117" s="396"/>
      <c r="CW117" s="201"/>
      <c r="CX117" s="201"/>
      <c r="CY117" s="205"/>
      <c r="CZ117" s="396"/>
      <c r="DA117" s="396"/>
      <c r="DB117" s="396"/>
      <c r="DC117" s="201"/>
      <c r="DD117" s="201"/>
      <c r="DE117" s="205"/>
      <c r="DF117" s="396"/>
      <c r="DG117" s="396"/>
      <c r="DH117" s="396"/>
      <c r="DI117" s="201"/>
      <c r="DJ117" s="201"/>
      <c r="DK117" s="205"/>
      <c r="DL117" s="396"/>
      <c r="DM117" s="396"/>
      <c r="DN117" s="396"/>
    </row>
    <row r="118" spans="2:118" x14ac:dyDescent="0.35">
      <c r="B118" s="208" t="s">
        <v>479</v>
      </c>
      <c r="C118" s="13"/>
      <c r="D118" s="13"/>
      <c r="E118" s="201"/>
      <c r="F118" s="201"/>
      <c r="G118" s="205"/>
      <c r="H118" s="396"/>
      <c r="I118" s="396"/>
      <c r="J118" s="396"/>
      <c r="K118" s="201"/>
      <c r="L118" s="201"/>
      <c r="M118" s="205"/>
      <c r="N118" s="396"/>
      <c r="O118" s="396"/>
      <c r="P118" s="396"/>
      <c r="Q118" s="201"/>
      <c r="R118" s="201"/>
      <c r="S118" s="205"/>
      <c r="T118" s="396"/>
      <c r="U118" s="396"/>
      <c r="V118" s="396"/>
      <c r="W118" s="201"/>
      <c r="X118" s="201"/>
      <c r="Y118" s="205"/>
      <c r="Z118" s="396"/>
      <c r="AA118" s="396"/>
      <c r="AB118" s="396"/>
      <c r="AC118" s="201"/>
      <c r="AD118" s="201"/>
      <c r="AE118" s="205"/>
      <c r="AF118" s="396"/>
      <c r="AG118" s="396"/>
      <c r="AH118" s="396"/>
      <c r="AI118" s="201"/>
      <c r="AJ118" s="201"/>
      <c r="AK118" s="205"/>
      <c r="AL118" s="396"/>
      <c r="AM118" s="396"/>
      <c r="AN118" s="396"/>
      <c r="AO118" s="201"/>
      <c r="AP118" s="201"/>
      <c r="AQ118" s="205"/>
      <c r="AR118" s="396"/>
      <c r="AS118" s="396"/>
      <c r="AT118" s="396"/>
      <c r="AU118" s="201"/>
      <c r="AV118" s="201"/>
      <c r="AW118" s="205"/>
      <c r="AX118" s="396"/>
      <c r="AY118" s="396"/>
      <c r="AZ118" s="396"/>
      <c r="BA118" s="201"/>
      <c r="BB118" s="201"/>
      <c r="BC118" s="205"/>
      <c r="BD118" s="396"/>
      <c r="BE118" s="396"/>
      <c r="BF118" s="396"/>
      <c r="BG118" s="201"/>
      <c r="BH118" s="201"/>
      <c r="BI118" s="205"/>
      <c r="BJ118" s="396"/>
      <c r="BK118" s="396"/>
      <c r="BL118" s="396"/>
      <c r="BM118" s="201"/>
      <c r="BN118" s="201"/>
      <c r="BO118" s="205"/>
      <c r="BP118" s="396"/>
      <c r="BQ118" s="396"/>
      <c r="BR118" s="396"/>
      <c r="BS118" s="201"/>
      <c r="BT118" s="201"/>
      <c r="BU118" s="205"/>
      <c r="BV118" s="396"/>
      <c r="BW118" s="396"/>
      <c r="BX118" s="396"/>
      <c r="BY118" s="201"/>
      <c r="BZ118" s="201"/>
      <c r="CA118" s="205"/>
      <c r="CB118" s="396"/>
      <c r="CC118" s="396"/>
      <c r="CD118" s="396"/>
      <c r="CE118" s="201"/>
      <c r="CF118" s="201"/>
      <c r="CG118" s="205"/>
      <c r="CH118" s="396"/>
      <c r="CI118" s="396"/>
      <c r="CJ118" s="396"/>
      <c r="CK118" s="201"/>
      <c r="CL118" s="201"/>
      <c r="CM118" s="205"/>
      <c r="CN118" s="396"/>
      <c r="CO118" s="396"/>
      <c r="CP118" s="396"/>
      <c r="CQ118" s="201"/>
      <c r="CR118" s="201"/>
      <c r="CS118" s="205"/>
      <c r="CT118" s="396"/>
      <c r="CU118" s="396"/>
      <c r="CV118" s="396"/>
      <c r="CW118" s="201"/>
      <c r="CX118" s="201"/>
      <c r="CY118" s="205"/>
      <c r="CZ118" s="396"/>
      <c r="DA118" s="396"/>
      <c r="DB118" s="396"/>
      <c r="DC118" s="201"/>
      <c r="DD118" s="201"/>
      <c r="DE118" s="205"/>
      <c r="DF118" s="396"/>
      <c r="DG118" s="396"/>
      <c r="DH118" s="396"/>
      <c r="DI118" s="201"/>
      <c r="DJ118" s="201"/>
      <c r="DK118" s="205"/>
      <c r="DL118" s="396"/>
      <c r="DM118" s="396"/>
      <c r="DN118" s="396"/>
    </row>
    <row r="119" spans="2:118" x14ac:dyDescent="0.35">
      <c r="B119" s="201"/>
      <c r="C119" s="13"/>
      <c r="D119" s="210" t="s">
        <v>480</v>
      </c>
      <c r="E119" s="211">
        <v>30</v>
      </c>
      <c r="F119" s="201"/>
      <c r="G119" s="212">
        <f>IF(ISNUMBER(E119), PI()*E119/180,0)</f>
        <v>0.52359877559829882</v>
      </c>
      <c r="H119" s="396"/>
      <c r="I119" s="396"/>
      <c r="J119" s="396"/>
      <c r="K119" s="211">
        <v>30</v>
      </c>
      <c r="L119" s="201"/>
      <c r="M119" s="212">
        <f>IF(ISNUMBER(K119), PI()*K119/180,0)</f>
        <v>0.52359877559829882</v>
      </c>
      <c r="N119" s="396"/>
      <c r="O119" s="396"/>
      <c r="P119" s="396"/>
      <c r="Q119" s="211">
        <v>30</v>
      </c>
      <c r="R119" s="201"/>
      <c r="S119" s="212">
        <f>IF(ISNUMBER(Q119), PI()*Q119/180,0)</f>
        <v>0.52359877559829882</v>
      </c>
      <c r="T119" s="396"/>
      <c r="U119" s="396"/>
      <c r="V119" s="396"/>
      <c r="W119" s="211">
        <v>30</v>
      </c>
      <c r="X119" s="201"/>
      <c r="Y119" s="212">
        <f>IF(ISNUMBER(W119), PI()*W119/180,0)</f>
        <v>0.52359877559829882</v>
      </c>
      <c r="Z119" s="396"/>
      <c r="AA119" s="396"/>
      <c r="AB119" s="396"/>
      <c r="AC119" s="211">
        <v>30</v>
      </c>
      <c r="AD119" s="201"/>
      <c r="AE119" s="212">
        <f>IF(ISNUMBER(AC119), PI()*AC119/180,0)</f>
        <v>0.52359877559829882</v>
      </c>
      <c r="AF119" s="396"/>
      <c r="AG119" s="396"/>
      <c r="AH119" s="396"/>
      <c r="AI119" s="211">
        <v>30</v>
      </c>
      <c r="AJ119" s="201"/>
      <c r="AK119" s="212">
        <f>IF(ISNUMBER(AI119), PI()*AI119/180,0)</f>
        <v>0.52359877559829882</v>
      </c>
      <c r="AL119" s="396"/>
      <c r="AM119" s="396"/>
      <c r="AN119" s="396"/>
      <c r="AO119" s="211">
        <v>30</v>
      </c>
      <c r="AP119" s="201"/>
      <c r="AQ119" s="212">
        <f>IF(ISNUMBER(AO119), PI()*AO119/180,0)</f>
        <v>0.52359877559829882</v>
      </c>
      <c r="AR119" s="396"/>
      <c r="AS119" s="396"/>
      <c r="AT119" s="396"/>
      <c r="AU119" s="211">
        <v>30</v>
      </c>
      <c r="AV119" s="201"/>
      <c r="AW119" s="212">
        <f>IF(ISNUMBER(AU119), PI()*AU119/180,0)</f>
        <v>0.52359877559829882</v>
      </c>
      <c r="AX119" s="396"/>
      <c r="AY119" s="396"/>
      <c r="AZ119" s="396"/>
      <c r="BA119" s="211">
        <v>30</v>
      </c>
      <c r="BB119" s="201"/>
      <c r="BC119" s="212">
        <f>IF(ISNUMBER(BA119), PI()*BA119/180,0)</f>
        <v>0.52359877559829882</v>
      </c>
      <c r="BD119" s="396"/>
      <c r="BE119" s="396"/>
      <c r="BF119" s="396"/>
      <c r="BG119" s="211">
        <v>30</v>
      </c>
      <c r="BH119" s="201"/>
      <c r="BI119" s="212">
        <f>IF(ISNUMBER(BG119), PI()*BG119/180,0)</f>
        <v>0.52359877559829882</v>
      </c>
      <c r="BJ119" s="396"/>
      <c r="BK119" s="396"/>
      <c r="BL119" s="396"/>
      <c r="BM119" s="211">
        <v>30</v>
      </c>
      <c r="BN119" s="201"/>
      <c r="BO119" s="212">
        <f>IF(ISNUMBER(BM119), PI()*BM119/180,0)</f>
        <v>0.52359877559829882</v>
      </c>
      <c r="BP119" s="396"/>
      <c r="BQ119" s="396"/>
      <c r="BR119" s="396"/>
      <c r="BS119" s="211">
        <v>30</v>
      </c>
      <c r="BT119" s="201"/>
      <c r="BU119" s="212">
        <f>IF(ISNUMBER(BS119), PI()*BS119/180,0)</f>
        <v>0.52359877559829882</v>
      </c>
      <c r="BV119" s="396"/>
      <c r="BW119" s="396"/>
      <c r="BX119" s="396"/>
      <c r="BY119" s="211">
        <v>30</v>
      </c>
      <c r="BZ119" s="201"/>
      <c r="CA119" s="212">
        <f>IF(ISNUMBER(BY119), PI()*BY119/180,0)</f>
        <v>0.52359877559829882</v>
      </c>
      <c r="CB119" s="396"/>
      <c r="CC119" s="396"/>
      <c r="CD119" s="396"/>
      <c r="CE119" s="211">
        <v>30</v>
      </c>
      <c r="CF119" s="201"/>
      <c r="CG119" s="212">
        <f>IF(ISNUMBER(CE119), PI()*CE119/180,0)</f>
        <v>0.52359877559829882</v>
      </c>
      <c r="CH119" s="396"/>
      <c r="CI119" s="396"/>
      <c r="CJ119" s="396"/>
      <c r="CK119" s="211">
        <v>30</v>
      </c>
      <c r="CL119" s="201"/>
      <c r="CM119" s="212">
        <f>IF(ISNUMBER(CK119), PI()*CK119/180,0)</f>
        <v>0.52359877559829882</v>
      </c>
      <c r="CN119" s="396"/>
      <c r="CO119" s="396"/>
      <c r="CP119" s="396"/>
      <c r="CQ119" s="211">
        <v>30</v>
      </c>
      <c r="CR119" s="201"/>
      <c r="CS119" s="212">
        <f>IF(ISNUMBER(CQ119), PI()*CQ119/180,0)</f>
        <v>0.52359877559829882</v>
      </c>
      <c r="CT119" s="396"/>
      <c r="CU119" s="396"/>
      <c r="CV119" s="396"/>
      <c r="CW119" s="201"/>
      <c r="CX119" s="201"/>
      <c r="CY119" s="205"/>
      <c r="CZ119" s="396"/>
      <c r="DA119" s="396"/>
      <c r="DB119" s="396"/>
      <c r="DC119" s="211">
        <v>30</v>
      </c>
      <c r="DD119" s="201"/>
      <c r="DE119" s="212">
        <f>IF(ISNUMBER(DC119), PI()*DC119/180,0)</f>
        <v>0.52359877559829882</v>
      </c>
      <c r="DF119" s="396"/>
      <c r="DG119" s="396"/>
      <c r="DH119" s="396"/>
      <c r="DI119" s="211">
        <v>30</v>
      </c>
      <c r="DJ119" s="201"/>
      <c r="DK119" s="212">
        <f>IF(ISNUMBER(DI119), PI()*DI119/180,0)</f>
        <v>0.52359877559829882</v>
      </c>
      <c r="DL119" s="396"/>
      <c r="DM119" s="396"/>
      <c r="DN119" s="396"/>
    </row>
    <row r="120" spans="2:118" x14ac:dyDescent="0.35">
      <c r="B120" s="201"/>
      <c r="C120" s="13"/>
      <c r="D120" s="13"/>
      <c r="E120" s="201"/>
      <c r="F120" s="201"/>
      <c r="G120" s="205"/>
      <c r="H120" s="396"/>
      <c r="I120" s="396"/>
      <c r="J120" s="396"/>
      <c r="K120" s="201"/>
      <c r="L120" s="201"/>
      <c r="M120" s="205"/>
      <c r="N120" s="396"/>
      <c r="O120" s="396"/>
      <c r="P120" s="396"/>
      <c r="Q120" s="201"/>
      <c r="R120" s="201"/>
      <c r="S120" s="205"/>
      <c r="T120" s="396"/>
      <c r="U120" s="396"/>
      <c r="V120" s="396"/>
      <c r="W120" s="201"/>
      <c r="X120" s="201"/>
      <c r="Y120" s="205"/>
      <c r="Z120" s="396"/>
      <c r="AA120" s="396"/>
      <c r="AB120" s="396"/>
      <c r="AC120" s="201"/>
      <c r="AD120" s="201"/>
      <c r="AE120" s="205"/>
      <c r="AF120" s="396"/>
      <c r="AG120" s="396"/>
      <c r="AH120" s="396"/>
      <c r="AI120" s="201"/>
      <c r="AJ120" s="201"/>
      <c r="AK120" s="205"/>
      <c r="AL120" s="396"/>
      <c r="AM120" s="396"/>
      <c r="AN120" s="396"/>
      <c r="AO120" s="201"/>
      <c r="AP120" s="201"/>
      <c r="AQ120" s="205"/>
      <c r="AR120" s="396"/>
      <c r="AS120" s="396"/>
      <c r="AT120" s="396"/>
      <c r="AU120" s="201"/>
      <c r="AV120" s="201"/>
      <c r="AW120" s="205"/>
      <c r="AX120" s="396"/>
      <c r="AY120" s="396"/>
      <c r="AZ120" s="396"/>
      <c r="BA120" s="201"/>
      <c r="BB120" s="201"/>
      <c r="BC120" s="205"/>
      <c r="BD120" s="396"/>
      <c r="BE120" s="396"/>
      <c r="BF120" s="396"/>
      <c r="BG120" s="201"/>
      <c r="BH120" s="201"/>
      <c r="BI120" s="205"/>
      <c r="BJ120" s="396"/>
      <c r="BK120" s="396"/>
      <c r="BL120" s="396"/>
      <c r="BM120" s="201"/>
      <c r="BN120" s="201"/>
      <c r="BO120" s="205"/>
      <c r="BP120" s="396"/>
      <c r="BQ120" s="396"/>
      <c r="BR120" s="396"/>
      <c r="BS120" s="201"/>
      <c r="BT120" s="201"/>
      <c r="BU120" s="205"/>
      <c r="BV120" s="396"/>
      <c r="BW120" s="396"/>
      <c r="BX120" s="396"/>
      <c r="BY120" s="201"/>
      <c r="BZ120" s="201"/>
      <c r="CA120" s="205"/>
      <c r="CB120" s="396"/>
      <c r="CC120" s="396"/>
      <c r="CD120" s="396"/>
      <c r="CE120" s="201"/>
      <c r="CF120" s="201"/>
      <c r="CG120" s="205"/>
      <c r="CH120" s="396"/>
      <c r="CI120" s="396"/>
      <c r="CJ120" s="396"/>
      <c r="CK120" s="201"/>
      <c r="CL120" s="201"/>
      <c r="CM120" s="205"/>
      <c r="CN120" s="396"/>
      <c r="CO120" s="396"/>
      <c r="CP120" s="396"/>
      <c r="CQ120" s="201"/>
      <c r="CR120" s="201"/>
      <c r="CS120" s="205"/>
      <c r="CT120" s="396"/>
      <c r="CU120" s="396"/>
      <c r="CV120" s="396"/>
      <c r="CW120" s="211">
        <v>30</v>
      </c>
      <c r="CX120" s="201"/>
      <c r="CY120" s="212">
        <f>IF(ISNUMBER(CW120), PI()*CW120/180,0)</f>
        <v>0.52359877559829882</v>
      </c>
      <c r="CZ120" s="396"/>
      <c r="DA120" s="396"/>
      <c r="DB120" s="396"/>
      <c r="DC120" s="201"/>
      <c r="DD120" s="201"/>
      <c r="DE120" s="205"/>
      <c r="DF120" s="396"/>
      <c r="DG120" s="396"/>
      <c r="DH120" s="396"/>
      <c r="DI120" s="201"/>
      <c r="DJ120" s="201"/>
      <c r="DK120" s="205"/>
      <c r="DL120" s="396"/>
      <c r="DM120" s="396"/>
      <c r="DN120" s="396"/>
    </row>
    <row r="121" spans="2:118" x14ac:dyDescent="0.35">
      <c r="B121" s="201"/>
      <c r="C121" s="13"/>
      <c r="D121" s="201" t="s">
        <v>478</v>
      </c>
      <c r="E121" s="202">
        <v>0</v>
      </c>
      <c r="F121" s="205">
        <f>IF(AND(ISNUMBER(E119),ISNUMBER(E121),ISNUMBER(E113)),E121*G121,0)</f>
        <v>0</v>
      </c>
      <c r="G121" s="205">
        <f>IF(E119&lt;45,1.6*SIN(G119/2)*G115,(SIN(G119/2))^0.5*G115)</f>
        <v>63.301717477821356</v>
      </c>
      <c r="H121" s="396"/>
      <c r="I121" s="396"/>
      <c r="J121" s="396"/>
      <c r="K121" s="202">
        <v>0</v>
      </c>
      <c r="L121" s="205">
        <f>IF(AND(ISNUMBER(K119),ISNUMBER(K121),ISNUMBER(K113)),K121*M121,0)</f>
        <v>0</v>
      </c>
      <c r="M121" s="205">
        <f>IF(K119&lt;45,1.6*SIN(M119/2)*M115,(SIN(M119/2))^0.5*M115)</f>
        <v>63.301725777155269</v>
      </c>
      <c r="N121" s="396"/>
      <c r="O121" s="396"/>
      <c r="P121" s="396"/>
      <c r="Q121" s="202">
        <v>0</v>
      </c>
      <c r="R121" s="205">
        <f>IF(AND(ISNUMBER(Q119),ISNUMBER(Q121),ISNUMBER(Q113)),Q121*S121,0)</f>
        <v>0</v>
      </c>
      <c r="S121" s="205">
        <f>IF(Q119&lt;45,1.6*SIN(S119/2)*S115,(SIN(S119/2))^0.5*S115)</f>
        <v>63.301725777155269</v>
      </c>
      <c r="T121" s="396"/>
      <c r="U121" s="396"/>
      <c r="V121" s="396"/>
      <c r="W121" s="202">
        <v>0</v>
      </c>
      <c r="X121" s="205">
        <f>IF(AND(ISNUMBER(W119),ISNUMBER(W121),ISNUMBER(W113)),W121*Y121,0)</f>
        <v>0</v>
      </c>
      <c r="Y121" s="205">
        <f>IF(W119&lt;45,1.6*SIN(Y119/2)*Y115,(SIN(Y119/2))^0.5*Y115)</f>
        <v>63.227615625218121</v>
      </c>
      <c r="Z121" s="396"/>
      <c r="AA121" s="396"/>
      <c r="AB121" s="396"/>
      <c r="AC121" s="202">
        <v>0</v>
      </c>
      <c r="AD121" s="205">
        <f>IF(AND(ISNUMBER(AC119),ISNUMBER(AC121),ISNUMBER(AC113)),AC121*AE121,0)</f>
        <v>0</v>
      </c>
      <c r="AE121" s="205">
        <f>IF(AC119&lt;45,1.6*SIN(AE119/2)*AE115,(SIN(AE119/2))^0.5*AE115)</f>
        <v>11.263134155395885</v>
      </c>
      <c r="AF121" s="396"/>
      <c r="AG121" s="396"/>
      <c r="AH121" s="396"/>
      <c r="AI121" s="202">
        <v>0</v>
      </c>
      <c r="AJ121" s="205">
        <f>IF(AND(ISNUMBER(AI119),ISNUMBER(AI121),ISNUMBER(AI113)),AI121*AK121,0)</f>
        <v>0</v>
      </c>
      <c r="AK121" s="205">
        <f>IF(AI119&lt;45,1.6*SIN(AK119/2)*AK115,(SIN(AK119/2))^0.5*AK115)</f>
        <v>11.263134155395885</v>
      </c>
      <c r="AL121" s="396"/>
      <c r="AM121" s="396"/>
      <c r="AN121" s="396"/>
      <c r="AO121" s="202">
        <v>0</v>
      </c>
      <c r="AP121" s="205">
        <f>IF(AND(ISNUMBER(AO119),ISNUMBER(AO121),ISNUMBER(AO113)),AO121*AQ121,0)</f>
        <v>0</v>
      </c>
      <c r="AQ121" s="205">
        <f>IF(AO119&lt;45,1.6*SIN(AQ119/2)*AQ115,(SIN(AQ119/2))^0.5*AQ115)</f>
        <v>11.263134155395885</v>
      </c>
      <c r="AR121" s="396"/>
      <c r="AS121" s="396"/>
      <c r="AT121" s="396"/>
      <c r="AU121" s="202">
        <v>0</v>
      </c>
      <c r="AV121" s="205">
        <f>IF(AND(ISNUMBER(AU119),ISNUMBER(AU121),ISNUMBER(AU113)),AU121*AW121,0)</f>
        <v>0</v>
      </c>
      <c r="AW121" s="205">
        <f>IF(AU119&lt;45,1.6*SIN(AW119/2)*AW115,(SIN(AW119/2))^0.5*AW115)</f>
        <v>11.263137595559321</v>
      </c>
      <c r="AX121" s="396"/>
      <c r="AY121" s="396"/>
      <c r="AZ121" s="396"/>
      <c r="BA121" s="202">
        <v>0</v>
      </c>
      <c r="BB121" s="205">
        <f>IF(AND(ISNUMBER(BA119),ISNUMBER(BA121),ISNUMBER(BA113)),BA121*BC121,0)</f>
        <v>0</v>
      </c>
      <c r="BC121" s="205">
        <f>IF(BA119&lt;45,1.6*SIN(BC119/2)*BC115,(SIN(BC119/2))^0.5*BC115)</f>
        <v>11.263137595559321</v>
      </c>
      <c r="BD121" s="396"/>
      <c r="BE121" s="396"/>
      <c r="BF121" s="396"/>
      <c r="BG121" s="202">
        <v>0</v>
      </c>
      <c r="BH121" s="205">
        <f>IF(AND(ISNUMBER(BG119),ISNUMBER(BG121),ISNUMBER(BG113)),BG121*BI121,0)</f>
        <v>0</v>
      </c>
      <c r="BI121" s="205">
        <f>IF(BG119&lt;45,1.6*SIN(BI119/2)*BI115,(SIN(BI119/2))^0.5*BI115)</f>
        <v>11.263137595559321</v>
      </c>
      <c r="BJ121" s="396"/>
      <c r="BK121" s="396"/>
      <c r="BL121" s="396"/>
      <c r="BM121" s="202">
        <v>0</v>
      </c>
      <c r="BN121" s="205">
        <f>IF(AND(ISNUMBER(BM119),ISNUMBER(BM121),ISNUMBER(BM113)),BM121*BO121,0)</f>
        <v>0</v>
      </c>
      <c r="BO121" s="205">
        <f>IF(BM119&lt;45,1.6*SIN(BO119/2)*BO115,(SIN(BO119/2))^0.5*BO115)</f>
        <v>195.38304398094496</v>
      </c>
      <c r="BP121" s="396"/>
      <c r="BQ121" s="396"/>
      <c r="BR121" s="396"/>
      <c r="BS121" s="202">
        <v>0</v>
      </c>
      <c r="BT121" s="205">
        <f>IF(AND(ISNUMBER(BS119),ISNUMBER(BS121),ISNUMBER(BS113)),BS121*BU121,0)</f>
        <v>0</v>
      </c>
      <c r="BU121" s="205">
        <f>IF(BS119&lt;45,1.6*SIN(BU119/2)*BU115,(SIN(BU119/2))^0.5*BU115)</f>
        <v>195.21780569262572</v>
      </c>
      <c r="BV121" s="396"/>
      <c r="BW121" s="396"/>
      <c r="BX121" s="396"/>
      <c r="BY121" s="202">
        <v>0</v>
      </c>
      <c r="BZ121" s="205">
        <f>IF(AND(ISNUMBER(BY119),ISNUMBER(BY121),ISNUMBER(BY113)),BY121*CA121,0)</f>
        <v>0</v>
      </c>
      <c r="CA121" s="205">
        <f>IF(BY119&lt;45,1.6*SIN(CA119/2)*CA115,(SIN(CA119/2))^0.5*CA115)</f>
        <v>11.275574949956164</v>
      </c>
      <c r="CB121" s="396"/>
      <c r="CC121" s="396"/>
      <c r="CD121" s="396"/>
      <c r="CE121" s="202">
        <v>0</v>
      </c>
      <c r="CF121" s="205">
        <f>IF(AND(ISNUMBER(CE119),ISNUMBER(CE121),ISNUMBER(CE113)),CE121*CG121,0)</f>
        <v>0</v>
      </c>
      <c r="CG121" s="205">
        <f>IF(CE119&lt;45,1.6*SIN(CG119/2)*CG115,(SIN(CG119/2))^0.5*CG115)</f>
        <v>11.275574949956164</v>
      </c>
      <c r="CH121" s="396"/>
      <c r="CI121" s="396"/>
      <c r="CJ121" s="396"/>
      <c r="CK121" s="202">
        <v>0</v>
      </c>
      <c r="CL121" s="205">
        <f>IF(AND(ISNUMBER(CK119),ISNUMBER(CK121),ISNUMBER(CK113)),CK121*CM121,0)</f>
        <v>0</v>
      </c>
      <c r="CM121" s="205">
        <f>IF(CK119&lt;45,1.6*SIN(CM119/2)*CM115,(SIN(CM119/2))^0.5*CM115)</f>
        <v>2.5857863468978857</v>
      </c>
      <c r="CN121" s="396"/>
      <c r="CO121" s="396"/>
      <c r="CP121" s="396"/>
      <c r="CQ121" s="202">
        <v>0</v>
      </c>
      <c r="CR121" s="205">
        <f>IF(AND(ISNUMBER(CQ119),ISNUMBER(CQ121),ISNUMBER(CQ113)),CQ121*CS121,0)</f>
        <v>0</v>
      </c>
      <c r="CS121" s="205">
        <f>IF(CQ119&lt;45,1.6*SIN(CS119/2)*CS115,(SIN(CS119/2))^0.5*CS115)</f>
        <v>2.5857863468978857</v>
      </c>
      <c r="CT121" s="396"/>
      <c r="CU121" s="396"/>
      <c r="CV121" s="396"/>
      <c r="CW121" s="201"/>
      <c r="CX121" s="201"/>
      <c r="CY121" s="205"/>
      <c r="CZ121" s="396"/>
      <c r="DA121" s="396"/>
      <c r="DB121" s="396"/>
      <c r="DC121" s="202">
        <v>0</v>
      </c>
      <c r="DD121" s="205">
        <f>IF(AND(ISNUMBER(DC119),ISNUMBER(DC121),ISNUMBER(DC113)),DC121*DE121,0)</f>
        <v>0</v>
      </c>
      <c r="DE121" s="205">
        <f>IF(DC119&lt;45,1.6*SIN(DE119/2)*DE115,(SIN(DE119/2))^0.5*DE115)</f>
        <v>2.5857863468978857</v>
      </c>
      <c r="DF121" s="396"/>
      <c r="DG121" s="396"/>
      <c r="DH121" s="396"/>
      <c r="DI121" s="202">
        <v>0</v>
      </c>
      <c r="DJ121" s="205">
        <f>IF(AND(ISNUMBER(DI119),ISNUMBER(DI121),ISNUMBER(DI113)),DI121*DK121,0)</f>
        <v>0</v>
      </c>
      <c r="DK121" s="205">
        <f>IF(DI119&lt;45,1.6*SIN(DK119/2)*DK115,(SIN(DK119/2))^0.5*DK115)</f>
        <v>2.5857863468978857</v>
      </c>
      <c r="DL121" s="396"/>
      <c r="DM121" s="396"/>
      <c r="DN121" s="396"/>
    </row>
    <row r="122" spans="2:118" x14ac:dyDescent="0.35">
      <c r="B122" s="208" t="s">
        <v>481</v>
      </c>
      <c r="C122" s="13"/>
      <c r="D122" s="13"/>
      <c r="E122" s="201"/>
      <c r="F122" s="201"/>
      <c r="G122" s="205"/>
      <c r="H122" s="396"/>
      <c r="I122" s="396"/>
      <c r="J122" s="396"/>
      <c r="K122" s="201"/>
      <c r="L122" s="201"/>
      <c r="M122" s="205"/>
      <c r="N122" s="396"/>
      <c r="O122" s="396"/>
      <c r="P122" s="396"/>
      <c r="Q122" s="201"/>
      <c r="R122" s="201"/>
      <c r="S122" s="205"/>
      <c r="T122" s="396"/>
      <c r="U122" s="396"/>
      <c r="V122" s="396"/>
      <c r="W122" s="201"/>
      <c r="X122" s="201"/>
      <c r="Y122" s="205"/>
      <c r="Z122" s="396"/>
      <c r="AA122" s="396"/>
      <c r="AB122" s="396"/>
      <c r="AC122" s="201"/>
      <c r="AD122" s="201"/>
      <c r="AE122" s="205"/>
      <c r="AF122" s="396"/>
      <c r="AG122" s="396"/>
      <c r="AH122" s="396"/>
      <c r="AI122" s="201"/>
      <c r="AJ122" s="201"/>
      <c r="AK122" s="205"/>
      <c r="AL122" s="396"/>
      <c r="AM122" s="396"/>
      <c r="AN122" s="396"/>
      <c r="AO122" s="201"/>
      <c r="AP122" s="201"/>
      <c r="AQ122" s="205"/>
      <c r="AR122" s="396"/>
      <c r="AS122" s="396"/>
      <c r="AT122" s="396"/>
      <c r="AU122" s="201"/>
      <c r="AV122" s="201"/>
      <c r="AW122" s="205"/>
      <c r="AX122" s="396"/>
      <c r="AY122" s="396"/>
      <c r="AZ122" s="396"/>
      <c r="BA122" s="201"/>
      <c r="BB122" s="201"/>
      <c r="BC122" s="205"/>
      <c r="BD122" s="396"/>
      <c r="BE122" s="396"/>
      <c r="BF122" s="396"/>
      <c r="BG122" s="201"/>
      <c r="BH122" s="201"/>
      <c r="BI122" s="205"/>
      <c r="BJ122" s="396"/>
      <c r="BK122" s="396"/>
      <c r="BL122" s="396"/>
      <c r="BM122" s="201"/>
      <c r="BN122" s="201"/>
      <c r="BO122" s="205"/>
      <c r="BP122" s="396"/>
      <c r="BQ122" s="396"/>
      <c r="BR122" s="396"/>
      <c r="BS122" s="201"/>
      <c r="BT122" s="201"/>
      <c r="BU122" s="205"/>
      <c r="BV122" s="396"/>
      <c r="BW122" s="396"/>
      <c r="BX122" s="396"/>
      <c r="BY122" s="201"/>
      <c r="BZ122" s="201"/>
      <c r="CA122" s="205"/>
      <c r="CB122" s="396"/>
      <c r="CC122" s="396"/>
      <c r="CD122" s="396"/>
      <c r="CE122" s="201"/>
      <c r="CF122" s="201"/>
      <c r="CG122" s="205"/>
      <c r="CH122" s="396"/>
      <c r="CI122" s="396"/>
      <c r="CJ122" s="396"/>
      <c r="CK122" s="201"/>
      <c r="CL122" s="201"/>
      <c r="CM122" s="205"/>
      <c r="CN122" s="396"/>
      <c r="CO122" s="396"/>
      <c r="CP122" s="396"/>
      <c r="CQ122" s="201"/>
      <c r="CR122" s="201"/>
      <c r="CS122" s="205"/>
      <c r="CT122" s="396"/>
      <c r="CU122" s="396"/>
      <c r="CV122" s="396"/>
      <c r="CW122" s="202">
        <v>0</v>
      </c>
      <c r="CX122" s="205">
        <f>IF(AND(ISNUMBER(CW120),ISNUMBER(CW122),ISNUMBER(CW114)),CW122*CY122,0)</f>
        <v>0</v>
      </c>
      <c r="CY122" s="205">
        <f>IF(CW120&lt;45,1.6*SIN(CY120/2)*CY116,(SIN(CY120/2))^0.5*CY116)</f>
        <v>1468799.9702553167</v>
      </c>
      <c r="CZ122" s="396"/>
      <c r="DA122" s="396"/>
      <c r="DB122" s="396"/>
      <c r="DC122" s="201"/>
      <c r="DD122" s="201"/>
      <c r="DE122" s="205"/>
      <c r="DF122" s="396"/>
      <c r="DG122" s="396"/>
      <c r="DH122" s="396"/>
      <c r="DI122" s="201"/>
      <c r="DJ122" s="201"/>
      <c r="DK122" s="205"/>
      <c r="DL122" s="396"/>
      <c r="DM122" s="396"/>
      <c r="DN122" s="396"/>
    </row>
    <row r="123" spans="2:118" x14ac:dyDescent="0.35">
      <c r="B123" s="201"/>
      <c r="C123" s="13"/>
      <c r="D123" s="13"/>
      <c r="E123" s="201"/>
      <c r="F123" s="201"/>
      <c r="G123" s="205"/>
      <c r="H123" s="396"/>
      <c r="I123" s="396"/>
      <c r="J123" s="396"/>
      <c r="K123" s="201"/>
      <c r="L123" s="201"/>
      <c r="M123" s="205"/>
      <c r="N123" s="396"/>
      <c r="O123" s="396"/>
      <c r="P123" s="396"/>
      <c r="Q123" s="201"/>
      <c r="R123" s="201"/>
      <c r="S123" s="205"/>
      <c r="T123" s="396"/>
      <c r="U123" s="396"/>
      <c r="V123" s="396"/>
      <c r="W123" s="201"/>
      <c r="X123" s="201"/>
      <c r="Y123" s="205"/>
      <c r="Z123" s="396"/>
      <c r="AA123" s="396"/>
      <c r="AB123" s="396"/>
      <c r="AC123" s="201"/>
      <c r="AD123" s="201"/>
      <c r="AE123" s="205"/>
      <c r="AF123" s="396"/>
      <c r="AG123" s="396"/>
      <c r="AH123" s="396"/>
      <c r="AI123" s="201"/>
      <c r="AJ123" s="201"/>
      <c r="AK123" s="205"/>
      <c r="AL123" s="396"/>
      <c r="AM123" s="396"/>
      <c r="AN123" s="396"/>
      <c r="AO123" s="201"/>
      <c r="AP123" s="201"/>
      <c r="AQ123" s="205"/>
      <c r="AR123" s="396"/>
      <c r="AS123" s="396"/>
      <c r="AT123" s="396"/>
      <c r="AU123" s="201"/>
      <c r="AV123" s="201"/>
      <c r="AW123" s="205"/>
      <c r="AX123" s="396"/>
      <c r="AY123" s="396"/>
      <c r="AZ123" s="396"/>
      <c r="BA123" s="201"/>
      <c r="BB123" s="201"/>
      <c r="BC123" s="205"/>
      <c r="BD123" s="396"/>
      <c r="BE123" s="396"/>
      <c r="BF123" s="396"/>
      <c r="BG123" s="201"/>
      <c r="BH123" s="201"/>
      <c r="BI123" s="205"/>
      <c r="BJ123" s="396"/>
      <c r="BK123" s="396"/>
      <c r="BL123" s="396"/>
      <c r="BM123" s="201"/>
      <c r="BN123" s="201"/>
      <c r="BO123" s="205"/>
      <c r="BP123" s="396"/>
      <c r="BQ123" s="396"/>
      <c r="BR123" s="396"/>
      <c r="BS123" s="201"/>
      <c r="BT123" s="201"/>
      <c r="BU123" s="205"/>
      <c r="BV123" s="396"/>
      <c r="BW123" s="396"/>
      <c r="BX123" s="396"/>
      <c r="BY123" s="201"/>
      <c r="BZ123" s="201"/>
      <c r="CA123" s="205"/>
      <c r="CB123" s="396"/>
      <c r="CC123" s="396"/>
      <c r="CD123" s="396"/>
      <c r="CE123" s="201"/>
      <c r="CF123" s="201"/>
      <c r="CG123" s="205"/>
      <c r="CH123" s="396"/>
      <c r="CI123" s="396"/>
      <c r="CJ123" s="396"/>
      <c r="CK123" s="201"/>
      <c r="CL123" s="201"/>
      <c r="CM123" s="205"/>
      <c r="CN123" s="396"/>
      <c r="CO123" s="396"/>
      <c r="CP123" s="396"/>
      <c r="CQ123" s="201"/>
      <c r="CR123" s="201"/>
      <c r="CS123" s="205"/>
      <c r="CT123" s="396"/>
      <c r="CU123" s="396"/>
      <c r="CV123" s="396"/>
      <c r="CW123" s="201"/>
      <c r="CX123" s="201"/>
      <c r="CY123" s="205"/>
      <c r="CZ123" s="396"/>
      <c r="DA123" s="396"/>
      <c r="DB123" s="396"/>
      <c r="DC123" s="201"/>
      <c r="DD123" s="201"/>
      <c r="DE123" s="205"/>
      <c r="DF123" s="396"/>
      <c r="DG123" s="396"/>
      <c r="DH123" s="396"/>
      <c r="DI123" s="201"/>
      <c r="DJ123" s="201"/>
      <c r="DK123" s="205"/>
      <c r="DL123" s="396"/>
      <c r="DM123" s="396"/>
      <c r="DN123" s="396"/>
    </row>
    <row r="124" spans="2:118" x14ac:dyDescent="0.35">
      <c r="B124" s="201"/>
      <c r="C124" s="13"/>
      <c r="D124" s="13"/>
      <c r="E124" s="202">
        <v>0</v>
      </c>
      <c r="F124" s="205">
        <f>IF(ISNUMBER(E113),E124*G124,0)</f>
        <v>0</v>
      </c>
      <c r="G124" s="205">
        <f>(0.1+50/E$41)*(((E$30*25.4)/E$113)^4-1)</f>
        <v>26.747484946542119</v>
      </c>
      <c r="H124" s="396"/>
      <c r="I124" s="396"/>
      <c r="J124" s="396"/>
      <c r="K124" s="202">
        <v>0</v>
      </c>
      <c r="L124" s="205">
        <f>IF(ISNUMBER(K113),K124*M124,0)</f>
        <v>0</v>
      </c>
      <c r="M124" s="205">
        <f>(0.1+50/K$41)*(((K$30*25.4)/K$113)^4-1)</f>
        <v>26.747491925645228</v>
      </c>
      <c r="N124" s="396"/>
      <c r="O124" s="396"/>
      <c r="P124" s="396"/>
      <c r="Q124" s="202">
        <v>0</v>
      </c>
      <c r="R124" s="205">
        <f>IF(ISNUMBER(Q113),Q124*S124,0)</f>
        <v>0</v>
      </c>
      <c r="S124" s="205">
        <f>(0.1+50/Q$41)*(((Q$30*25.4)/Q$113)^4-1)</f>
        <v>26.747491925645228</v>
      </c>
      <c r="T124" s="396"/>
      <c r="U124" s="396"/>
      <c r="V124" s="396"/>
      <c r="W124" s="202">
        <v>0</v>
      </c>
      <c r="X124" s="205">
        <f>IF(ISNUMBER(W113),W124*Y124,0)</f>
        <v>0</v>
      </c>
      <c r="Y124" s="205">
        <f>(0.1+50/W$41)*(((W$30*25.4)/W$113)^4-1)</f>
        <v>26.692915070525693</v>
      </c>
      <c r="Z124" s="396"/>
      <c r="AA124" s="396"/>
      <c r="AB124" s="396"/>
      <c r="AC124" s="202">
        <v>0</v>
      </c>
      <c r="AD124" s="205">
        <f>IF(ISNUMBER(AC113),AC124*AE124,0)</f>
        <v>0</v>
      </c>
      <c r="AE124" s="205">
        <f>(0.1+50/AC$41)*(((AC$30*25.4)/AC$113)^4-1)</f>
        <v>5.0978551771457363</v>
      </c>
      <c r="AF124" s="396"/>
      <c r="AG124" s="396"/>
      <c r="AH124" s="396"/>
      <c r="AI124" s="202">
        <v>0</v>
      </c>
      <c r="AJ124" s="205">
        <f>IF(ISNUMBER(AI113),AI124*AK124,0)</f>
        <v>0</v>
      </c>
      <c r="AK124" s="205">
        <f>(0.1+50/AI$41)*(((AI$30*25.4)/AI$113)^4-1)</f>
        <v>5.0978551771457363</v>
      </c>
      <c r="AL124" s="396"/>
      <c r="AM124" s="396"/>
      <c r="AN124" s="396"/>
      <c r="AO124" s="202">
        <v>0</v>
      </c>
      <c r="AP124" s="205">
        <f>IF(ISNUMBER(AO113),AO124*AQ124,0)</f>
        <v>0</v>
      </c>
      <c r="AQ124" s="205">
        <f>(0.1+50/AO$41)*(((AO$30*25.4)/AO$113)^4-1)</f>
        <v>5.0978551771457363</v>
      </c>
      <c r="AR124" s="396"/>
      <c r="AS124" s="396"/>
      <c r="AT124" s="396"/>
      <c r="AU124" s="202">
        <v>0</v>
      </c>
      <c r="AV124" s="205">
        <f>IF(ISNUMBER(AU113),AU124*AW124,0)</f>
        <v>0</v>
      </c>
      <c r="AW124" s="205">
        <f>(0.1+50/AU$41)*(((AU$30*25.4)/AU$113)^4-1)</f>
        <v>5.0978575742164196</v>
      </c>
      <c r="AX124" s="396"/>
      <c r="AY124" s="396"/>
      <c r="AZ124" s="396"/>
      <c r="BA124" s="202">
        <v>0</v>
      </c>
      <c r="BB124" s="205">
        <f>IF(ISNUMBER(BA113),BA124*BC124,0)</f>
        <v>0</v>
      </c>
      <c r="BC124" s="205">
        <f>(0.1+50/BA$41)*(((BA$30*25.4)/BA$113)^4-1)</f>
        <v>5.0978575742164196</v>
      </c>
      <c r="BD124" s="396"/>
      <c r="BE124" s="396"/>
      <c r="BF124" s="396"/>
      <c r="BG124" s="202">
        <v>0</v>
      </c>
      <c r="BH124" s="205">
        <f>IF(ISNUMBER(BG113),BG124*BI124,0)</f>
        <v>0</v>
      </c>
      <c r="BI124" s="205">
        <f>(0.1+50/BG$41)*(((BG$30*25.4)/BG$113)^4-1)</f>
        <v>5.0978575742164196</v>
      </c>
      <c r="BJ124" s="396"/>
      <c r="BK124" s="396"/>
      <c r="BL124" s="396"/>
      <c r="BM124" s="202">
        <v>0</v>
      </c>
      <c r="BN124" s="205">
        <f>IF(ISNUMBER(BM113),BM124*BO124,0)</f>
        <v>0</v>
      </c>
      <c r="BO124" s="205">
        <f>(0.1+50/BM$41)*(((BM$30*25.4)/BM$113)^4-1)</f>
        <v>80.792049011584041</v>
      </c>
      <c r="BP124" s="396"/>
      <c r="BQ124" s="396"/>
      <c r="BR124" s="396"/>
      <c r="BS124" s="202">
        <v>0</v>
      </c>
      <c r="BT124" s="205">
        <f>IF(ISNUMBER(BS113),BS124*BU124,0)</f>
        <v>0</v>
      </c>
      <c r="BU124" s="205">
        <f>(0.1+50/BS$41)*(((BS$30*25.4)/BS$113)^4-1)</f>
        <v>80.611775611474926</v>
      </c>
      <c r="BV124" s="396"/>
      <c r="BW124" s="396"/>
      <c r="BX124" s="396"/>
      <c r="BY124" s="202">
        <v>0</v>
      </c>
      <c r="BZ124" s="205">
        <f>IF(ISNUMBER(BY113),BY124*CA124,0)</f>
        <v>0</v>
      </c>
      <c r="CA124" s="205">
        <f>(0.1+50/BY$41)*(((BY$30*25.4)/BY$113)^4-1)</f>
        <v>5.1078061402891795</v>
      </c>
      <c r="CB124" s="396"/>
      <c r="CC124" s="396"/>
      <c r="CD124" s="396"/>
      <c r="CE124" s="202">
        <v>0</v>
      </c>
      <c r="CF124" s="205">
        <f>IF(ISNUMBER(CE113),CE124*CG124,0)</f>
        <v>0</v>
      </c>
      <c r="CG124" s="205">
        <f>(0.1+50/CE$41)*(((CE$30*25.4)/CE$113)^4-1)</f>
        <v>5.1078061402891795</v>
      </c>
      <c r="CH124" s="396"/>
      <c r="CI124" s="396"/>
      <c r="CJ124" s="396"/>
      <c r="CK124" s="202">
        <v>0</v>
      </c>
      <c r="CL124" s="205">
        <f>IF(ISNUMBER(CK113),CK124*CM124,0)</f>
        <v>0</v>
      </c>
      <c r="CM124" s="205">
        <f>(0.1+50/CK$41)*(((CK$30*25.4)/CK$113)^4-1)</f>
        <v>1.3047357227187066</v>
      </c>
      <c r="CN124" s="396"/>
      <c r="CO124" s="396"/>
      <c r="CP124" s="396"/>
      <c r="CQ124" s="202">
        <v>0</v>
      </c>
      <c r="CR124" s="205">
        <f>IF(ISNUMBER(CQ113),CQ124*CS124,0)</f>
        <v>0</v>
      </c>
      <c r="CS124" s="205">
        <f>(0.1+50/CQ$41)*(((CQ$30*25.4)/CQ$113)^4-1)</f>
        <v>1.3047357227187066</v>
      </c>
      <c r="CT124" s="396"/>
      <c r="CU124" s="396"/>
      <c r="CV124" s="396"/>
      <c r="CW124" s="201"/>
      <c r="CX124" s="201"/>
      <c r="CY124" s="205"/>
      <c r="CZ124" s="396"/>
      <c r="DA124" s="396"/>
      <c r="DB124" s="396"/>
      <c r="DC124" s="202">
        <v>0</v>
      </c>
      <c r="DD124" s="205">
        <f>IF(ISNUMBER(DC113),DC124*DE124,0)</f>
        <v>0</v>
      </c>
      <c r="DE124" s="205">
        <f>(0.1+50/DC$41)*(((DC$30*25.4)/DC$113)^4-1)</f>
        <v>1.3047357227187066</v>
      </c>
      <c r="DF124" s="396"/>
      <c r="DG124" s="396"/>
      <c r="DH124" s="396"/>
      <c r="DI124" s="202">
        <v>0</v>
      </c>
      <c r="DJ124" s="205">
        <f>IF(ISNUMBER(DI113),DI124*DK124,0)</f>
        <v>0</v>
      </c>
      <c r="DK124" s="205">
        <f>(0.1+50/DI$41)*(((DI$30*25.4)/DI$113)^4-1)</f>
        <v>1.3047357227187066</v>
      </c>
      <c r="DL124" s="396"/>
      <c r="DM124" s="396"/>
      <c r="DN124" s="396"/>
    </row>
    <row r="125" spans="2:118" x14ac:dyDescent="0.35">
      <c r="B125" s="201"/>
      <c r="C125" s="201"/>
      <c r="D125" s="201"/>
      <c r="E125" s="201"/>
      <c r="F125" s="201"/>
      <c r="G125" s="205"/>
      <c r="H125" s="396"/>
      <c r="I125" s="396"/>
      <c r="J125" s="396"/>
      <c r="K125" s="201"/>
      <c r="L125" s="201"/>
      <c r="M125" s="205"/>
      <c r="N125" s="396"/>
      <c r="O125" s="396"/>
      <c r="P125" s="396"/>
      <c r="Q125" s="201"/>
      <c r="R125" s="201"/>
      <c r="S125" s="205"/>
      <c r="T125" s="396"/>
      <c r="U125" s="396"/>
      <c r="V125" s="396"/>
      <c r="W125" s="201"/>
      <c r="X125" s="201"/>
      <c r="Y125" s="205"/>
      <c r="Z125" s="396"/>
      <c r="AA125" s="396"/>
      <c r="AB125" s="396"/>
      <c r="AC125" s="201"/>
      <c r="AD125" s="201"/>
      <c r="AE125" s="205"/>
      <c r="AF125" s="396"/>
      <c r="AG125" s="396"/>
      <c r="AH125" s="396"/>
      <c r="AI125" s="201"/>
      <c r="AJ125" s="201"/>
      <c r="AK125" s="205"/>
      <c r="AL125" s="396"/>
      <c r="AM125" s="396"/>
      <c r="AN125" s="396"/>
      <c r="AO125" s="201"/>
      <c r="AP125" s="201"/>
      <c r="AQ125" s="205"/>
      <c r="AR125" s="396"/>
      <c r="AS125" s="396"/>
      <c r="AT125" s="396"/>
      <c r="AU125" s="201"/>
      <c r="AV125" s="201"/>
      <c r="AW125" s="205"/>
      <c r="AX125" s="396"/>
      <c r="AY125" s="396"/>
      <c r="AZ125" s="396"/>
      <c r="BA125" s="201"/>
      <c r="BB125" s="201"/>
      <c r="BC125" s="205"/>
      <c r="BD125" s="396"/>
      <c r="BE125" s="396"/>
      <c r="BF125" s="396"/>
      <c r="BG125" s="201"/>
      <c r="BH125" s="201"/>
      <c r="BI125" s="205"/>
      <c r="BJ125" s="396"/>
      <c r="BK125" s="396"/>
      <c r="BL125" s="396"/>
      <c r="BM125" s="201"/>
      <c r="BN125" s="201"/>
      <c r="BO125" s="205"/>
      <c r="BP125" s="396"/>
      <c r="BQ125" s="396"/>
      <c r="BR125" s="396"/>
      <c r="BS125" s="201"/>
      <c r="BT125" s="201"/>
      <c r="BU125" s="205"/>
      <c r="BV125" s="396"/>
      <c r="BW125" s="396"/>
      <c r="BX125" s="396"/>
      <c r="BY125" s="201"/>
      <c r="BZ125" s="201"/>
      <c r="CA125" s="205"/>
      <c r="CB125" s="396"/>
      <c r="CC125" s="396"/>
      <c r="CD125" s="396"/>
      <c r="CE125" s="201"/>
      <c r="CF125" s="201"/>
      <c r="CG125" s="205"/>
      <c r="CH125" s="396"/>
      <c r="CI125" s="396"/>
      <c r="CJ125" s="396"/>
      <c r="CK125" s="201"/>
      <c r="CL125" s="201"/>
      <c r="CM125" s="205"/>
      <c r="CN125" s="396"/>
      <c r="CO125" s="396"/>
      <c r="CP125" s="396"/>
      <c r="CQ125" s="201"/>
      <c r="CR125" s="201"/>
      <c r="CS125" s="205"/>
      <c r="CT125" s="396"/>
      <c r="CU125" s="396"/>
      <c r="CV125" s="396"/>
      <c r="CW125" s="202">
        <v>0</v>
      </c>
      <c r="CX125" s="205">
        <f>IF(ISNUMBER(CW114),CW125*CY125,0)</f>
        <v>0</v>
      </c>
      <c r="CY125" s="205">
        <f>(0.1+50/CW$41)*(((CW$30*25.4)/CW$113)^4-1)</f>
        <v>584940.13331294002</v>
      </c>
      <c r="CZ125" s="396"/>
      <c r="DA125" s="396"/>
      <c r="DB125" s="396"/>
      <c r="DC125" s="201"/>
      <c r="DD125" s="201"/>
      <c r="DE125" s="205"/>
      <c r="DF125" s="396"/>
      <c r="DG125" s="396"/>
      <c r="DH125" s="396"/>
      <c r="DI125" s="201"/>
      <c r="DJ125" s="201"/>
      <c r="DK125" s="205"/>
      <c r="DL125" s="396"/>
      <c r="DM125" s="396"/>
      <c r="DN125" s="396"/>
    </row>
    <row r="126" spans="2:118" ht="12.65" customHeight="1" x14ac:dyDescent="0.35">
      <c r="B126" s="203" t="s">
        <v>482</v>
      </c>
      <c r="C126" s="203"/>
      <c r="D126" s="201" t="s">
        <v>514</v>
      </c>
      <c r="E126" s="213">
        <v>1</v>
      </c>
      <c r="F126" s="201"/>
      <c r="G126" s="201"/>
      <c r="H126" s="396"/>
      <c r="I126" s="396"/>
      <c r="J126" s="396"/>
      <c r="K126" s="213">
        <v>1</v>
      </c>
      <c r="L126" s="201"/>
      <c r="M126" s="201"/>
      <c r="N126" s="396"/>
      <c r="O126" s="396"/>
      <c r="P126" s="396"/>
      <c r="Q126" s="213">
        <v>1</v>
      </c>
      <c r="R126" s="201"/>
      <c r="S126" s="201"/>
      <c r="T126" s="396"/>
      <c r="U126" s="396"/>
      <c r="V126" s="396"/>
      <c r="W126" s="213">
        <v>1</v>
      </c>
      <c r="X126" s="201"/>
      <c r="Y126" s="201"/>
      <c r="Z126" s="396"/>
      <c r="AA126" s="396"/>
      <c r="AB126" s="396"/>
      <c r="AC126" s="213">
        <v>1</v>
      </c>
      <c r="AD126" s="201"/>
      <c r="AE126" s="201"/>
      <c r="AF126" s="396"/>
      <c r="AG126" s="396"/>
      <c r="AH126" s="396"/>
      <c r="AI126" s="213">
        <v>1</v>
      </c>
      <c r="AJ126" s="201"/>
      <c r="AK126" s="201"/>
      <c r="AL126" s="396"/>
      <c r="AM126" s="396"/>
      <c r="AN126" s="396"/>
      <c r="AO126" s="213">
        <v>1</v>
      </c>
      <c r="AP126" s="201"/>
      <c r="AQ126" s="201"/>
      <c r="AR126" s="396"/>
      <c r="AS126" s="396"/>
      <c r="AT126" s="396"/>
      <c r="AU126" s="213">
        <v>1</v>
      </c>
      <c r="AV126" s="201"/>
      <c r="AW126" s="201"/>
      <c r="AX126" s="396"/>
      <c r="AY126" s="396"/>
      <c r="AZ126" s="396"/>
      <c r="BA126" s="213">
        <v>1</v>
      </c>
      <c r="BB126" s="201"/>
      <c r="BC126" s="201"/>
      <c r="BD126" s="396"/>
      <c r="BE126" s="396"/>
      <c r="BF126" s="396"/>
      <c r="BG126" s="213">
        <v>1</v>
      </c>
      <c r="BH126" s="201"/>
      <c r="BI126" s="201"/>
      <c r="BJ126" s="396"/>
      <c r="BK126" s="396"/>
      <c r="BL126" s="396"/>
      <c r="BM126" s="213">
        <v>1</v>
      </c>
      <c r="BN126" s="201"/>
      <c r="BO126" s="201"/>
      <c r="BP126" s="396"/>
      <c r="BQ126" s="396"/>
      <c r="BR126" s="396"/>
      <c r="BS126" s="213">
        <v>1</v>
      </c>
      <c r="BT126" s="201"/>
      <c r="BU126" s="201"/>
      <c r="BV126" s="396"/>
      <c r="BW126" s="396"/>
      <c r="BX126" s="396"/>
      <c r="BY126" s="213">
        <v>1</v>
      </c>
      <c r="BZ126" s="201"/>
      <c r="CA126" s="201"/>
      <c r="CB126" s="396"/>
      <c r="CC126" s="396"/>
      <c r="CD126" s="396"/>
      <c r="CE126" s="213">
        <v>1</v>
      </c>
      <c r="CF126" s="201"/>
      <c r="CG126" s="201"/>
      <c r="CH126" s="396"/>
      <c r="CI126" s="396"/>
      <c r="CJ126" s="396"/>
      <c r="CK126" s="213">
        <v>1</v>
      </c>
      <c r="CL126" s="201"/>
      <c r="CM126" s="201"/>
      <c r="CN126" s="396"/>
      <c r="CO126" s="396"/>
      <c r="CP126" s="396"/>
      <c r="CQ126" s="213">
        <v>1</v>
      </c>
      <c r="CR126" s="201"/>
      <c r="CS126" s="201"/>
      <c r="CT126" s="396"/>
      <c r="CU126" s="396"/>
      <c r="CV126" s="396"/>
      <c r="CW126" s="201"/>
      <c r="CX126" s="201"/>
      <c r="CY126" s="205"/>
      <c r="CZ126" s="396"/>
      <c r="DA126" s="396"/>
      <c r="DB126" s="396"/>
      <c r="DC126" s="213">
        <v>1</v>
      </c>
      <c r="DD126" s="201"/>
      <c r="DE126" s="201"/>
      <c r="DF126" s="396"/>
      <c r="DG126" s="396"/>
      <c r="DH126" s="396"/>
      <c r="DI126" s="213">
        <v>1</v>
      </c>
      <c r="DJ126" s="201"/>
      <c r="DK126" s="201"/>
      <c r="DL126" s="396"/>
      <c r="DM126" s="396"/>
      <c r="DN126" s="396"/>
    </row>
    <row r="127" spans="2:118" ht="14.5" hidden="1" customHeight="1" x14ac:dyDescent="0.35">
      <c r="B127" s="203"/>
      <c r="C127" s="203"/>
      <c r="D127" s="201"/>
      <c r="E127" s="213">
        <f>E126*25.4</f>
        <v>25.4</v>
      </c>
      <c r="F127" s="201"/>
      <c r="G127" s="201"/>
      <c r="H127" s="396"/>
      <c r="I127" s="396"/>
      <c r="J127" s="396"/>
      <c r="K127" s="213">
        <f>K126*25.4</f>
        <v>25.4</v>
      </c>
      <c r="L127" s="201"/>
      <c r="M127" s="201"/>
      <c r="N127" s="396"/>
      <c r="O127" s="396"/>
      <c r="P127" s="396"/>
      <c r="Q127" s="213">
        <f>Q126*25.4</f>
        <v>25.4</v>
      </c>
      <c r="R127" s="201"/>
      <c r="S127" s="201"/>
      <c r="T127" s="396"/>
      <c r="U127" s="396"/>
      <c r="V127" s="396"/>
      <c r="W127" s="213">
        <f>W126*25.4</f>
        <v>25.4</v>
      </c>
      <c r="X127" s="201"/>
      <c r="Y127" s="201"/>
      <c r="Z127" s="396"/>
      <c r="AA127" s="396"/>
      <c r="AB127" s="396"/>
      <c r="AC127" s="213">
        <f>AC126*25.4</f>
        <v>25.4</v>
      </c>
      <c r="AD127" s="201"/>
      <c r="AE127" s="201"/>
      <c r="AF127" s="396"/>
      <c r="AG127" s="396"/>
      <c r="AH127" s="396"/>
      <c r="AI127" s="213">
        <f>AI126*25.4</f>
        <v>25.4</v>
      </c>
      <c r="AJ127" s="201"/>
      <c r="AK127" s="201"/>
      <c r="AL127" s="396"/>
      <c r="AM127" s="396"/>
      <c r="AN127" s="396"/>
      <c r="AO127" s="213">
        <f>AO126*25.4</f>
        <v>25.4</v>
      </c>
      <c r="AP127" s="201"/>
      <c r="AQ127" s="201"/>
      <c r="AR127" s="396"/>
      <c r="AS127" s="396"/>
      <c r="AT127" s="396"/>
      <c r="AU127" s="213">
        <f>AU126*25.4</f>
        <v>25.4</v>
      </c>
      <c r="AV127" s="201"/>
      <c r="AW127" s="201"/>
      <c r="AX127" s="396"/>
      <c r="AY127" s="396"/>
      <c r="AZ127" s="396"/>
      <c r="BA127" s="213">
        <f>BA126*25.4</f>
        <v>25.4</v>
      </c>
      <c r="BB127" s="201"/>
      <c r="BC127" s="201"/>
      <c r="BD127" s="396"/>
      <c r="BE127" s="396"/>
      <c r="BF127" s="396"/>
      <c r="BG127" s="213">
        <f>BG126*25.4</f>
        <v>25.4</v>
      </c>
      <c r="BH127" s="201"/>
      <c r="BI127" s="201"/>
      <c r="BJ127" s="396"/>
      <c r="BK127" s="396"/>
      <c r="BL127" s="396"/>
      <c r="BM127" s="213">
        <f>BM126*25.4</f>
        <v>25.4</v>
      </c>
      <c r="BN127" s="201"/>
      <c r="BO127" s="201"/>
      <c r="BP127" s="396"/>
      <c r="BQ127" s="396"/>
      <c r="BR127" s="396"/>
      <c r="BS127" s="213">
        <f>BS126*25.4</f>
        <v>25.4</v>
      </c>
      <c r="BT127" s="201"/>
      <c r="BU127" s="201"/>
      <c r="BV127" s="396"/>
      <c r="BW127" s="396"/>
      <c r="BX127" s="396"/>
      <c r="BY127" s="213">
        <f>BY126*25.4</f>
        <v>25.4</v>
      </c>
      <c r="BZ127" s="201"/>
      <c r="CA127" s="201"/>
      <c r="CB127" s="396"/>
      <c r="CC127" s="396"/>
      <c r="CD127" s="396"/>
      <c r="CE127" s="213">
        <f>CE126*25.4</f>
        <v>25.4</v>
      </c>
      <c r="CF127" s="201"/>
      <c r="CG127" s="201"/>
      <c r="CH127" s="396"/>
      <c r="CI127" s="396"/>
      <c r="CJ127" s="396"/>
      <c r="CK127" s="213">
        <f>CK126*25.4</f>
        <v>25.4</v>
      </c>
      <c r="CL127" s="201"/>
      <c r="CM127" s="201"/>
      <c r="CN127" s="396"/>
      <c r="CO127" s="396"/>
      <c r="CP127" s="396"/>
      <c r="CQ127" s="213">
        <f>CQ126*25.4</f>
        <v>25.4</v>
      </c>
      <c r="CR127" s="201"/>
      <c r="CS127" s="201"/>
      <c r="CT127" s="396"/>
      <c r="CU127" s="396"/>
      <c r="CV127" s="396"/>
      <c r="CW127" s="213">
        <v>1</v>
      </c>
      <c r="CX127" s="201"/>
      <c r="CY127" s="201"/>
      <c r="CZ127" s="396"/>
      <c r="DA127" s="396"/>
      <c r="DB127" s="396"/>
      <c r="DC127" s="213">
        <f>DC126*25.4</f>
        <v>25.4</v>
      </c>
      <c r="DD127" s="201"/>
      <c r="DE127" s="201"/>
      <c r="DF127" s="396"/>
      <c r="DG127" s="396"/>
      <c r="DH127" s="396"/>
      <c r="DI127" s="213">
        <f>DI126*25.4</f>
        <v>25.4</v>
      </c>
      <c r="DJ127" s="201"/>
      <c r="DK127" s="201"/>
      <c r="DL127" s="396"/>
      <c r="DM127" s="396"/>
      <c r="DN127" s="396"/>
    </row>
    <row r="128" spans="2:118" x14ac:dyDescent="0.35">
      <c r="B128" s="208" t="s">
        <v>483</v>
      </c>
      <c r="C128" s="13"/>
      <c r="D128" s="13"/>
      <c r="E128" s="201"/>
      <c r="F128" s="201"/>
      <c r="G128" s="205"/>
      <c r="H128" s="396"/>
      <c r="I128" s="396"/>
      <c r="J128" s="396"/>
      <c r="K128" s="201"/>
      <c r="L128" s="201"/>
      <c r="M128" s="205"/>
      <c r="N128" s="396"/>
      <c r="O128" s="396"/>
      <c r="P128" s="396"/>
      <c r="Q128" s="201"/>
      <c r="R128" s="201"/>
      <c r="S128" s="205"/>
      <c r="T128" s="396"/>
      <c r="U128" s="396"/>
      <c r="V128" s="396"/>
      <c r="W128" s="201"/>
      <c r="X128" s="201"/>
      <c r="Y128" s="205"/>
      <c r="Z128" s="396"/>
      <c r="AA128" s="396"/>
      <c r="AB128" s="396"/>
      <c r="AC128" s="201"/>
      <c r="AD128" s="201"/>
      <c r="AE128" s="205"/>
      <c r="AF128" s="396"/>
      <c r="AG128" s="396"/>
      <c r="AH128" s="396"/>
      <c r="AI128" s="201"/>
      <c r="AJ128" s="201"/>
      <c r="AK128" s="205"/>
      <c r="AL128" s="396"/>
      <c r="AM128" s="396"/>
      <c r="AN128" s="396"/>
      <c r="AO128" s="201"/>
      <c r="AP128" s="201"/>
      <c r="AQ128" s="205"/>
      <c r="AR128" s="396"/>
      <c r="AS128" s="396"/>
      <c r="AT128" s="396"/>
      <c r="AU128" s="201"/>
      <c r="AV128" s="201"/>
      <c r="AW128" s="205"/>
      <c r="AX128" s="396"/>
      <c r="AY128" s="396"/>
      <c r="AZ128" s="396"/>
      <c r="BA128" s="201"/>
      <c r="BB128" s="201"/>
      <c r="BC128" s="205"/>
      <c r="BD128" s="396"/>
      <c r="BE128" s="396"/>
      <c r="BF128" s="396"/>
      <c r="BG128" s="201"/>
      <c r="BH128" s="201"/>
      <c r="BI128" s="205"/>
      <c r="BJ128" s="396"/>
      <c r="BK128" s="396"/>
      <c r="BL128" s="396"/>
      <c r="BM128" s="201"/>
      <c r="BN128" s="201"/>
      <c r="BO128" s="205"/>
      <c r="BP128" s="396"/>
      <c r="BQ128" s="396"/>
      <c r="BR128" s="396"/>
      <c r="BS128" s="201"/>
      <c r="BT128" s="201"/>
      <c r="BU128" s="205"/>
      <c r="BV128" s="396"/>
      <c r="BW128" s="396"/>
      <c r="BX128" s="396"/>
      <c r="BY128" s="201"/>
      <c r="BZ128" s="201"/>
      <c r="CA128" s="205"/>
      <c r="CB128" s="396"/>
      <c r="CC128" s="396"/>
      <c r="CD128" s="396"/>
      <c r="CE128" s="201"/>
      <c r="CF128" s="201"/>
      <c r="CG128" s="205"/>
      <c r="CH128" s="396"/>
      <c r="CI128" s="396"/>
      <c r="CJ128" s="396"/>
      <c r="CK128" s="201"/>
      <c r="CL128" s="201"/>
      <c r="CM128" s="205"/>
      <c r="CN128" s="396"/>
      <c r="CO128" s="396"/>
      <c r="CP128" s="396"/>
      <c r="CQ128" s="201"/>
      <c r="CR128" s="201"/>
      <c r="CS128" s="205"/>
      <c r="CT128" s="396"/>
      <c r="CU128" s="396"/>
      <c r="CV128" s="396"/>
      <c r="CW128" s="213">
        <f>CW127*25.4</f>
        <v>25.4</v>
      </c>
      <c r="CX128" s="201"/>
      <c r="CY128" s="201"/>
      <c r="CZ128" s="396"/>
      <c r="DA128" s="396"/>
      <c r="DB128" s="396"/>
      <c r="DC128" s="201"/>
      <c r="DD128" s="201"/>
      <c r="DE128" s="205"/>
      <c r="DF128" s="396"/>
      <c r="DG128" s="396"/>
      <c r="DH128" s="396"/>
      <c r="DI128" s="201"/>
      <c r="DJ128" s="201"/>
      <c r="DK128" s="205"/>
      <c r="DL128" s="396"/>
      <c r="DM128" s="396"/>
      <c r="DN128" s="396"/>
    </row>
    <row r="129" spans="2:118" x14ac:dyDescent="0.35">
      <c r="B129" s="201"/>
      <c r="C129" s="13"/>
      <c r="D129" s="201" t="s">
        <v>478</v>
      </c>
      <c r="E129" s="202">
        <v>0</v>
      </c>
      <c r="F129" s="205">
        <f>IF(ISNUMBER(E127),E129*G129,0)</f>
        <v>0</v>
      </c>
      <c r="G129" s="205">
        <f>IF(E41&lt;2500,(2.72 +(E127/(E30*25.4))^2*(120/E41-1))*(1-(E127/(E30*25.4))^2)*(((E30*25.4)/E127)^4-1),(2.72 +(E127/(E30*25.4))^2*(4000/E41))*(1-(E127/(E30*25.4))^2)*(((E30*25.4)/E127)^4-1))</f>
        <v>3578.9654146248649</v>
      </c>
      <c r="H129" s="396"/>
      <c r="I129" s="396"/>
      <c r="J129" s="396"/>
      <c r="K129" s="202">
        <v>0</v>
      </c>
      <c r="L129" s="205">
        <f>IF(ISNUMBER(K127),K129*M129,0)</f>
        <v>0</v>
      </c>
      <c r="M129" s="205">
        <f>IF(K41&lt;2500,(2.72 +(K127/(K30*25.4))^2*(120/K41-1))*(1-(K127/(K30*25.4))^2)*(((K30*25.4)/K127)^4-1),(2.72 +(K127/(K30*25.4))^2*(4000/K41))*(1-(K127/(K30*25.4))^2)*(((K30*25.4)/K127)^4-1))</f>
        <v>3578.9654896021812</v>
      </c>
      <c r="N129" s="396"/>
      <c r="O129" s="396"/>
      <c r="P129" s="396"/>
      <c r="Q129" s="202">
        <v>0</v>
      </c>
      <c r="R129" s="205">
        <f>IF(ISNUMBER(Q127),Q129*S129,0)</f>
        <v>0</v>
      </c>
      <c r="S129" s="205">
        <f>IF(Q41&lt;2500,(2.72 +(Q127/(Q30*25.4))^2*(120/Q41-1))*(1-(Q127/(Q30*25.4))^2)*(((Q30*25.4)/Q127)^4-1),(2.72 +(Q127/(Q30*25.4))^2*(4000/Q41))*(1-(Q127/(Q30*25.4))^2)*(((Q30*25.4)/Q127)^4-1))</f>
        <v>3578.9654896021812</v>
      </c>
      <c r="T129" s="396"/>
      <c r="U129" s="396"/>
      <c r="V129" s="396"/>
      <c r="W129" s="202">
        <v>0</v>
      </c>
      <c r="X129" s="205">
        <f>IF(ISNUMBER(W127),W129*Y129,0)</f>
        <v>0</v>
      </c>
      <c r="Y129" s="205">
        <f>IF(W41&lt;2500,(2.72 +(W127/(W30*25.4))^2*(120/W41-1))*(1-(W127/(W30*25.4))^2)*(((W30*25.4)/W127)^4-1),(2.72 +(W127/(W30*25.4))^2*(4000/W41))*(1-(W127/(W30*25.4))^2)*(((W30*25.4)/W127)^4-1))</f>
        <v>3578.3791640999279</v>
      </c>
      <c r="Z129" s="396"/>
      <c r="AA129" s="396"/>
      <c r="AB129" s="396"/>
      <c r="AC129" s="202">
        <v>0</v>
      </c>
      <c r="AD129" s="205">
        <f>IF(ISNUMBER(AC127),AC129*AE129,0)</f>
        <v>0</v>
      </c>
      <c r="AE129" s="205">
        <f>IF(AC41&lt;2500,(2.72 +(AC127/(AC30*25.4))^2*(120/AC41-1))*(1-(AC127/(AC30*25.4))^2)*(((AC30*25.4)/AC127)^4-1),(2.72 +(AC127/(AC30*25.4))^2*(4000/AC41))*(1-(AC127/(AC30*25.4))^2)*(((AC30*25.4)/AC127)^4-1))</f>
        <v>668.15950308315371</v>
      </c>
      <c r="AF129" s="396"/>
      <c r="AG129" s="396"/>
      <c r="AH129" s="396"/>
      <c r="AI129" s="202">
        <v>0</v>
      </c>
      <c r="AJ129" s="205">
        <f>IF(ISNUMBER(AI127),AI129*AK129,0)</f>
        <v>0</v>
      </c>
      <c r="AK129" s="205">
        <f>IF(AI41&lt;2500,(2.72 +(AI127/(AI30*25.4))^2*(120/AI41-1))*(1-(AI127/(AI30*25.4))^2)*(((AI30*25.4)/AI127)^4-1),(2.72 +(AI127/(AI30*25.4))^2*(4000/AI41))*(1-(AI127/(AI30*25.4))^2)*(((AI30*25.4)/AI127)^4-1))</f>
        <v>668.15950308315371</v>
      </c>
      <c r="AL129" s="396"/>
      <c r="AM129" s="396"/>
      <c r="AN129" s="396"/>
      <c r="AO129" s="202">
        <v>0</v>
      </c>
      <c r="AP129" s="205">
        <f>IF(ISNUMBER(AO127),AO129*AQ129,0)</f>
        <v>0</v>
      </c>
      <c r="AQ129" s="205">
        <f>IF(AO41&lt;2500,(2.72 +(AO127/(AO30*25.4))^2*(120/AO41-1))*(1-(AO127/(AO30*25.4))^2)*(((AO30*25.4)/AO127)^4-1),(2.72 +(AO127/(AO30*25.4))^2*(4000/AO41))*(1-(AO127/(AO30*25.4))^2)*(((AO30*25.4)/AO127)^4-1))</f>
        <v>668.15950308315371</v>
      </c>
      <c r="AR129" s="396"/>
      <c r="AS129" s="396"/>
      <c r="AT129" s="396"/>
      <c r="AU129" s="202">
        <v>0</v>
      </c>
      <c r="AV129" s="205">
        <f>IF(ISNUMBER(AU127),AU129*AW129,0)</f>
        <v>0</v>
      </c>
      <c r="AW129" s="205">
        <f>IF(AU41&lt;2500,(2.72 +(AU127/(AU30*25.4))^2*(120/AU41-1))*(1-(AU127/(AU30*25.4))^2)*(((AU30*25.4)/AU127)^4-1),(2.72 +(AU127/(AU30*25.4))^2*(4000/AU41))*(1-(AU127/(AU30*25.4))^2)*(((AU30*25.4)/AU127)^4-1))</f>
        <v>668.15956016871564</v>
      </c>
      <c r="AX129" s="396"/>
      <c r="AY129" s="396"/>
      <c r="AZ129" s="396"/>
      <c r="BA129" s="202">
        <v>0</v>
      </c>
      <c r="BB129" s="205">
        <f>IF(ISNUMBER(BA127),BA129*BC129,0)</f>
        <v>0</v>
      </c>
      <c r="BC129" s="205">
        <f>IF(BA41&lt;2500,(2.72 +(BA127/(BA30*25.4))^2*(120/BA41-1))*(1-(BA127/(BA30*25.4))^2)*(((BA30*25.4)/BA127)^4-1),(2.72 +(BA127/(BA30*25.4))^2*(4000/BA41))*(1-(BA127/(BA30*25.4))^2)*(((BA30*25.4)/BA127)^4-1))</f>
        <v>668.15956016871564</v>
      </c>
      <c r="BD129" s="396"/>
      <c r="BE129" s="396"/>
      <c r="BF129" s="396"/>
      <c r="BG129" s="202">
        <v>0</v>
      </c>
      <c r="BH129" s="205">
        <f>IF(ISNUMBER(BG127),BG129*BI129,0)</f>
        <v>0</v>
      </c>
      <c r="BI129" s="205">
        <f>IF(BG41&lt;2500,(2.72 +(BG127/(BG30*25.4))^2*(120/BG41-1))*(1-(BG127/(BG30*25.4))^2)*(((BG30*25.4)/BG127)^4-1),(2.72 +(BG127/(BG30*25.4))^2*(4000/BG41))*(1-(BG127/(BG30*25.4))^2)*(((BG30*25.4)/BG127)^4-1))</f>
        <v>668.15956016871564</v>
      </c>
      <c r="BJ129" s="396"/>
      <c r="BK129" s="396"/>
      <c r="BL129" s="396"/>
      <c r="BM129" s="202">
        <v>0</v>
      </c>
      <c r="BN129" s="205">
        <f>IF(ISNUMBER(BM127),BM129*BO129,0)</f>
        <v>0</v>
      </c>
      <c r="BO129" s="205">
        <f>IF(BM41&lt;2500,(2.72 +(BM127/(BM30*25.4))^2*(120/BM41-1))*(1-(BM127/(BM30*25.4))^2)*(((BM30*25.4)/BM127)^4-1),(2.72 +(BM127/(BM30*25.4))^2*(4000/BM41))*(1-(BM127/(BM30*25.4))^2)*(((BM30*25.4)/BM127)^4-1))</f>
        <v>10864.418626333007</v>
      </c>
      <c r="BP129" s="396"/>
      <c r="BQ129" s="396"/>
      <c r="BR129" s="396"/>
      <c r="BS129" s="202">
        <v>0</v>
      </c>
      <c r="BT129" s="205">
        <f>IF(ISNUMBER(BS127),BS129*BU129,0)</f>
        <v>0</v>
      </c>
      <c r="BU129" s="205">
        <f>IF(BS41&lt;2500,(2.72 +(BS127/(BS30*25.4))^2*(120/BS41-1))*(1-(BS127/(BS30*25.4))^2)*(((BS30*25.4)/BS127)^4-1),(2.72 +(BS127/(BS30*25.4))^2*(4000/BS41))*(1-(BS127/(BS30*25.4))^2)*(((BS30*25.4)/BS127)^4-1))</f>
        <v>10863.28925971018</v>
      </c>
      <c r="BV129" s="396"/>
      <c r="BW129" s="396"/>
      <c r="BX129" s="396"/>
      <c r="BY129" s="202">
        <v>0</v>
      </c>
      <c r="BZ129" s="205">
        <f>IF(ISNUMBER(BY127),BY129*CA129,0)</f>
        <v>0</v>
      </c>
      <c r="CA129" s="205">
        <f>IF(BY41&lt;2500,(2.72 +(BY127/(BY30*25.4))^2*(120/BY41-1))*(1-(BY127/(BY30*25.4))^2)*(((BY30*25.4)/BY127)^4-1),(2.72 +(BY127/(BY30*25.4))^2*(4000/BY41))*(1-(BY127/(BY30*25.4))^2)*(((BY30*25.4)/BY127)^4-1))</f>
        <v>668.39648246312083</v>
      </c>
      <c r="CB129" s="396"/>
      <c r="CC129" s="396"/>
      <c r="CD129" s="396"/>
      <c r="CE129" s="202">
        <v>0</v>
      </c>
      <c r="CF129" s="205">
        <f>IF(ISNUMBER(CE127),CE129*CG129,0)</f>
        <v>0</v>
      </c>
      <c r="CG129" s="205">
        <f>IF(CE41&lt;2500,(2.72 +(CE127/(CE30*25.4))^2*(120/CE41-1))*(1-(CE127/(CE30*25.4))^2)*(((CE30*25.4)/CE127)^4-1),(2.72 +(CE127/(CE30*25.4))^2*(4000/CE41))*(1-(CE127/(CE30*25.4))^2)*(((CE30*25.4)/CE127)^4-1))</f>
        <v>668.39648246312083</v>
      </c>
      <c r="CH129" s="396"/>
      <c r="CI129" s="396"/>
      <c r="CJ129" s="396"/>
      <c r="CK129" s="202">
        <v>0</v>
      </c>
      <c r="CL129" s="205">
        <f>IF(ISNUMBER(CK127),CK129*CM129,0)</f>
        <v>0</v>
      </c>
      <c r="CM129" s="205">
        <f>IF(CK41&lt;2500,(2.72 +(CK127/(CK30*25.4))^2*(120/CK41-1))*(1-(CK127/(CK30*25.4))^2)*(((CK30*25.4)/CK127)^4-1),(2.72 +(CK127/(CK30*25.4))^2*(4000/CK41))*(1-(CK127/(CK30*25.4))^2)*(((CK30*25.4)/CK127)^4-1))</f>
        <v>167.45276832016714</v>
      </c>
      <c r="CN129" s="396"/>
      <c r="CO129" s="396"/>
      <c r="CP129" s="396"/>
      <c r="CQ129" s="202">
        <v>0</v>
      </c>
      <c r="CR129" s="205">
        <f>IF(ISNUMBER(CQ127),CQ129*CS129,0)</f>
        <v>0</v>
      </c>
      <c r="CS129" s="205">
        <f>IF(CQ41&lt;2500,(2.72 +(CQ127/(CQ30*25.4))^2*(120/CQ41-1))*(1-(CQ127/(CQ30*25.4))^2)*(((CQ30*25.4)/CQ127)^4-1),(2.72 +(CQ127/(CQ30*25.4))^2*(4000/CQ41))*(1-(CQ127/(CQ30*25.4))^2)*(((CQ30*25.4)/CQ127)^4-1))</f>
        <v>167.45276832016714</v>
      </c>
      <c r="CT129" s="396"/>
      <c r="CU129" s="396"/>
      <c r="CV129" s="396"/>
      <c r="CW129" s="201"/>
      <c r="CX129" s="201"/>
      <c r="CY129" s="205"/>
      <c r="CZ129" s="396"/>
      <c r="DA129" s="396"/>
      <c r="DB129" s="396"/>
      <c r="DC129" s="202">
        <v>0</v>
      </c>
      <c r="DD129" s="205">
        <f>IF(ISNUMBER(DC127),DC129*DE129,0)</f>
        <v>0</v>
      </c>
      <c r="DE129" s="205">
        <f>IF(DC41&lt;2500,(2.72 +(DC127/(DC30*25.4))^2*(120/DC41-1))*(1-(DC127/(DC30*25.4))^2)*(((DC30*25.4)/DC127)^4-1),(2.72 +(DC127/(DC30*25.4))^2*(4000/DC41))*(1-(DC127/(DC30*25.4))^2)*(((DC30*25.4)/DC127)^4-1))</f>
        <v>167.45276832016714</v>
      </c>
      <c r="DF129" s="396"/>
      <c r="DG129" s="396"/>
      <c r="DH129" s="396"/>
      <c r="DI129" s="202">
        <v>0</v>
      </c>
      <c r="DJ129" s="205">
        <f>IF(ISNUMBER(DI127),DI129*DK129,0)</f>
        <v>0</v>
      </c>
      <c r="DK129" s="205">
        <f>IF(DI41&lt;2500,(2.72 +(DI127/(DI30*25.4))^2*(120/DI41-1))*(1-(DI127/(DI30*25.4))^2)*(((DI30*25.4)/DI127)^4-1),(2.72 +(DI127/(DI30*25.4))^2*(4000/DI41))*(1-(DI127/(DI30*25.4))^2)*(((DI30*25.4)/DI127)^4-1))</f>
        <v>167.45276832016714</v>
      </c>
      <c r="DL129" s="396"/>
      <c r="DM129" s="396"/>
      <c r="DN129" s="396"/>
    </row>
    <row r="130" spans="2:118" x14ac:dyDescent="0.35">
      <c r="B130" s="201"/>
      <c r="C130" s="13"/>
      <c r="D130" s="13"/>
      <c r="E130" s="201"/>
      <c r="F130" s="201"/>
      <c r="G130" s="205"/>
      <c r="H130" s="396"/>
      <c r="I130" s="396"/>
      <c r="J130" s="396"/>
      <c r="K130" s="201"/>
      <c r="L130" s="201"/>
      <c r="M130" s="205"/>
      <c r="N130" s="396"/>
      <c r="O130" s="396"/>
      <c r="P130" s="396"/>
      <c r="Q130" s="201"/>
      <c r="R130" s="201"/>
      <c r="S130" s="205"/>
      <c r="T130" s="396"/>
      <c r="U130" s="396"/>
      <c r="V130" s="396"/>
      <c r="W130" s="201"/>
      <c r="X130" s="201"/>
      <c r="Y130" s="205"/>
      <c r="Z130" s="396"/>
      <c r="AA130" s="396"/>
      <c r="AB130" s="396"/>
      <c r="AC130" s="201"/>
      <c r="AD130" s="201"/>
      <c r="AE130" s="205"/>
      <c r="AF130" s="396"/>
      <c r="AG130" s="396"/>
      <c r="AH130" s="396"/>
      <c r="AI130" s="201"/>
      <c r="AJ130" s="201"/>
      <c r="AK130" s="205"/>
      <c r="AL130" s="396"/>
      <c r="AM130" s="396"/>
      <c r="AN130" s="396"/>
      <c r="AO130" s="201"/>
      <c r="AP130" s="201"/>
      <c r="AQ130" s="205"/>
      <c r="AR130" s="396"/>
      <c r="AS130" s="396"/>
      <c r="AT130" s="396"/>
      <c r="AU130" s="201"/>
      <c r="AV130" s="201"/>
      <c r="AW130" s="205"/>
      <c r="AX130" s="396"/>
      <c r="AY130" s="396"/>
      <c r="AZ130" s="396"/>
      <c r="BA130" s="201"/>
      <c r="BB130" s="201"/>
      <c r="BC130" s="205"/>
      <c r="BD130" s="396"/>
      <c r="BE130" s="396"/>
      <c r="BF130" s="396"/>
      <c r="BG130" s="201"/>
      <c r="BH130" s="201"/>
      <c r="BI130" s="205"/>
      <c r="BJ130" s="396"/>
      <c r="BK130" s="396"/>
      <c r="BL130" s="396"/>
      <c r="BM130" s="201"/>
      <c r="BN130" s="201"/>
      <c r="BO130" s="205"/>
      <c r="BP130" s="396"/>
      <c r="BQ130" s="396"/>
      <c r="BR130" s="396"/>
      <c r="BS130" s="201"/>
      <c r="BT130" s="201"/>
      <c r="BU130" s="205"/>
      <c r="BV130" s="396"/>
      <c r="BW130" s="396"/>
      <c r="BX130" s="396"/>
      <c r="BY130" s="201"/>
      <c r="BZ130" s="201"/>
      <c r="CA130" s="205"/>
      <c r="CB130" s="396"/>
      <c r="CC130" s="396"/>
      <c r="CD130" s="396"/>
      <c r="CE130" s="201"/>
      <c r="CF130" s="201"/>
      <c r="CG130" s="205"/>
      <c r="CH130" s="396"/>
      <c r="CI130" s="396"/>
      <c r="CJ130" s="396"/>
      <c r="CK130" s="201"/>
      <c r="CL130" s="201"/>
      <c r="CM130" s="205"/>
      <c r="CN130" s="396"/>
      <c r="CO130" s="396"/>
      <c r="CP130" s="396"/>
      <c r="CQ130" s="201"/>
      <c r="CR130" s="201"/>
      <c r="CS130" s="205"/>
      <c r="CT130" s="396"/>
      <c r="CU130" s="396"/>
      <c r="CV130" s="396"/>
      <c r="CW130" s="202">
        <v>0</v>
      </c>
      <c r="CX130" s="205" t="e">
        <f>IF(ISNUMBER(CW128),CW130*CY130,0)</f>
        <v>#VALUE!</v>
      </c>
      <c r="CY130" s="205" t="e">
        <f>IF(CW42&lt;2500,(2.72 +(CW128/(CW31*25.4))^2*(120/CW42-1))*(1-(CW128/(CW31*25.4))^2)*(((CW31*25.4)/CW128)^4-1),(2.72 +(CW128/(CW31*25.4))^2*(4000/CW42))*(1-(CW128/(CW31*25.4))^2)*(((CW31*25.4)/CW128)^4-1))</f>
        <v>#VALUE!</v>
      </c>
      <c r="CZ130" s="396"/>
      <c r="DA130" s="396"/>
      <c r="DB130" s="396"/>
      <c r="DC130" s="201"/>
      <c r="DD130" s="201"/>
      <c r="DE130" s="205"/>
      <c r="DF130" s="396"/>
      <c r="DG130" s="396"/>
      <c r="DH130" s="396"/>
      <c r="DI130" s="201"/>
      <c r="DJ130" s="201"/>
      <c r="DK130" s="205"/>
      <c r="DL130" s="396"/>
      <c r="DM130" s="396"/>
      <c r="DN130" s="396"/>
    </row>
    <row r="131" spans="2:118" x14ac:dyDescent="0.35">
      <c r="B131" s="201"/>
      <c r="C131" s="13"/>
      <c r="D131" s="13"/>
      <c r="E131" s="201"/>
      <c r="F131" s="201"/>
      <c r="G131" s="205"/>
      <c r="H131" s="396"/>
      <c r="I131" s="396"/>
      <c r="J131" s="396"/>
      <c r="K131" s="201"/>
      <c r="L131" s="201"/>
      <c r="M131" s="205"/>
      <c r="N131" s="396"/>
      <c r="O131" s="396"/>
      <c r="P131" s="396"/>
      <c r="Q131" s="201"/>
      <c r="R131" s="201"/>
      <c r="S131" s="205"/>
      <c r="T131" s="396"/>
      <c r="U131" s="396"/>
      <c r="V131" s="396"/>
      <c r="W131" s="201"/>
      <c r="X131" s="201"/>
      <c r="Y131" s="205"/>
      <c r="Z131" s="396"/>
      <c r="AA131" s="396"/>
      <c r="AB131" s="396"/>
      <c r="AC131" s="201"/>
      <c r="AD131" s="201"/>
      <c r="AE131" s="205"/>
      <c r="AF131" s="396"/>
      <c r="AG131" s="396"/>
      <c r="AH131" s="396"/>
      <c r="AI131" s="201"/>
      <c r="AJ131" s="201"/>
      <c r="AK131" s="205"/>
      <c r="AL131" s="396"/>
      <c r="AM131" s="396"/>
      <c r="AN131" s="396"/>
      <c r="AO131" s="201"/>
      <c r="AP131" s="201"/>
      <c r="AQ131" s="205"/>
      <c r="AR131" s="396"/>
      <c r="AS131" s="396"/>
      <c r="AT131" s="396"/>
      <c r="AU131" s="201"/>
      <c r="AV131" s="201"/>
      <c r="AW131" s="205"/>
      <c r="AX131" s="396"/>
      <c r="AY131" s="396"/>
      <c r="AZ131" s="396"/>
      <c r="BA131" s="201"/>
      <c r="BB131" s="201"/>
      <c r="BC131" s="205"/>
      <c r="BD131" s="396"/>
      <c r="BE131" s="396"/>
      <c r="BF131" s="396"/>
      <c r="BG131" s="201"/>
      <c r="BH131" s="201"/>
      <c r="BI131" s="205"/>
      <c r="BJ131" s="396"/>
      <c r="BK131" s="396"/>
      <c r="BL131" s="396"/>
      <c r="BM131" s="201"/>
      <c r="BN131" s="201"/>
      <c r="BO131" s="205"/>
      <c r="BP131" s="396"/>
      <c r="BQ131" s="396"/>
      <c r="BR131" s="396"/>
      <c r="BS131" s="201"/>
      <c r="BT131" s="201"/>
      <c r="BU131" s="205"/>
      <c r="BV131" s="396"/>
      <c r="BW131" s="396"/>
      <c r="BX131" s="396"/>
      <c r="BY131" s="201"/>
      <c r="BZ131" s="201"/>
      <c r="CA131" s="205"/>
      <c r="CB131" s="396"/>
      <c r="CC131" s="396"/>
      <c r="CD131" s="396"/>
      <c r="CE131" s="201"/>
      <c r="CF131" s="201"/>
      <c r="CG131" s="205"/>
      <c r="CH131" s="396"/>
      <c r="CI131" s="396"/>
      <c r="CJ131" s="396"/>
      <c r="CK131" s="201"/>
      <c r="CL131" s="201"/>
      <c r="CM131" s="205"/>
      <c r="CN131" s="396"/>
      <c r="CO131" s="396"/>
      <c r="CP131" s="396"/>
      <c r="CQ131" s="201"/>
      <c r="CR131" s="201"/>
      <c r="CS131" s="205"/>
      <c r="CT131" s="396"/>
      <c r="CU131" s="396"/>
      <c r="CV131" s="396"/>
      <c r="CW131" s="201"/>
      <c r="CX131" s="201"/>
      <c r="CY131" s="205"/>
      <c r="CZ131" s="396"/>
      <c r="DA131" s="396"/>
      <c r="DB131" s="396"/>
      <c r="DC131" s="201"/>
      <c r="DD131" s="201"/>
      <c r="DE131" s="205"/>
      <c r="DF131" s="396"/>
      <c r="DG131" s="396"/>
      <c r="DH131" s="396"/>
      <c r="DI131" s="201"/>
      <c r="DJ131" s="201"/>
      <c r="DK131" s="205"/>
      <c r="DL131" s="396"/>
      <c r="DM131" s="396"/>
      <c r="DN131" s="396"/>
    </row>
    <row r="132" spans="2:118" x14ac:dyDescent="0.35">
      <c r="B132" s="208" t="s">
        <v>484</v>
      </c>
      <c r="C132" s="13"/>
      <c r="D132" s="13"/>
      <c r="E132" s="201"/>
      <c r="F132" s="201"/>
      <c r="G132" s="201"/>
      <c r="H132" s="396"/>
      <c r="I132" s="396"/>
      <c r="J132" s="396"/>
      <c r="K132" s="201"/>
      <c r="L132" s="201"/>
      <c r="M132" s="201"/>
      <c r="N132" s="396"/>
      <c r="O132" s="396"/>
      <c r="P132" s="396"/>
      <c r="Q132" s="201"/>
      <c r="R132" s="201"/>
      <c r="S132" s="201"/>
      <c r="T132" s="396"/>
      <c r="U132" s="396"/>
      <c r="V132" s="396"/>
      <c r="W132" s="201"/>
      <c r="X132" s="201"/>
      <c r="Y132" s="201"/>
      <c r="Z132" s="396"/>
      <c r="AA132" s="396"/>
      <c r="AB132" s="396"/>
      <c r="AC132" s="201"/>
      <c r="AD132" s="201"/>
      <c r="AE132" s="201"/>
      <c r="AF132" s="396"/>
      <c r="AG132" s="396"/>
      <c r="AH132" s="396"/>
      <c r="AI132" s="201"/>
      <c r="AJ132" s="201"/>
      <c r="AK132" s="201"/>
      <c r="AL132" s="396"/>
      <c r="AM132" s="396"/>
      <c r="AN132" s="396"/>
      <c r="AO132" s="201"/>
      <c r="AP132" s="201"/>
      <c r="AQ132" s="201"/>
      <c r="AR132" s="396"/>
      <c r="AS132" s="396"/>
      <c r="AT132" s="396"/>
      <c r="AU132" s="201"/>
      <c r="AV132" s="201"/>
      <c r="AW132" s="201"/>
      <c r="AX132" s="396"/>
      <c r="AY132" s="396"/>
      <c r="AZ132" s="396"/>
      <c r="BA132" s="201"/>
      <c r="BB132" s="201"/>
      <c r="BC132" s="201"/>
      <c r="BD132" s="396"/>
      <c r="BE132" s="396"/>
      <c r="BF132" s="396"/>
      <c r="BG132" s="201"/>
      <c r="BH132" s="201"/>
      <c r="BI132" s="201"/>
      <c r="BJ132" s="396"/>
      <c r="BK132" s="396"/>
      <c r="BL132" s="396"/>
      <c r="BM132" s="201"/>
      <c r="BN132" s="201"/>
      <c r="BO132" s="201"/>
      <c r="BP132" s="396"/>
      <c r="BQ132" s="396"/>
      <c r="BR132" s="396"/>
      <c r="BS132" s="201"/>
      <c r="BT132" s="201"/>
      <c r="BU132" s="201"/>
      <c r="BV132" s="396"/>
      <c r="BW132" s="396"/>
      <c r="BX132" s="396"/>
      <c r="BY132" s="201"/>
      <c r="BZ132" s="201"/>
      <c r="CA132" s="201"/>
      <c r="CB132" s="396"/>
      <c r="CC132" s="396"/>
      <c r="CD132" s="396"/>
      <c r="CE132" s="201"/>
      <c r="CF132" s="201"/>
      <c r="CG132" s="201"/>
      <c r="CH132" s="396"/>
      <c r="CI132" s="396"/>
      <c r="CJ132" s="396"/>
      <c r="CK132" s="201"/>
      <c r="CL132" s="201"/>
      <c r="CM132" s="201"/>
      <c r="CN132" s="396"/>
      <c r="CO132" s="396"/>
      <c r="CP132" s="396"/>
      <c r="CQ132" s="201"/>
      <c r="CR132" s="201"/>
      <c r="CS132" s="201"/>
      <c r="CT132" s="396"/>
      <c r="CU132" s="396"/>
      <c r="CV132" s="396"/>
      <c r="CW132" s="201"/>
      <c r="CX132" s="201"/>
      <c r="CY132" s="205"/>
      <c r="CZ132" s="396"/>
      <c r="DA132" s="396"/>
      <c r="DB132" s="396"/>
      <c r="DC132" s="201"/>
      <c r="DD132" s="201"/>
      <c r="DE132" s="201"/>
      <c r="DF132" s="396"/>
      <c r="DG132" s="396"/>
      <c r="DH132" s="396"/>
      <c r="DI132" s="201"/>
      <c r="DJ132" s="201"/>
      <c r="DK132" s="201"/>
      <c r="DL132" s="396"/>
      <c r="DM132" s="396"/>
      <c r="DN132" s="396"/>
    </row>
    <row r="133" spans="2:118" x14ac:dyDescent="0.35">
      <c r="B133" s="201"/>
      <c r="C133" s="13"/>
      <c r="D133" s="201" t="s">
        <v>485</v>
      </c>
      <c r="E133" s="213">
        <v>25.4</v>
      </c>
      <c r="F133" s="201"/>
      <c r="G133" s="205">
        <f>E133/E127</f>
        <v>1</v>
      </c>
      <c r="H133" s="396"/>
      <c r="I133" s="396"/>
      <c r="J133" s="396"/>
      <c r="K133" s="213">
        <v>25.4</v>
      </c>
      <c r="L133" s="201"/>
      <c r="M133" s="205">
        <f>K133/K127</f>
        <v>1</v>
      </c>
      <c r="N133" s="396"/>
      <c r="O133" s="396"/>
      <c r="P133" s="396"/>
      <c r="Q133" s="213">
        <v>25.4</v>
      </c>
      <c r="R133" s="201"/>
      <c r="S133" s="205">
        <f>Q133/Q127</f>
        <v>1</v>
      </c>
      <c r="T133" s="396"/>
      <c r="U133" s="396"/>
      <c r="V133" s="396"/>
      <c r="W133" s="213">
        <v>25.4</v>
      </c>
      <c r="X133" s="201"/>
      <c r="Y133" s="205">
        <f>W133/W127</f>
        <v>1</v>
      </c>
      <c r="Z133" s="396"/>
      <c r="AA133" s="396"/>
      <c r="AB133" s="396"/>
      <c r="AC133" s="213">
        <v>25.4</v>
      </c>
      <c r="AD133" s="201"/>
      <c r="AE133" s="205">
        <f>AC133/AC127</f>
        <v>1</v>
      </c>
      <c r="AF133" s="396"/>
      <c r="AG133" s="396"/>
      <c r="AH133" s="396"/>
      <c r="AI133" s="213">
        <v>25.4</v>
      </c>
      <c r="AJ133" s="201"/>
      <c r="AK133" s="205">
        <f>AI133/AI127</f>
        <v>1</v>
      </c>
      <c r="AL133" s="396"/>
      <c r="AM133" s="396"/>
      <c r="AN133" s="396"/>
      <c r="AO133" s="213">
        <v>25.4</v>
      </c>
      <c r="AP133" s="201"/>
      <c r="AQ133" s="205">
        <f>AO133/AO127</f>
        <v>1</v>
      </c>
      <c r="AR133" s="396"/>
      <c r="AS133" s="396"/>
      <c r="AT133" s="396"/>
      <c r="AU133" s="213">
        <v>25.4</v>
      </c>
      <c r="AV133" s="201"/>
      <c r="AW133" s="205">
        <f>AU133/AU127</f>
        <v>1</v>
      </c>
      <c r="AX133" s="396"/>
      <c r="AY133" s="396"/>
      <c r="AZ133" s="396"/>
      <c r="BA133" s="213">
        <v>25.4</v>
      </c>
      <c r="BB133" s="201"/>
      <c r="BC133" s="205">
        <f>BA133/BA127</f>
        <v>1</v>
      </c>
      <c r="BD133" s="396"/>
      <c r="BE133" s="396"/>
      <c r="BF133" s="396"/>
      <c r="BG133" s="213">
        <v>25.4</v>
      </c>
      <c r="BH133" s="201"/>
      <c r="BI133" s="205">
        <f>BG133/BG127</f>
        <v>1</v>
      </c>
      <c r="BJ133" s="396"/>
      <c r="BK133" s="396"/>
      <c r="BL133" s="396"/>
      <c r="BM133" s="213">
        <v>25.4</v>
      </c>
      <c r="BN133" s="201"/>
      <c r="BO133" s="205">
        <f>BM133/BM127</f>
        <v>1</v>
      </c>
      <c r="BP133" s="396"/>
      <c r="BQ133" s="396"/>
      <c r="BR133" s="396"/>
      <c r="BS133" s="213">
        <v>25.4</v>
      </c>
      <c r="BT133" s="201"/>
      <c r="BU133" s="205">
        <f>BS133/BS127</f>
        <v>1</v>
      </c>
      <c r="BV133" s="396"/>
      <c r="BW133" s="396"/>
      <c r="BX133" s="396"/>
      <c r="BY133" s="213">
        <v>25.4</v>
      </c>
      <c r="BZ133" s="201"/>
      <c r="CA133" s="205">
        <f>BY133/BY127</f>
        <v>1</v>
      </c>
      <c r="CB133" s="396"/>
      <c r="CC133" s="396"/>
      <c r="CD133" s="396"/>
      <c r="CE133" s="213">
        <v>25.4</v>
      </c>
      <c r="CF133" s="201"/>
      <c r="CG133" s="205">
        <f>CE133/CE127</f>
        <v>1</v>
      </c>
      <c r="CH133" s="396"/>
      <c r="CI133" s="396"/>
      <c r="CJ133" s="396"/>
      <c r="CK133" s="213">
        <v>25.4</v>
      </c>
      <c r="CL133" s="201"/>
      <c r="CM133" s="205">
        <f>CK133/CK127</f>
        <v>1</v>
      </c>
      <c r="CN133" s="396"/>
      <c r="CO133" s="396"/>
      <c r="CP133" s="396"/>
      <c r="CQ133" s="213">
        <v>25.4</v>
      </c>
      <c r="CR133" s="201"/>
      <c r="CS133" s="205">
        <f>CQ133/CQ127</f>
        <v>1</v>
      </c>
      <c r="CT133" s="396"/>
      <c r="CU133" s="396"/>
      <c r="CV133" s="396"/>
      <c r="CW133" s="201"/>
      <c r="CX133" s="201"/>
      <c r="CY133" s="201"/>
      <c r="CZ133" s="396"/>
      <c r="DA133" s="396"/>
      <c r="DB133" s="396"/>
      <c r="DC133" s="213">
        <v>25.4</v>
      </c>
      <c r="DD133" s="201"/>
      <c r="DE133" s="205">
        <f>DC133/DC127</f>
        <v>1</v>
      </c>
      <c r="DF133" s="396"/>
      <c r="DG133" s="396"/>
      <c r="DH133" s="396"/>
      <c r="DI133" s="213">
        <v>25.4</v>
      </c>
      <c r="DJ133" s="201"/>
      <c r="DK133" s="205">
        <f>DI133/DI127</f>
        <v>1</v>
      </c>
      <c r="DL133" s="396"/>
      <c r="DM133" s="396"/>
      <c r="DN133" s="396"/>
    </row>
    <row r="134" spans="2:118" x14ac:dyDescent="0.35">
      <c r="B134" s="201"/>
      <c r="C134" s="13"/>
      <c r="D134" s="201" t="s">
        <v>478</v>
      </c>
      <c r="E134" s="202">
        <v>0</v>
      </c>
      <c r="F134" s="205">
        <f>IF(AND(ISNUMBER(E127),ISNUMBER(E133)),E134*G134,0)</f>
        <v>0</v>
      </c>
      <c r="G134" s="205">
        <f>IF(G133&gt;5,IF(D44&lt;=2500,(1.2+160/D44)*((D29/E127)^4-1),(0.6+0.48*D46)*(D29/E127)^2*((D29/E127)^2-1))+IF(D44&lt;4000,2*(1-(E127/D29)^4),(1+0.8*D46)*(1-(D29/E127)^2)^2),G129*(0.584+(0.0936/(G133^1.5+0.225))))</f>
        <v>2363.5779758624617</v>
      </c>
      <c r="H134" s="396"/>
      <c r="I134" s="396"/>
      <c r="J134" s="396"/>
      <c r="K134" s="202">
        <v>0</v>
      </c>
      <c r="L134" s="205">
        <f>IF(AND(ISNUMBER(K127),ISNUMBER(K133)),K134*M134,0)</f>
        <v>0</v>
      </c>
      <c r="M134" s="205">
        <f>IF(M133&gt;5,IF(J44&lt;=2500,(1.2+160/J44)*((J29/K127)^4-1),(0.6+0.48*J46)*(J29/K127)^2*((J29/K127)^2-1))+IF(J44&lt;4000,2*(1-(K127/J29)^4),(1+0.8*J46)*(1-(J29/K127)^2)^2),M129*(0.584+(0.0936/(M133^1.5+0.225))))</f>
        <v>2363.5780253780931</v>
      </c>
      <c r="N134" s="396"/>
      <c r="O134" s="396"/>
      <c r="P134" s="396"/>
      <c r="Q134" s="202">
        <v>0</v>
      </c>
      <c r="R134" s="205">
        <f>IF(AND(ISNUMBER(Q127),ISNUMBER(Q133)),Q134*S134,0)</f>
        <v>0</v>
      </c>
      <c r="S134" s="205">
        <f>IF(S133&gt;5,IF(P44&lt;=2500,(1.2+160/P44)*((P29/Q127)^4-1),(0.6+0.48*P46)*(P29/Q127)^2*((P29/Q127)^2-1))+IF(P44&lt;4000,2*(1-(Q127/P29)^4),(1+0.8*P46)*(1-(P29/Q127)^2)^2),S129*(0.584+(0.0936/(S133^1.5+0.225))))</f>
        <v>2363.5780253780931</v>
      </c>
      <c r="T134" s="396"/>
      <c r="U134" s="396"/>
      <c r="V134" s="396"/>
      <c r="W134" s="202">
        <v>0</v>
      </c>
      <c r="X134" s="205">
        <f>IF(AND(ISNUMBER(W127),ISNUMBER(W133)),W134*Y134,0)</f>
        <v>0</v>
      </c>
      <c r="Y134" s="205">
        <f>IF(Y133&gt;5,IF(V44&lt;=2500,(1.2+160/V44)*((V29/W127)^4-1),(0.6+0.48*V46)*(V29/W127)^2*((V29/W127)^2-1))+IF(V44&lt;4000,2*(1-(W127/V29)^4),(1+0.8*V46)*(1-(V29/W127)^2)^2),Y129*(0.584+(0.0936/(Y133^1.5+0.225))))</f>
        <v>2363.1908112300748</v>
      </c>
      <c r="Z134" s="396"/>
      <c r="AA134" s="396"/>
      <c r="AB134" s="396"/>
      <c r="AC134" s="202">
        <v>0</v>
      </c>
      <c r="AD134" s="205">
        <f>IF(AND(ISNUMBER(AC127),ISNUMBER(AC133)),AC134*AE134,0)</f>
        <v>0</v>
      </c>
      <c r="AE134" s="205">
        <f>IF(AE133&gt;5,IF(AB44&lt;=2500,(1.2+160/AB44)*((AB29/AC127)^4-1),(0.6+0.48*AB46)*(AB29/AC127)^2*((AB29/AC127)^2-1))+IF(AB44&lt;4000,2*(1-(AC127/AB29)^4),(1+0.8*AB46)*(1-(AB29/AC127)^2)^2),AE129*(0.584+(0.0936/(AE133^1.5+0.225))))</f>
        <v>441.25799019940513</v>
      </c>
      <c r="AF134" s="396"/>
      <c r="AG134" s="396"/>
      <c r="AH134" s="396"/>
      <c r="AI134" s="202">
        <v>0</v>
      </c>
      <c r="AJ134" s="205">
        <f>IF(AND(ISNUMBER(AI127),ISNUMBER(AI133)),AI134*AK134,0)</f>
        <v>0</v>
      </c>
      <c r="AK134" s="205">
        <f>IF(AK133&gt;5,IF(#REF!&lt;=2500,(1.2+160/#REF!)*((#REF!/AI127)^4-1),(0.6+0.48*#REF!)*(#REF!/AI127)^2*((#REF!/AI127)^2-1))+IF(#REF!&lt;4000,2*(1-(AI127/#REF!)^4),(1+0.8*#REF!)*(1-(#REF!/AI127)^2)^2),AK129*(0.584+(0.0936/(AK133^1.5+0.225))))</f>
        <v>441.25799019940513</v>
      </c>
      <c r="AL134" s="396"/>
      <c r="AM134" s="396"/>
      <c r="AN134" s="396"/>
      <c r="AO134" s="202">
        <v>0</v>
      </c>
      <c r="AP134" s="205">
        <f>IF(AND(ISNUMBER(AO127),ISNUMBER(AO133)),AO134*AQ134,0)</f>
        <v>0</v>
      </c>
      <c r="AQ134" s="205">
        <f>IF(AQ133&gt;5,IF(AN44&lt;=2500,(1.2+160/AN44)*((AN29/AO127)^4-1),(0.6+0.48*AN46)*(AN29/AO127)^2*((AN29/AO127)^2-1))+IF(AN44&lt;4000,2*(1-(AO127/AN29)^4),(1+0.8*AN46)*(1-(AN29/AO127)^2)^2),AQ129*(0.584+(0.0936/(AQ133^1.5+0.225))))</f>
        <v>441.25799019940513</v>
      </c>
      <c r="AR134" s="396"/>
      <c r="AS134" s="396"/>
      <c r="AT134" s="396"/>
      <c r="AU134" s="202">
        <v>0</v>
      </c>
      <c r="AV134" s="205">
        <f>IF(AND(ISNUMBER(AU127),ISNUMBER(AU133)),AU134*AW134,0)</f>
        <v>0</v>
      </c>
      <c r="AW134" s="205">
        <f>IF(AW133&gt;5,IF(AT44&lt;=2500,(1.2+160/AT44)*((AT29/AU127)^4-1),(0.6+0.48*AT46)*(AT29/AU127)^2*((AT29/AU127)^2-1))+IF(AT44&lt;4000,2*(1-(AU127/AT29)^4),(1+0.8*AT46)*(1-(AT29/AU127)^2)^2),AW129*(0.584+(0.0936/(AW133^1.5+0.225))))</f>
        <v>441.25802789917623</v>
      </c>
      <c r="AX134" s="396"/>
      <c r="AY134" s="396"/>
      <c r="AZ134" s="396"/>
      <c r="BA134" s="202">
        <v>0</v>
      </c>
      <c r="BB134" s="205">
        <f>IF(AND(ISNUMBER(BA127),ISNUMBER(BA133)),BA134*BC134,0)</f>
        <v>0</v>
      </c>
      <c r="BC134" s="205">
        <f>IF(BC133&gt;5,IF(AZ44&lt;=2500,(1.2+160/AZ44)*((AZ29/BA127)^4-1),(0.6+0.48*AZ46)*(AZ29/BA127)^2*((AZ29/BA127)^2-1))+IF(AZ44&lt;4000,2*(1-(BA127/AZ29)^4),(1+0.8*AZ46)*(1-(AZ29/BA127)^2)^2),BC129*(0.584+(0.0936/(BC133^1.5+0.225))))</f>
        <v>441.25802789917623</v>
      </c>
      <c r="BD134" s="396"/>
      <c r="BE134" s="396"/>
      <c r="BF134" s="396"/>
      <c r="BG134" s="202">
        <v>0</v>
      </c>
      <c r="BH134" s="205">
        <f>IF(AND(ISNUMBER(BG127),ISNUMBER(BG133)),BG134*BI134,0)</f>
        <v>0</v>
      </c>
      <c r="BI134" s="205">
        <f>IF(BI133&gt;5,IF(BF44&lt;=2500,(1.2+160/BF44)*((BF29/BG127)^4-1),(0.6+0.48*BF46)*(BF29/BG127)^2*((BF29/BG127)^2-1))+IF(BF44&lt;4000,2*(1-(BG127/BF29)^4),(1+0.8*BF46)*(1-(BF29/BG127)^2)^2),BI129*(0.584+(0.0936/(BI133^1.5+0.225))))</f>
        <v>441.25802789917623</v>
      </c>
      <c r="BJ134" s="396"/>
      <c r="BK134" s="396"/>
      <c r="BL134" s="396"/>
      <c r="BM134" s="202">
        <v>0</v>
      </c>
      <c r="BN134" s="205">
        <f>IF(AND(ISNUMBER(BM127),ISNUMBER(BM133)),BM134*BO134,0)</f>
        <v>0</v>
      </c>
      <c r="BO134" s="205">
        <f>IF(BO133&gt;5,IF(BL44&lt;=2500,(1.2+160/BL44)*((BL29/BM127)^4-1),(0.6+0.48*BL46)*(BL29/BM127)^2*((BL29/BM127)^2-1))+IF(BL44&lt;4000,2*(1-(BM127/BL29)^4),(1+0.8*BL46)*(1-(BL29/BM127)^2)^2),BO129*(0.584+(0.0936/(BO133^1.5+0.225))))</f>
        <v>7174.9507499619604</v>
      </c>
      <c r="BP134" s="396"/>
      <c r="BQ134" s="396"/>
      <c r="BR134" s="396"/>
      <c r="BS134" s="202">
        <v>0</v>
      </c>
      <c r="BT134" s="205">
        <f>IF(AND(ISNUMBER(BS127),ISNUMBER(BS133)),BS134*BU134,0)</f>
        <v>0</v>
      </c>
      <c r="BU134" s="205">
        <f>IF(BU133&gt;5,IF(BR44&lt;=2500,(1.2+160/BR44)*((BR29/BS127)^4-1),(0.6+0.48*BR46)*(BR29/BS127)^2*((BR29/BS127)^2-1))+IF(BR44&lt;4000,2*(1-(BS127/BR29)^4),(1+0.8*BR46)*(1-(BR29/BS127)^2)^2),BU129*(0.584+(0.0936/(BU133^1.5+0.225))))</f>
        <v>7174.2049070249259</v>
      </c>
      <c r="BV134" s="396"/>
      <c r="BW134" s="396"/>
      <c r="BX134" s="396"/>
      <c r="BY134" s="202">
        <v>0</v>
      </c>
      <c r="BZ134" s="205">
        <f>IF(AND(ISNUMBER(BY127),ISNUMBER(BY133)),BY134*CA134,0)</f>
        <v>0</v>
      </c>
      <c r="CA134" s="205">
        <f>IF(CA133&gt;5,IF(BX44&lt;=2500,(1.2+160/BX44)*((BX29/BY127)^4-1),(0.6+0.48*BX46)*(BX29/BY127)^2*((BX29/BY127)^2-1))+IF(BX44&lt;4000,2*(1-(BY127/BX29)^4),(1+0.8*BX46)*(1-(BX29/BY127)^2)^2),CA129*(0.584+(0.0936/(CA133^1.5+0.225))))</f>
        <v>441.41449331646095</v>
      </c>
      <c r="CB134" s="396"/>
      <c r="CC134" s="396"/>
      <c r="CD134" s="396"/>
      <c r="CE134" s="202">
        <v>0</v>
      </c>
      <c r="CF134" s="205">
        <f>IF(AND(ISNUMBER(CE127),ISNUMBER(CE133)),CE134*CG134,0)</f>
        <v>0</v>
      </c>
      <c r="CG134" s="205">
        <f>IF(CG133&gt;5,IF(CD44&lt;=2500,(1.2+160/CD44)*((CD29/CE127)^4-1),(0.6+0.48*CD46)*(CD29/CE127)^2*((CD29/CE127)^2-1))+IF(CD44&lt;4000,2*(1-(CE127/CD29)^4),(1+0.8*CD46)*(1-(CD29/CE127)^2)^2),CG129*(0.584+(0.0936/(CG133^1.5+0.225))))</f>
        <v>441.41449331646095</v>
      </c>
      <c r="CH134" s="396"/>
      <c r="CI134" s="396"/>
      <c r="CJ134" s="396"/>
      <c r="CK134" s="202">
        <v>0</v>
      </c>
      <c r="CL134" s="205">
        <f>IF(AND(ISNUMBER(CK127),ISNUMBER(CK133)),CK134*CM134,0)</f>
        <v>0</v>
      </c>
      <c r="CM134" s="205">
        <f>IF(CM133&gt;5,IF(CJ44&lt;=2500,(1.2+160/CJ44)*((CJ29/CK127)^4-1),(0.6+0.48*CJ46)*(CJ29/CK127)^2*((CJ29/CK127)^2-1))+IF(CJ44&lt;4000,2*(1-(CK127/CJ29)^4),(1+0.8*CJ46)*(1-(CJ29/CK127)^2)^2),CM129*(0.584+(0.0936/(CM133^1.5+0.225))))</f>
        <v>110.58717516001241</v>
      </c>
      <c r="CN134" s="396"/>
      <c r="CO134" s="396"/>
      <c r="CP134" s="396"/>
      <c r="CQ134" s="202">
        <v>0</v>
      </c>
      <c r="CR134" s="205">
        <f>IF(AND(ISNUMBER(CQ127),ISNUMBER(CQ133)),CQ134*CS134,0)</f>
        <v>0</v>
      </c>
      <c r="CS134" s="205">
        <f>IF(CS133&gt;5,IF(CP44&lt;=2500,(1.2+160/CP44)*((CP29/CQ127)^4-1),(0.6+0.48*CP46)*(CP29/CQ127)^2*((CP29/CQ127)^2-1))+IF(CP44&lt;4000,2*(1-(CQ127/CP29)^4),(1+0.8*CP46)*(1-(CP29/CQ127)^2)^2),CS129*(0.584+(0.0936/(CS133^1.5+0.225))))</f>
        <v>110.58717516001241</v>
      </c>
      <c r="CT134" s="396"/>
      <c r="CU134" s="396"/>
      <c r="CV134" s="396"/>
      <c r="CW134" s="213">
        <v>25.4</v>
      </c>
      <c r="CX134" s="201"/>
      <c r="CY134" s="205">
        <f>CW134/CW128</f>
        <v>1</v>
      </c>
      <c r="CZ134" s="396"/>
      <c r="DA134" s="396"/>
      <c r="DB134" s="396"/>
      <c r="DC134" s="202">
        <v>0</v>
      </c>
      <c r="DD134" s="205">
        <f>IF(AND(ISNUMBER(DC127),ISNUMBER(DC133)),DC134*DE134,0)</f>
        <v>0</v>
      </c>
      <c r="DE134" s="205">
        <f>IF(DE133&gt;5,IF(DB44&lt;=2500,(1.2+160/DB44)*((DB29/DC127)^4-1),(0.6+0.48*DB46)*(DB29/DC127)^2*((DB29/DC127)^2-1))+IF(DB44&lt;4000,2*(1-(DC127/DB29)^4),(1+0.8*DB46)*(1-(DB29/DC127)^2)^2),DE129*(0.584+(0.0936/(DE133^1.5+0.225))))</f>
        <v>110.58717516001241</v>
      </c>
      <c r="DF134" s="396"/>
      <c r="DG134" s="396"/>
      <c r="DH134" s="396"/>
      <c r="DI134" s="202">
        <v>0</v>
      </c>
      <c r="DJ134" s="205">
        <f>IF(AND(ISNUMBER(DI127),ISNUMBER(DI133)),DI134*DK134,0)</f>
        <v>0</v>
      </c>
      <c r="DK134" s="205">
        <f>IF(DK133&gt;5,IF(DH44&lt;=2500,(1.2+160/DH44)*((DH29/DI127)^4-1),(0.6+0.48*DH46)*(DH29/DI127)^2*((DH29/DI127)^2-1))+IF(DH44&lt;4000,2*(1-(DI127/DH29)^4),(1+0.8*DH46)*(1-(DH29/DI127)^2)^2),DK129*(0.584+(0.0936/(DK133^1.5+0.225))))</f>
        <v>110.58717516001241</v>
      </c>
      <c r="DL134" s="396"/>
      <c r="DM134" s="396"/>
      <c r="DN134" s="396"/>
    </row>
    <row r="135" spans="2:118" x14ac:dyDescent="0.35">
      <c r="B135" s="201"/>
      <c r="C135" s="201"/>
      <c r="D135" s="201"/>
      <c r="E135" s="201"/>
      <c r="F135" s="201"/>
      <c r="G135" s="205"/>
      <c r="H135" s="396"/>
      <c r="I135" s="396"/>
      <c r="J135" s="396"/>
      <c r="K135" s="201"/>
      <c r="L135" s="201"/>
      <c r="M135" s="205"/>
      <c r="N135" s="396"/>
      <c r="O135" s="396"/>
      <c r="P135" s="396"/>
      <c r="Q135" s="201"/>
      <c r="R135" s="201"/>
      <c r="S135" s="205"/>
      <c r="T135" s="396"/>
      <c r="U135" s="396"/>
      <c r="V135" s="396"/>
      <c r="W135" s="201"/>
      <c r="X135" s="201"/>
      <c r="Y135" s="205"/>
      <c r="Z135" s="396"/>
      <c r="AA135" s="396"/>
      <c r="AB135" s="396"/>
      <c r="AC135" s="201"/>
      <c r="AD135" s="201"/>
      <c r="AE135" s="205"/>
      <c r="AF135" s="396"/>
      <c r="AG135" s="396"/>
      <c r="AH135" s="396"/>
      <c r="AI135" s="201"/>
      <c r="AJ135" s="201"/>
      <c r="AK135" s="205"/>
      <c r="AL135" s="396"/>
      <c r="AM135" s="396"/>
      <c r="AN135" s="396"/>
      <c r="AO135" s="201"/>
      <c r="AP135" s="201"/>
      <c r="AQ135" s="205"/>
      <c r="AR135" s="396"/>
      <c r="AS135" s="396"/>
      <c r="AT135" s="396"/>
      <c r="AU135" s="201"/>
      <c r="AV135" s="201"/>
      <c r="AW135" s="205"/>
      <c r="AX135" s="396"/>
      <c r="AY135" s="396"/>
      <c r="AZ135" s="396"/>
      <c r="BA135" s="201"/>
      <c r="BB135" s="201"/>
      <c r="BC135" s="205"/>
      <c r="BD135" s="396"/>
      <c r="BE135" s="396"/>
      <c r="BF135" s="396"/>
      <c r="BG135" s="201"/>
      <c r="BH135" s="201"/>
      <c r="BI135" s="205"/>
      <c r="BJ135" s="396"/>
      <c r="BK135" s="396"/>
      <c r="BL135" s="396"/>
      <c r="BM135" s="201"/>
      <c r="BN135" s="201"/>
      <c r="BO135" s="205"/>
      <c r="BP135" s="396"/>
      <c r="BQ135" s="396"/>
      <c r="BR135" s="396"/>
      <c r="BS135" s="201"/>
      <c r="BT135" s="201"/>
      <c r="BU135" s="205"/>
      <c r="BV135" s="396"/>
      <c r="BW135" s="396"/>
      <c r="BX135" s="396"/>
      <c r="BY135" s="201"/>
      <c r="BZ135" s="201"/>
      <c r="CA135" s="205"/>
      <c r="CB135" s="396"/>
      <c r="CC135" s="396"/>
      <c r="CD135" s="396"/>
      <c r="CE135" s="201"/>
      <c r="CF135" s="201"/>
      <c r="CG135" s="205"/>
      <c r="CH135" s="396"/>
      <c r="CI135" s="396"/>
      <c r="CJ135" s="396"/>
      <c r="CK135" s="201"/>
      <c r="CL135" s="201"/>
      <c r="CM135" s="205"/>
      <c r="CN135" s="396"/>
      <c r="CO135" s="396"/>
      <c r="CP135" s="396"/>
      <c r="CQ135" s="201"/>
      <c r="CR135" s="201"/>
      <c r="CS135" s="205"/>
      <c r="CT135" s="396"/>
      <c r="CU135" s="396"/>
      <c r="CV135" s="396"/>
      <c r="CW135" s="202">
        <v>0</v>
      </c>
      <c r="CX135" s="205" t="e">
        <f>IF(AND(ISNUMBER(CW128),ISNUMBER(CW134)),CW135*CY135,0)</f>
        <v>#VALUE!</v>
      </c>
      <c r="CY135" s="205" t="e">
        <f>IF(CY134&gt;5,IF(CV45&lt;=2500,(1.2+160/CV45)*((CV30/CW128)^4-1),(0.6+0.48*CV47)*(CV30/CW128)^2*((CV30/CW128)^2-1))+IF(CV45&lt;4000,2*(1-(CW128/CV30)^4),(1+0.8*CV47)*(1-(CV30/CW128)^2)^2),CY130*(0.584+(0.0936/(CY134^1.5+0.225))))</f>
        <v>#VALUE!</v>
      </c>
      <c r="CZ135" s="396"/>
      <c r="DA135" s="396"/>
      <c r="DB135" s="396"/>
      <c r="DC135" s="201"/>
      <c r="DD135" s="201"/>
      <c r="DE135" s="205"/>
      <c r="DF135" s="396"/>
      <c r="DG135" s="396"/>
      <c r="DH135" s="396"/>
      <c r="DI135" s="201"/>
      <c r="DJ135" s="201"/>
      <c r="DK135" s="205"/>
      <c r="DL135" s="396"/>
      <c r="DM135" s="396"/>
      <c r="DN135" s="396"/>
    </row>
    <row r="136" spans="2:118" x14ac:dyDescent="0.35">
      <c r="B136" s="203" t="s">
        <v>486</v>
      </c>
      <c r="C136" s="203"/>
      <c r="D136" s="201" t="s">
        <v>514</v>
      </c>
      <c r="E136" s="213">
        <v>3</v>
      </c>
      <c r="F136" s="201"/>
      <c r="G136" s="201"/>
      <c r="H136" s="396"/>
      <c r="I136" s="396"/>
      <c r="J136" s="396"/>
      <c r="K136" s="213">
        <v>3</v>
      </c>
      <c r="L136" s="201"/>
      <c r="M136" s="201"/>
      <c r="N136" s="396"/>
      <c r="O136" s="396"/>
      <c r="P136" s="396"/>
      <c r="Q136" s="213">
        <v>3</v>
      </c>
      <c r="R136" s="201"/>
      <c r="S136" s="201"/>
      <c r="T136" s="396"/>
      <c r="U136" s="396"/>
      <c r="V136" s="396"/>
      <c r="W136" s="213">
        <v>3</v>
      </c>
      <c r="X136" s="201"/>
      <c r="Y136" s="201"/>
      <c r="Z136" s="396"/>
      <c r="AA136" s="396"/>
      <c r="AB136" s="396"/>
      <c r="AC136" s="213">
        <v>3</v>
      </c>
      <c r="AD136" s="201"/>
      <c r="AE136" s="201"/>
      <c r="AF136" s="396"/>
      <c r="AG136" s="396"/>
      <c r="AH136" s="396"/>
      <c r="AI136" s="213">
        <v>3</v>
      </c>
      <c r="AJ136" s="201"/>
      <c r="AK136" s="201"/>
      <c r="AL136" s="396"/>
      <c r="AM136" s="396"/>
      <c r="AN136" s="396"/>
      <c r="AO136" s="213">
        <v>3</v>
      </c>
      <c r="AP136" s="201"/>
      <c r="AQ136" s="201"/>
      <c r="AR136" s="396"/>
      <c r="AS136" s="396"/>
      <c r="AT136" s="396"/>
      <c r="AU136" s="213">
        <v>3</v>
      </c>
      <c r="AV136" s="201"/>
      <c r="AW136" s="201"/>
      <c r="AX136" s="396"/>
      <c r="AY136" s="396"/>
      <c r="AZ136" s="396"/>
      <c r="BA136" s="213">
        <v>3</v>
      </c>
      <c r="BB136" s="201"/>
      <c r="BC136" s="201"/>
      <c r="BD136" s="396"/>
      <c r="BE136" s="396"/>
      <c r="BF136" s="396"/>
      <c r="BG136" s="213">
        <v>3</v>
      </c>
      <c r="BH136" s="201"/>
      <c r="BI136" s="201"/>
      <c r="BJ136" s="396"/>
      <c r="BK136" s="396"/>
      <c r="BL136" s="396"/>
      <c r="BM136" s="213">
        <v>3</v>
      </c>
      <c r="BN136" s="201"/>
      <c r="BO136" s="201"/>
      <c r="BP136" s="396"/>
      <c r="BQ136" s="396"/>
      <c r="BR136" s="396"/>
      <c r="BS136" s="213">
        <v>3</v>
      </c>
      <c r="BT136" s="201"/>
      <c r="BU136" s="201"/>
      <c r="BV136" s="396"/>
      <c r="BW136" s="396"/>
      <c r="BX136" s="396"/>
      <c r="BY136" s="213">
        <v>3</v>
      </c>
      <c r="BZ136" s="201"/>
      <c r="CA136" s="201"/>
      <c r="CB136" s="396"/>
      <c r="CC136" s="396"/>
      <c r="CD136" s="396"/>
      <c r="CE136" s="213">
        <v>3</v>
      </c>
      <c r="CF136" s="201"/>
      <c r="CG136" s="201"/>
      <c r="CH136" s="396"/>
      <c r="CI136" s="396"/>
      <c r="CJ136" s="396"/>
      <c r="CK136" s="213">
        <v>3</v>
      </c>
      <c r="CL136" s="201"/>
      <c r="CM136" s="201"/>
      <c r="CN136" s="396"/>
      <c r="CO136" s="396"/>
      <c r="CP136" s="396"/>
      <c r="CQ136" s="213">
        <v>3</v>
      </c>
      <c r="CR136" s="201"/>
      <c r="CS136" s="201"/>
      <c r="CT136" s="396"/>
      <c r="CU136" s="396"/>
      <c r="CV136" s="396"/>
      <c r="CW136" s="201"/>
      <c r="CX136" s="201"/>
      <c r="CY136" s="205"/>
      <c r="CZ136" s="396"/>
      <c r="DA136" s="396"/>
      <c r="DB136" s="396"/>
      <c r="DC136" s="213">
        <v>3</v>
      </c>
      <c r="DD136" s="201"/>
      <c r="DE136" s="201"/>
      <c r="DF136" s="396"/>
      <c r="DG136" s="396"/>
      <c r="DH136" s="396"/>
      <c r="DI136" s="213">
        <v>3</v>
      </c>
      <c r="DJ136" s="201"/>
      <c r="DK136" s="201"/>
      <c r="DL136" s="396"/>
      <c r="DM136" s="396"/>
      <c r="DN136" s="396"/>
    </row>
    <row r="137" spans="2:118" ht="14.5" hidden="1" customHeight="1" x14ac:dyDescent="0.35">
      <c r="B137" s="203"/>
      <c r="C137" s="203"/>
      <c r="D137" s="201"/>
      <c r="E137" s="213">
        <f>E136*25.4</f>
        <v>76.199999999999989</v>
      </c>
      <c r="F137" s="201"/>
      <c r="G137" s="201"/>
      <c r="H137" s="396"/>
      <c r="I137" s="396"/>
      <c r="J137" s="396"/>
      <c r="K137" s="213">
        <f>K136*25.4</f>
        <v>76.199999999999989</v>
      </c>
      <c r="L137" s="201"/>
      <c r="M137" s="201"/>
      <c r="N137" s="396"/>
      <c r="O137" s="396"/>
      <c r="P137" s="396"/>
      <c r="Q137" s="213">
        <f>Q136*25.4</f>
        <v>76.199999999999989</v>
      </c>
      <c r="R137" s="201"/>
      <c r="S137" s="201"/>
      <c r="T137" s="396"/>
      <c r="U137" s="396"/>
      <c r="V137" s="396"/>
      <c r="W137" s="213">
        <f>W136*25.4</f>
        <v>76.199999999999989</v>
      </c>
      <c r="X137" s="201"/>
      <c r="Y137" s="201"/>
      <c r="Z137" s="396"/>
      <c r="AA137" s="396"/>
      <c r="AB137" s="396"/>
      <c r="AC137" s="213">
        <f>AC136*25.4</f>
        <v>76.199999999999989</v>
      </c>
      <c r="AD137" s="201"/>
      <c r="AE137" s="201"/>
      <c r="AF137" s="396"/>
      <c r="AG137" s="396"/>
      <c r="AH137" s="396"/>
      <c r="AI137" s="213">
        <f>AI136*25.4</f>
        <v>76.199999999999989</v>
      </c>
      <c r="AJ137" s="201"/>
      <c r="AK137" s="201"/>
      <c r="AL137" s="396"/>
      <c r="AM137" s="396"/>
      <c r="AN137" s="396"/>
      <c r="AO137" s="213">
        <f>AO136*25.4</f>
        <v>76.199999999999989</v>
      </c>
      <c r="AP137" s="201"/>
      <c r="AQ137" s="201"/>
      <c r="AR137" s="396"/>
      <c r="AS137" s="396"/>
      <c r="AT137" s="396"/>
      <c r="AU137" s="213">
        <f>AU136*25.4</f>
        <v>76.199999999999989</v>
      </c>
      <c r="AV137" s="201"/>
      <c r="AW137" s="201"/>
      <c r="AX137" s="396"/>
      <c r="AY137" s="396"/>
      <c r="AZ137" s="396"/>
      <c r="BA137" s="213">
        <f>BA136*25.4</f>
        <v>76.199999999999989</v>
      </c>
      <c r="BB137" s="201"/>
      <c r="BC137" s="201"/>
      <c r="BD137" s="396"/>
      <c r="BE137" s="396"/>
      <c r="BF137" s="396"/>
      <c r="BG137" s="213">
        <f>BG136*25.4</f>
        <v>76.199999999999989</v>
      </c>
      <c r="BH137" s="201"/>
      <c r="BI137" s="201"/>
      <c r="BJ137" s="396"/>
      <c r="BK137" s="396"/>
      <c r="BL137" s="396"/>
      <c r="BM137" s="213">
        <f>BM136*25.4</f>
        <v>76.199999999999989</v>
      </c>
      <c r="BN137" s="201"/>
      <c r="BO137" s="201"/>
      <c r="BP137" s="396"/>
      <c r="BQ137" s="396"/>
      <c r="BR137" s="396"/>
      <c r="BS137" s="213">
        <f>BS136*25.4</f>
        <v>76.199999999999989</v>
      </c>
      <c r="BT137" s="201"/>
      <c r="BU137" s="201"/>
      <c r="BV137" s="396"/>
      <c r="BW137" s="396"/>
      <c r="BX137" s="396"/>
      <c r="BY137" s="213">
        <f>BY136*25.4</f>
        <v>76.199999999999989</v>
      </c>
      <c r="BZ137" s="201"/>
      <c r="CA137" s="201"/>
      <c r="CB137" s="396"/>
      <c r="CC137" s="396"/>
      <c r="CD137" s="396"/>
      <c r="CE137" s="213">
        <f>CE136*25.4</f>
        <v>76.199999999999989</v>
      </c>
      <c r="CF137" s="201"/>
      <c r="CG137" s="201"/>
      <c r="CH137" s="396"/>
      <c r="CI137" s="396"/>
      <c r="CJ137" s="396"/>
      <c r="CK137" s="213">
        <f>CK136*25.4</f>
        <v>76.199999999999989</v>
      </c>
      <c r="CL137" s="201"/>
      <c r="CM137" s="201"/>
      <c r="CN137" s="396"/>
      <c r="CO137" s="396"/>
      <c r="CP137" s="396"/>
      <c r="CQ137" s="213">
        <f>CQ136*25.4</f>
        <v>76.199999999999989</v>
      </c>
      <c r="CR137" s="201"/>
      <c r="CS137" s="201"/>
      <c r="CT137" s="396"/>
      <c r="CU137" s="396"/>
      <c r="CV137" s="396"/>
      <c r="CW137" s="213">
        <v>3</v>
      </c>
      <c r="CX137" s="201"/>
      <c r="CY137" s="201"/>
      <c r="CZ137" s="396"/>
      <c r="DA137" s="396"/>
      <c r="DB137" s="396"/>
      <c r="DC137" s="213">
        <f>DC136*25.4</f>
        <v>76.199999999999989</v>
      </c>
      <c r="DD137" s="201"/>
      <c r="DE137" s="201"/>
      <c r="DF137" s="396"/>
      <c r="DG137" s="396"/>
      <c r="DH137" s="396"/>
      <c r="DI137" s="213">
        <f>DI136*25.4</f>
        <v>76.199999999999989</v>
      </c>
      <c r="DJ137" s="201"/>
      <c r="DK137" s="201"/>
      <c r="DL137" s="396"/>
      <c r="DM137" s="396"/>
      <c r="DN137" s="396"/>
    </row>
    <row r="138" spans="2:118" x14ac:dyDescent="0.35">
      <c r="B138" s="208" t="s">
        <v>487</v>
      </c>
      <c r="C138" s="13"/>
      <c r="D138" s="13"/>
      <c r="E138" s="201"/>
      <c r="F138" s="201"/>
      <c r="G138" s="205"/>
      <c r="H138" s="396"/>
      <c r="I138" s="396"/>
      <c r="J138" s="396"/>
      <c r="K138" s="201"/>
      <c r="L138" s="201"/>
      <c r="M138" s="205"/>
      <c r="N138" s="396"/>
      <c r="O138" s="396"/>
      <c r="P138" s="396"/>
      <c r="Q138" s="201"/>
      <c r="R138" s="201"/>
      <c r="S138" s="205"/>
      <c r="T138" s="396"/>
      <c r="U138" s="396"/>
      <c r="V138" s="396"/>
      <c r="W138" s="201"/>
      <c r="X138" s="201"/>
      <c r="Y138" s="205"/>
      <c r="Z138" s="396"/>
      <c r="AA138" s="396"/>
      <c r="AB138" s="396"/>
      <c r="AC138" s="201"/>
      <c r="AD138" s="201"/>
      <c r="AE138" s="205"/>
      <c r="AF138" s="396"/>
      <c r="AG138" s="396"/>
      <c r="AH138" s="396"/>
      <c r="AI138" s="201"/>
      <c r="AJ138" s="201"/>
      <c r="AK138" s="205"/>
      <c r="AL138" s="396"/>
      <c r="AM138" s="396"/>
      <c r="AN138" s="396"/>
      <c r="AO138" s="201"/>
      <c r="AP138" s="201"/>
      <c r="AQ138" s="205"/>
      <c r="AR138" s="396"/>
      <c r="AS138" s="396"/>
      <c r="AT138" s="396"/>
      <c r="AU138" s="201"/>
      <c r="AV138" s="201"/>
      <c r="AW138" s="205"/>
      <c r="AX138" s="396"/>
      <c r="AY138" s="396"/>
      <c r="AZ138" s="396"/>
      <c r="BA138" s="201"/>
      <c r="BB138" s="201"/>
      <c r="BC138" s="205"/>
      <c r="BD138" s="396"/>
      <c r="BE138" s="396"/>
      <c r="BF138" s="396"/>
      <c r="BG138" s="201"/>
      <c r="BH138" s="201"/>
      <c r="BI138" s="205"/>
      <c r="BJ138" s="396"/>
      <c r="BK138" s="396"/>
      <c r="BL138" s="396"/>
      <c r="BM138" s="201"/>
      <c r="BN138" s="201"/>
      <c r="BO138" s="205"/>
      <c r="BP138" s="396"/>
      <c r="BQ138" s="396"/>
      <c r="BR138" s="396"/>
      <c r="BS138" s="201"/>
      <c r="BT138" s="201"/>
      <c r="BU138" s="205"/>
      <c r="BV138" s="396"/>
      <c r="BW138" s="396"/>
      <c r="BX138" s="396"/>
      <c r="BY138" s="201"/>
      <c r="BZ138" s="201"/>
      <c r="CA138" s="205"/>
      <c r="CB138" s="396"/>
      <c r="CC138" s="396"/>
      <c r="CD138" s="396"/>
      <c r="CE138" s="201"/>
      <c r="CF138" s="201"/>
      <c r="CG138" s="205"/>
      <c r="CH138" s="396"/>
      <c r="CI138" s="396"/>
      <c r="CJ138" s="396"/>
      <c r="CK138" s="201"/>
      <c r="CL138" s="201"/>
      <c r="CM138" s="205"/>
      <c r="CN138" s="396"/>
      <c r="CO138" s="396"/>
      <c r="CP138" s="396"/>
      <c r="CQ138" s="201"/>
      <c r="CR138" s="201"/>
      <c r="CS138" s="205"/>
      <c r="CT138" s="396"/>
      <c r="CU138" s="396"/>
      <c r="CV138" s="396"/>
      <c r="CW138" s="213">
        <f>CW137*25.4</f>
        <v>76.199999999999989</v>
      </c>
      <c r="CX138" s="201"/>
      <c r="CY138" s="201"/>
      <c r="CZ138" s="396"/>
      <c r="DA138" s="396"/>
      <c r="DB138" s="396"/>
      <c r="DC138" s="201"/>
      <c r="DD138" s="201"/>
      <c r="DE138" s="205"/>
      <c r="DF138" s="396"/>
      <c r="DG138" s="396"/>
      <c r="DH138" s="396"/>
      <c r="DI138" s="201"/>
      <c r="DJ138" s="201"/>
      <c r="DK138" s="205"/>
      <c r="DL138" s="396"/>
      <c r="DM138" s="396"/>
      <c r="DN138" s="396"/>
    </row>
    <row r="139" spans="2:118" x14ac:dyDescent="0.35">
      <c r="B139" s="201"/>
      <c r="C139" s="13"/>
      <c r="D139" s="201" t="s">
        <v>478</v>
      </c>
      <c r="E139" s="202">
        <v>0</v>
      </c>
      <c r="F139" s="205">
        <f>IF(ISNUMBER(E137),E139*G139,0)</f>
        <v>0</v>
      </c>
      <c r="G139" s="205">
        <f>IF(E41&lt;4000,2*(1-((E30*25.4)/E137)^4),(1+0.8*E50)*(1-((E30*25.4)/E137)^2)^2)</f>
        <v>9.6763885069290581</v>
      </c>
      <c r="H139" s="396"/>
      <c r="I139" s="396"/>
      <c r="J139" s="396"/>
      <c r="K139" s="202">
        <v>0</v>
      </c>
      <c r="L139" s="205">
        <f>IF(ISNUMBER(K137),K139*M139,0)</f>
        <v>0</v>
      </c>
      <c r="M139" s="205">
        <f>IF(K41&lt;4000,2*(1-((K30*25.4)/K137)^4),(1+0.8*K50)*(1-((K30*25.4)/K137)^2)^2)</f>
        <v>9.6763897755767729</v>
      </c>
      <c r="N139" s="396"/>
      <c r="O139" s="396"/>
      <c r="P139" s="396"/>
      <c r="Q139" s="202">
        <v>0</v>
      </c>
      <c r="R139" s="205">
        <f>IF(ISNUMBER(Q137),Q139*S139,0)</f>
        <v>0</v>
      </c>
      <c r="S139" s="205">
        <f>IF(Q41&lt;4000,2*(1-((Q30*25.4)/Q137)^4),(1+0.8*Q50)*(1-((Q30*25.4)/Q137)^2)^2)</f>
        <v>9.6763897755767729</v>
      </c>
      <c r="T139" s="396"/>
      <c r="U139" s="396"/>
      <c r="V139" s="396"/>
      <c r="W139" s="202">
        <v>0</v>
      </c>
      <c r="X139" s="205">
        <f>IF(ISNUMBER(W137),W139*Y139,0)</f>
        <v>0</v>
      </c>
      <c r="Y139" s="205">
        <f>IF(W41&lt;4000,2*(1-((W30*25.4)/W137)^4),(1+0.8*W50)*(1-((W30*25.4)/W137)^2)^2)</f>
        <v>9.6650611947574188</v>
      </c>
      <c r="Z139" s="396"/>
      <c r="AA139" s="396"/>
      <c r="AB139" s="396"/>
      <c r="AC139" s="202">
        <v>0</v>
      </c>
      <c r="AD139" s="205">
        <f>IF(ISNUMBER(AC137),AC139*AE139,0)</f>
        <v>0</v>
      </c>
      <c r="AE139" s="205">
        <f>IF(AC41&lt;4000,2*(1-((AC30*25.4)/AC137)^4),(1+0.8*AC50)*(1-((AC30*25.4)/AC137)^2)^2)</f>
        <v>0.65071535556793747</v>
      </c>
      <c r="AF139" s="396"/>
      <c r="AG139" s="396"/>
      <c r="AH139" s="396"/>
      <c r="AI139" s="202">
        <v>0</v>
      </c>
      <c r="AJ139" s="205">
        <f>IF(ISNUMBER(AI137),AI139*AK139,0)</f>
        <v>0</v>
      </c>
      <c r="AK139" s="205">
        <f>IF(AI41&lt;4000,2*(1-((AI30*25.4)/AI137)^4),(1+0.8*AI50)*(1-((AI30*25.4)/AI137)^2)^2)</f>
        <v>0.65071535556793747</v>
      </c>
      <c r="AL139" s="396"/>
      <c r="AM139" s="396"/>
      <c r="AN139" s="396"/>
      <c r="AO139" s="202">
        <v>0</v>
      </c>
      <c r="AP139" s="205">
        <f>IF(ISNUMBER(AO137),AO139*AQ139,0)</f>
        <v>0</v>
      </c>
      <c r="AQ139" s="205">
        <f>IF(AO41&lt;4000,2*(1-((AO30*25.4)/AO137)^4),(1+0.8*AO50)*(1-((AO30*25.4)/AO137)^2)^2)</f>
        <v>0.65071535556793747</v>
      </c>
      <c r="AR139" s="396"/>
      <c r="AS139" s="396"/>
      <c r="AT139" s="396"/>
      <c r="AU139" s="202">
        <v>0</v>
      </c>
      <c r="AV139" s="205">
        <f>IF(ISNUMBER(AU137),AU139*AW139,0)</f>
        <v>0</v>
      </c>
      <c r="AW139" s="205">
        <f>IF(AU41&lt;4000,2*(1-((AU30*25.4)/AU137)^4),(1+0.8*AU50)*(1-((AU30*25.4)/AU137)^2)^2)</f>
        <v>0.65071555431964723</v>
      </c>
      <c r="AX139" s="396"/>
      <c r="AY139" s="396"/>
      <c r="AZ139" s="396"/>
      <c r="BA139" s="202">
        <v>0</v>
      </c>
      <c r="BB139" s="205">
        <f>IF(ISNUMBER(BA137),BA139*BC139,0)</f>
        <v>0</v>
      </c>
      <c r="BC139" s="205">
        <f>IF(BA41&lt;4000,2*(1-((BA30*25.4)/BA137)^4),(1+0.8*BA50)*(1-((BA30*25.4)/BA137)^2)^2)</f>
        <v>0.65071555431964723</v>
      </c>
      <c r="BD139" s="396"/>
      <c r="BE139" s="396"/>
      <c r="BF139" s="396"/>
      <c r="BG139" s="202">
        <v>0</v>
      </c>
      <c r="BH139" s="205">
        <f>IF(ISNUMBER(BG137),BG139*BI139,0)</f>
        <v>0</v>
      </c>
      <c r="BI139" s="205">
        <f>IF(BG41&lt;4000,2*(1-((BG30*25.4)/BG137)^4),(1+0.8*BG50)*(1-((BG30*25.4)/BG137)^2)^2)</f>
        <v>0.65071555431964723</v>
      </c>
      <c r="BJ139" s="396"/>
      <c r="BK139" s="396"/>
      <c r="BL139" s="396"/>
      <c r="BM139" s="202">
        <v>0</v>
      </c>
      <c r="BN139" s="205">
        <f>IF(ISNUMBER(BM137),BM139*BO139,0)</f>
        <v>0</v>
      </c>
      <c r="BO139" s="205">
        <f>IF(BM41&lt;4000,2*(1-((BM30*25.4)/BM137)^4),(1+0.8*BM50)*(1-((BM30*25.4)/BM137)^2)^2)</f>
        <v>37.566912393704222</v>
      </c>
      <c r="BP139" s="396"/>
      <c r="BQ139" s="396"/>
      <c r="BR139" s="396"/>
      <c r="BS139" s="202">
        <v>0</v>
      </c>
      <c r="BT139" s="205">
        <f>IF(ISNUMBER(BS137),BS139*BU139,0)</f>
        <v>0</v>
      </c>
      <c r="BU139" s="205">
        <f>IF(BS41&lt;4000,2*(1-((BS30*25.4)/BS137)^4),(1+0.8*BS50)*(1-((BS30*25.4)/BS137)^2)^2)</f>
        <v>37.535141508294224</v>
      </c>
      <c r="BV139" s="396"/>
      <c r="BW139" s="396"/>
      <c r="BX139" s="396"/>
      <c r="BY139" s="202">
        <v>0</v>
      </c>
      <c r="BZ139" s="205">
        <f>IF(ISNUMBER(BY137),BY139*CA139,0)</f>
        <v>0</v>
      </c>
      <c r="CA139" s="205">
        <f>IF(BY41&lt;4000,2*(1-((BY30*25.4)/BY137)^4),(1+0.8*BY50)*(1-((BY30*25.4)/BY137)^2)^2)</f>
        <v>0.6514341089756609</v>
      </c>
      <c r="CB139" s="396"/>
      <c r="CC139" s="396"/>
      <c r="CD139" s="396"/>
      <c r="CE139" s="202">
        <v>0</v>
      </c>
      <c r="CF139" s="205">
        <f>IF(ISNUMBER(CE137),CE139*CG139,0)</f>
        <v>0</v>
      </c>
      <c r="CG139" s="205">
        <f>IF(CE41&lt;4000,2*(1-((CE30*25.4)/CE137)^4),(1+0.8*CE50)*(1-((CE30*25.4)/CE137)^2)^2)</f>
        <v>0.6514341089756609</v>
      </c>
      <c r="CH139" s="396"/>
      <c r="CI139" s="396"/>
      <c r="CJ139" s="396"/>
      <c r="CK139" s="202">
        <v>0</v>
      </c>
      <c r="CL139" s="205">
        <f>IF(ISNUMBER(CK137),CK139*CM139,0)</f>
        <v>0</v>
      </c>
      <c r="CM139" s="205">
        <f>IF(CK41&lt;4000,2*(1-((CK30*25.4)/CK137)^4),(1+0.8*CK50)*(1-((CK30*25.4)/CK137)^2)^2)</f>
        <v>4.3705139128344889E-3</v>
      </c>
      <c r="CN139" s="396"/>
      <c r="CO139" s="396"/>
      <c r="CP139" s="396"/>
      <c r="CQ139" s="202">
        <v>0</v>
      </c>
      <c r="CR139" s="205">
        <f>IF(ISNUMBER(CQ137),CQ139*CS139,0)</f>
        <v>0</v>
      </c>
      <c r="CS139" s="205">
        <f>IF(CQ41&lt;4000,2*(1-((CQ30*25.4)/CQ137)^4),(1+0.8*CQ50)*(1-((CQ30*25.4)/CQ137)^2)^2)</f>
        <v>4.3705139128344889E-3</v>
      </c>
      <c r="CT139" s="396"/>
      <c r="CU139" s="396"/>
      <c r="CV139" s="396"/>
      <c r="CW139" s="201"/>
      <c r="CX139" s="201"/>
      <c r="CY139" s="205"/>
      <c r="CZ139" s="396"/>
      <c r="DA139" s="396"/>
      <c r="DB139" s="396"/>
      <c r="DC139" s="202">
        <v>0</v>
      </c>
      <c r="DD139" s="205">
        <f>IF(ISNUMBER(DC137),DC139*DE139,0)</f>
        <v>0</v>
      </c>
      <c r="DE139" s="205">
        <f>IF(DC41&lt;4000,2*(1-((DC30*25.4)/DC137)^4),(1+0.8*DC50)*(1-((DC30*25.4)/DC137)^2)^2)</f>
        <v>4.3705139128344889E-3</v>
      </c>
      <c r="DF139" s="396"/>
      <c r="DG139" s="396"/>
      <c r="DH139" s="396"/>
      <c r="DI139" s="202">
        <v>0</v>
      </c>
      <c r="DJ139" s="205">
        <f>IF(ISNUMBER(DI137),DI139*DK139,0)</f>
        <v>0</v>
      </c>
      <c r="DK139" s="205">
        <f>IF(DI41&lt;4000,2*(1-((DI30*25.4)/DI137)^4),(1+0.8*DI50)*(1-((DI30*25.4)/DI137)^2)^2)</f>
        <v>4.3705139128344889E-3</v>
      </c>
      <c r="DL139" s="396"/>
      <c r="DM139" s="396"/>
      <c r="DN139" s="396"/>
    </row>
    <row r="140" spans="2:118" x14ac:dyDescent="0.35">
      <c r="B140" s="201"/>
      <c r="C140" s="13"/>
      <c r="D140" s="13"/>
      <c r="E140" s="201"/>
      <c r="F140" s="201"/>
      <c r="G140" s="205"/>
      <c r="H140" s="396"/>
      <c r="I140" s="396"/>
      <c r="J140" s="396"/>
      <c r="K140" s="201"/>
      <c r="L140" s="201"/>
      <c r="M140" s="205"/>
      <c r="N140" s="396"/>
      <c r="O140" s="396"/>
      <c r="P140" s="396"/>
      <c r="Q140" s="201"/>
      <c r="R140" s="201"/>
      <c r="S140" s="205"/>
      <c r="T140" s="396"/>
      <c r="U140" s="396"/>
      <c r="V140" s="396"/>
      <c r="W140" s="201"/>
      <c r="X140" s="201"/>
      <c r="Y140" s="205"/>
      <c r="Z140" s="396"/>
      <c r="AA140" s="396"/>
      <c r="AB140" s="396"/>
      <c r="AC140" s="201"/>
      <c r="AD140" s="201"/>
      <c r="AE140" s="205"/>
      <c r="AF140" s="396"/>
      <c r="AG140" s="396"/>
      <c r="AH140" s="396"/>
      <c r="AI140" s="201"/>
      <c r="AJ140" s="201"/>
      <c r="AK140" s="205"/>
      <c r="AL140" s="396"/>
      <c r="AM140" s="396"/>
      <c r="AN140" s="396"/>
      <c r="AO140" s="201"/>
      <c r="AP140" s="201"/>
      <c r="AQ140" s="205"/>
      <c r="AR140" s="396"/>
      <c r="AS140" s="396"/>
      <c r="AT140" s="396"/>
      <c r="AU140" s="201"/>
      <c r="AV140" s="201"/>
      <c r="AW140" s="205"/>
      <c r="AX140" s="396"/>
      <c r="AY140" s="396"/>
      <c r="AZ140" s="396"/>
      <c r="BA140" s="201"/>
      <c r="BB140" s="201"/>
      <c r="BC140" s="205"/>
      <c r="BD140" s="396"/>
      <c r="BE140" s="396"/>
      <c r="BF140" s="396"/>
      <c r="BG140" s="201"/>
      <c r="BH140" s="201"/>
      <c r="BI140" s="205"/>
      <c r="BJ140" s="396"/>
      <c r="BK140" s="396"/>
      <c r="BL140" s="396"/>
      <c r="BM140" s="201"/>
      <c r="BN140" s="201"/>
      <c r="BO140" s="205"/>
      <c r="BP140" s="396"/>
      <c r="BQ140" s="396"/>
      <c r="BR140" s="396"/>
      <c r="BS140" s="201"/>
      <c r="BT140" s="201"/>
      <c r="BU140" s="205"/>
      <c r="BV140" s="396"/>
      <c r="BW140" s="396"/>
      <c r="BX140" s="396"/>
      <c r="BY140" s="201"/>
      <c r="BZ140" s="201"/>
      <c r="CA140" s="205"/>
      <c r="CB140" s="396"/>
      <c r="CC140" s="396"/>
      <c r="CD140" s="396"/>
      <c r="CE140" s="201"/>
      <c r="CF140" s="201"/>
      <c r="CG140" s="205"/>
      <c r="CH140" s="396"/>
      <c r="CI140" s="396"/>
      <c r="CJ140" s="396"/>
      <c r="CK140" s="201"/>
      <c r="CL140" s="201"/>
      <c r="CM140" s="205"/>
      <c r="CN140" s="396"/>
      <c r="CO140" s="396"/>
      <c r="CP140" s="396"/>
      <c r="CQ140" s="201"/>
      <c r="CR140" s="201"/>
      <c r="CS140" s="205"/>
      <c r="CT140" s="396"/>
      <c r="CU140" s="396"/>
      <c r="CV140" s="396"/>
      <c r="CW140" s="202">
        <v>0</v>
      </c>
      <c r="CX140" s="205" t="e">
        <f>IF(ISNUMBER(CW138),CW140*CY140,0)</f>
        <v>#VALUE!</v>
      </c>
      <c r="CY140" s="205" t="e">
        <f>IF(CW42&lt;4000,2*(1-((CW31*25.4)/CW138)^4),(1+0.8*CW51)*(1-((CW31*25.4)/CW138)^2)^2)</f>
        <v>#VALUE!</v>
      </c>
      <c r="CZ140" s="396"/>
      <c r="DA140" s="396"/>
      <c r="DB140" s="396"/>
      <c r="DC140" s="201"/>
      <c r="DD140" s="201"/>
      <c r="DE140" s="205"/>
      <c r="DF140" s="396"/>
      <c r="DG140" s="396"/>
      <c r="DH140" s="396"/>
      <c r="DI140" s="201"/>
      <c r="DJ140" s="201"/>
      <c r="DK140" s="205"/>
      <c r="DL140" s="396"/>
      <c r="DM140" s="396"/>
      <c r="DN140" s="396"/>
    </row>
    <row r="141" spans="2:118" x14ac:dyDescent="0.35">
      <c r="B141" s="201"/>
      <c r="C141" s="13"/>
      <c r="D141" s="13"/>
      <c r="E141" s="201"/>
      <c r="F141" s="201"/>
      <c r="G141" s="205"/>
      <c r="H141" s="396"/>
      <c r="I141" s="396"/>
      <c r="J141" s="396"/>
      <c r="K141" s="201"/>
      <c r="L141" s="201"/>
      <c r="M141" s="205"/>
      <c r="N141" s="396"/>
      <c r="O141" s="396"/>
      <c r="P141" s="396"/>
      <c r="Q141" s="201"/>
      <c r="R141" s="201"/>
      <c r="S141" s="205"/>
      <c r="T141" s="396"/>
      <c r="U141" s="396"/>
      <c r="V141" s="396"/>
      <c r="W141" s="201"/>
      <c r="X141" s="201"/>
      <c r="Y141" s="205"/>
      <c r="Z141" s="396"/>
      <c r="AA141" s="396"/>
      <c r="AB141" s="396"/>
      <c r="AC141" s="201"/>
      <c r="AD141" s="201"/>
      <c r="AE141" s="205"/>
      <c r="AF141" s="396"/>
      <c r="AG141" s="396"/>
      <c r="AH141" s="396"/>
      <c r="AI141" s="201"/>
      <c r="AJ141" s="201"/>
      <c r="AK141" s="205"/>
      <c r="AL141" s="396"/>
      <c r="AM141" s="396"/>
      <c r="AN141" s="396"/>
      <c r="AO141" s="201"/>
      <c r="AP141" s="201"/>
      <c r="AQ141" s="205"/>
      <c r="AR141" s="396"/>
      <c r="AS141" s="396"/>
      <c r="AT141" s="396"/>
      <c r="AU141" s="201"/>
      <c r="AV141" s="201"/>
      <c r="AW141" s="205"/>
      <c r="AX141" s="396"/>
      <c r="AY141" s="396"/>
      <c r="AZ141" s="396"/>
      <c r="BA141" s="201"/>
      <c r="BB141" s="201"/>
      <c r="BC141" s="205"/>
      <c r="BD141" s="396"/>
      <c r="BE141" s="396"/>
      <c r="BF141" s="396"/>
      <c r="BG141" s="201"/>
      <c r="BH141" s="201"/>
      <c r="BI141" s="205"/>
      <c r="BJ141" s="396"/>
      <c r="BK141" s="396"/>
      <c r="BL141" s="396"/>
      <c r="BM141" s="201"/>
      <c r="BN141" s="201"/>
      <c r="BO141" s="205"/>
      <c r="BP141" s="396"/>
      <c r="BQ141" s="396"/>
      <c r="BR141" s="396"/>
      <c r="BS141" s="201"/>
      <c r="BT141" s="201"/>
      <c r="BU141" s="205"/>
      <c r="BV141" s="396"/>
      <c r="BW141" s="396"/>
      <c r="BX141" s="396"/>
      <c r="BY141" s="201"/>
      <c r="BZ141" s="201"/>
      <c r="CA141" s="205"/>
      <c r="CB141" s="396"/>
      <c r="CC141" s="396"/>
      <c r="CD141" s="396"/>
      <c r="CE141" s="201"/>
      <c r="CF141" s="201"/>
      <c r="CG141" s="205"/>
      <c r="CH141" s="396"/>
      <c r="CI141" s="396"/>
      <c r="CJ141" s="396"/>
      <c r="CK141" s="201"/>
      <c r="CL141" s="201"/>
      <c r="CM141" s="205"/>
      <c r="CN141" s="396"/>
      <c r="CO141" s="396"/>
      <c r="CP141" s="396"/>
      <c r="CQ141" s="201"/>
      <c r="CR141" s="201"/>
      <c r="CS141" s="205"/>
      <c r="CT141" s="396"/>
      <c r="CU141" s="396"/>
      <c r="CV141" s="396"/>
      <c r="CW141" s="201"/>
      <c r="CX141" s="201"/>
      <c r="CY141" s="205"/>
      <c r="CZ141" s="396"/>
      <c r="DA141" s="396"/>
      <c r="DB141" s="396"/>
      <c r="DC141" s="201"/>
      <c r="DD141" s="201"/>
      <c r="DE141" s="205"/>
      <c r="DF141" s="396"/>
      <c r="DG141" s="396"/>
      <c r="DH141" s="396"/>
      <c r="DI141" s="201"/>
      <c r="DJ141" s="201"/>
      <c r="DK141" s="205"/>
      <c r="DL141" s="396"/>
      <c r="DM141" s="396"/>
      <c r="DN141" s="396"/>
    </row>
    <row r="142" spans="2:118" x14ac:dyDescent="0.35">
      <c r="B142" s="208" t="s">
        <v>488</v>
      </c>
      <c r="C142" s="13"/>
      <c r="D142" s="13"/>
      <c r="E142" s="201"/>
      <c r="F142" s="201"/>
      <c r="G142" s="205"/>
      <c r="H142" s="396"/>
      <c r="I142" s="396"/>
      <c r="J142" s="396"/>
      <c r="K142" s="201"/>
      <c r="L142" s="201"/>
      <c r="M142" s="205"/>
      <c r="N142" s="396"/>
      <c r="O142" s="396"/>
      <c r="P142" s="396"/>
      <c r="Q142" s="201"/>
      <c r="R142" s="201"/>
      <c r="S142" s="205"/>
      <c r="T142" s="396"/>
      <c r="U142" s="396"/>
      <c r="V142" s="396"/>
      <c r="W142" s="201"/>
      <c r="X142" s="201"/>
      <c r="Y142" s="205"/>
      <c r="Z142" s="396"/>
      <c r="AA142" s="396"/>
      <c r="AB142" s="396"/>
      <c r="AC142" s="201"/>
      <c r="AD142" s="201"/>
      <c r="AE142" s="205"/>
      <c r="AF142" s="396"/>
      <c r="AG142" s="396"/>
      <c r="AH142" s="396"/>
      <c r="AI142" s="201"/>
      <c r="AJ142" s="201"/>
      <c r="AK142" s="205"/>
      <c r="AL142" s="396"/>
      <c r="AM142" s="396"/>
      <c r="AN142" s="396"/>
      <c r="AO142" s="201"/>
      <c r="AP142" s="201"/>
      <c r="AQ142" s="205"/>
      <c r="AR142" s="396"/>
      <c r="AS142" s="396"/>
      <c r="AT142" s="396"/>
      <c r="AU142" s="201"/>
      <c r="AV142" s="201"/>
      <c r="AW142" s="205"/>
      <c r="AX142" s="396"/>
      <c r="AY142" s="396"/>
      <c r="AZ142" s="396"/>
      <c r="BA142" s="201"/>
      <c r="BB142" s="201"/>
      <c r="BC142" s="205"/>
      <c r="BD142" s="396"/>
      <c r="BE142" s="396"/>
      <c r="BF142" s="396"/>
      <c r="BG142" s="201"/>
      <c r="BH142" s="201"/>
      <c r="BI142" s="205"/>
      <c r="BJ142" s="396"/>
      <c r="BK142" s="396"/>
      <c r="BL142" s="396"/>
      <c r="BM142" s="201"/>
      <c r="BN142" s="201"/>
      <c r="BO142" s="205"/>
      <c r="BP142" s="396"/>
      <c r="BQ142" s="396"/>
      <c r="BR142" s="396"/>
      <c r="BS142" s="201"/>
      <c r="BT142" s="201"/>
      <c r="BU142" s="205"/>
      <c r="BV142" s="396"/>
      <c r="BW142" s="396"/>
      <c r="BX142" s="396"/>
      <c r="BY142" s="201"/>
      <c r="BZ142" s="201"/>
      <c r="CA142" s="205"/>
      <c r="CB142" s="396"/>
      <c r="CC142" s="396"/>
      <c r="CD142" s="396"/>
      <c r="CE142" s="201"/>
      <c r="CF142" s="201"/>
      <c r="CG142" s="205"/>
      <c r="CH142" s="396"/>
      <c r="CI142" s="396"/>
      <c r="CJ142" s="396"/>
      <c r="CK142" s="201"/>
      <c r="CL142" s="201"/>
      <c r="CM142" s="205"/>
      <c r="CN142" s="396"/>
      <c r="CO142" s="396"/>
      <c r="CP142" s="396"/>
      <c r="CQ142" s="201"/>
      <c r="CR142" s="201"/>
      <c r="CS142" s="205"/>
      <c r="CT142" s="396"/>
      <c r="CU142" s="396"/>
      <c r="CV142" s="396"/>
      <c r="CW142" s="201"/>
      <c r="CX142" s="201"/>
      <c r="CY142" s="205"/>
      <c r="CZ142" s="396"/>
      <c r="DA142" s="396"/>
      <c r="DB142" s="396"/>
      <c r="DC142" s="201"/>
      <c r="DD142" s="201"/>
      <c r="DE142" s="205"/>
      <c r="DF142" s="396"/>
      <c r="DG142" s="396"/>
      <c r="DH142" s="396"/>
      <c r="DI142" s="201"/>
      <c r="DJ142" s="201"/>
      <c r="DK142" s="205"/>
      <c r="DL142" s="396"/>
      <c r="DM142" s="396"/>
      <c r="DN142" s="396"/>
    </row>
    <row r="143" spans="2:118" x14ac:dyDescent="0.35">
      <c r="B143" s="201"/>
      <c r="C143" s="13"/>
      <c r="D143" s="210" t="s">
        <v>480</v>
      </c>
      <c r="E143" s="211">
        <v>45</v>
      </c>
      <c r="F143" s="201"/>
      <c r="G143" s="212">
        <f>IF(ISNUMBER(E143), PI()*E143/180,0)</f>
        <v>0.78539816339744828</v>
      </c>
      <c r="H143" s="396"/>
      <c r="I143" s="396"/>
      <c r="J143" s="396"/>
      <c r="K143" s="211">
        <v>45</v>
      </c>
      <c r="L143" s="201"/>
      <c r="M143" s="212">
        <f>IF(ISNUMBER(K143), PI()*K143/180,0)</f>
        <v>0.78539816339744828</v>
      </c>
      <c r="N143" s="396"/>
      <c r="O143" s="396"/>
      <c r="P143" s="396"/>
      <c r="Q143" s="211">
        <v>45</v>
      </c>
      <c r="R143" s="201"/>
      <c r="S143" s="212">
        <f>IF(ISNUMBER(Q143), PI()*Q143/180,0)</f>
        <v>0.78539816339744828</v>
      </c>
      <c r="T143" s="396"/>
      <c r="U143" s="396"/>
      <c r="V143" s="396"/>
      <c r="W143" s="211">
        <v>45</v>
      </c>
      <c r="X143" s="201"/>
      <c r="Y143" s="212">
        <f>IF(ISNUMBER(W143), PI()*W143/180,0)</f>
        <v>0.78539816339744828</v>
      </c>
      <c r="Z143" s="396"/>
      <c r="AA143" s="396"/>
      <c r="AB143" s="396"/>
      <c r="AC143" s="211">
        <v>45</v>
      </c>
      <c r="AD143" s="201"/>
      <c r="AE143" s="212">
        <f>IF(ISNUMBER(AC143), PI()*AC143/180,0)</f>
        <v>0.78539816339744828</v>
      </c>
      <c r="AF143" s="396"/>
      <c r="AG143" s="396"/>
      <c r="AH143" s="396"/>
      <c r="AI143" s="211">
        <v>45</v>
      </c>
      <c r="AJ143" s="201"/>
      <c r="AK143" s="212">
        <f>IF(ISNUMBER(AI143), PI()*AI143/180,0)</f>
        <v>0.78539816339744828</v>
      </c>
      <c r="AL143" s="396"/>
      <c r="AM143" s="396"/>
      <c r="AN143" s="396"/>
      <c r="AO143" s="211">
        <v>45</v>
      </c>
      <c r="AP143" s="201"/>
      <c r="AQ143" s="212">
        <f>IF(ISNUMBER(AO143), PI()*AO143/180,0)</f>
        <v>0.78539816339744828</v>
      </c>
      <c r="AR143" s="396"/>
      <c r="AS143" s="396"/>
      <c r="AT143" s="396"/>
      <c r="AU143" s="211">
        <v>45</v>
      </c>
      <c r="AV143" s="201"/>
      <c r="AW143" s="212">
        <f>IF(ISNUMBER(AU143), PI()*AU143/180,0)</f>
        <v>0.78539816339744828</v>
      </c>
      <c r="AX143" s="396"/>
      <c r="AY143" s="396"/>
      <c r="AZ143" s="396"/>
      <c r="BA143" s="211">
        <v>45</v>
      </c>
      <c r="BB143" s="201"/>
      <c r="BC143" s="212">
        <f>IF(ISNUMBER(BA143), PI()*BA143/180,0)</f>
        <v>0.78539816339744828</v>
      </c>
      <c r="BD143" s="396"/>
      <c r="BE143" s="396"/>
      <c r="BF143" s="396"/>
      <c r="BG143" s="211">
        <v>45</v>
      </c>
      <c r="BH143" s="201"/>
      <c r="BI143" s="212">
        <f>IF(ISNUMBER(BG143), PI()*BG143/180,0)</f>
        <v>0.78539816339744828</v>
      </c>
      <c r="BJ143" s="396"/>
      <c r="BK143" s="396"/>
      <c r="BL143" s="396"/>
      <c r="BM143" s="211">
        <v>45</v>
      </c>
      <c r="BN143" s="201"/>
      <c r="BO143" s="212">
        <f>IF(ISNUMBER(BM143), PI()*BM143/180,0)</f>
        <v>0.78539816339744828</v>
      </c>
      <c r="BP143" s="396"/>
      <c r="BQ143" s="396"/>
      <c r="BR143" s="396"/>
      <c r="BS143" s="211">
        <v>45</v>
      </c>
      <c r="BT143" s="201"/>
      <c r="BU143" s="212">
        <f>IF(ISNUMBER(BS143), PI()*BS143/180,0)</f>
        <v>0.78539816339744828</v>
      </c>
      <c r="BV143" s="396"/>
      <c r="BW143" s="396"/>
      <c r="BX143" s="396"/>
      <c r="BY143" s="211">
        <v>45</v>
      </c>
      <c r="BZ143" s="201"/>
      <c r="CA143" s="212">
        <f>IF(ISNUMBER(BY143), PI()*BY143/180,0)</f>
        <v>0.78539816339744828</v>
      </c>
      <c r="CB143" s="396"/>
      <c r="CC143" s="396"/>
      <c r="CD143" s="396"/>
      <c r="CE143" s="211">
        <v>45</v>
      </c>
      <c r="CF143" s="201"/>
      <c r="CG143" s="212">
        <f>IF(ISNUMBER(CE143), PI()*CE143/180,0)</f>
        <v>0.78539816339744828</v>
      </c>
      <c r="CH143" s="396"/>
      <c r="CI143" s="396"/>
      <c r="CJ143" s="396"/>
      <c r="CK143" s="211">
        <v>45</v>
      </c>
      <c r="CL143" s="201"/>
      <c r="CM143" s="212">
        <f>IF(ISNUMBER(CK143), PI()*CK143/180,0)</f>
        <v>0.78539816339744828</v>
      </c>
      <c r="CN143" s="396"/>
      <c r="CO143" s="396"/>
      <c r="CP143" s="396"/>
      <c r="CQ143" s="211">
        <v>45</v>
      </c>
      <c r="CR143" s="201"/>
      <c r="CS143" s="212">
        <f>IF(ISNUMBER(CQ143), PI()*CQ143/180,0)</f>
        <v>0.78539816339744828</v>
      </c>
      <c r="CT143" s="396"/>
      <c r="CU143" s="396"/>
      <c r="CV143" s="396"/>
      <c r="CW143" s="201"/>
      <c r="CX143" s="201"/>
      <c r="CY143" s="205"/>
      <c r="CZ143" s="396"/>
      <c r="DA143" s="396"/>
      <c r="DB143" s="396"/>
      <c r="DC143" s="211">
        <v>45</v>
      </c>
      <c r="DD143" s="201"/>
      <c r="DE143" s="212">
        <f>IF(ISNUMBER(DC143), PI()*DC143/180,0)</f>
        <v>0.78539816339744828</v>
      </c>
      <c r="DF143" s="396"/>
      <c r="DG143" s="396"/>
      <c r="DH143" s="396"/>
      <c r="DI143" s="211">
        <v>45</v>
      </c>
      <c r="DJ143" s="201"/>
      <c r="DK143" s="212">
        <f>IF(ISNUMBER(DI143), PI()*DI143/180,0)</f>
        <v>0.78539816339744828</v>
      </c>
      <c r="DL143" s="396"/>
      <c r="DM143" s="396"/>
      <c r="DN143" s="396"/>
    </row>
    <row r="144" spans="2:118" x14ac:dyDescent="0.35">
      <c r="B144" s="201"/>
      <c r="C144" s="13"/>
      <c r="D144" s="201" t="s">
        <v>478</v>
      </c>
      <c r="E144" s="202">
        <v>0</v>
      </c>
      <c r="F144" s="205">
        <f>IF(AND(ISNUMBER(E137),ISNUMBER(E143)),E144*G144,0)</f>
        <v>0</v>
      </c>
      <c r="G144" s="205">
        <f>IF(E143&gt;45,G139,G139*2.6*SIN(G143/2))</f>
        <v>9.6277832734972684</v>
      </c>
      <c r="H144" s="396"/>
      <c r="I144" s="396"/>
      <c r="J144" s="396"/>
      <c r="K144" s="202">
        <v>0</v>
      </c>
      <c r="L144" s="205">
        <f>IF(AND(ISNUMBER(K137),ISNUMBER(K143)),K144*M144,0)</f>
        <v>0</v>
      </c>
      <c r="M144" s="205">
        <f>IF(K143&gt;45,M139,M139*2.6*SIN(M143/2))</f>
        <v>9.6277845357724683</v>
      </c>
      <c r="N144" s="396"/>
      <c r="O144" s="396"/>
      <c r="P144" s="396"/>
      <c r="Q144" s="202">
        <v>0</v>
      </c>
      <c r="R144" s="205">
        <f>IF(AND(ISNUMBER(Q137),ISNUMBER(Q143)),Q144*S144,0)</f>
        <v>0</v>
      </c>
      <c r="S144" s="205">
        <f>IF(Q143&gt;45,S139,S139*2.6*SIN(S143/2))</f>
        <v>9.6277845357724683</v>
      </c>
      <c r="T144" s="396"/>
      <c r="U144" s="396"/>
      <c r="V144" s="396"/>
      <c r="W144" s="202">
        <v>0</v>
      </c>
      <c r="X144" s="205">
        <f>IF(AND(ISNUMBER(W137),ISNUMBER(W143)),W144*Y144,0)</f>
        <v>0</v>
      </c>
      <c r="Y144" s="205">
        <f>IF(W143&gt;45,Y139,Y139*2.6*SIN(Y143/2))</f>
        <v>9.6165128592738522</v>
      </c>
      <c r="Z144" s="396"/>
      <c r="AA144" s="396"/>
      <c r="AB144" s="396"/>
      <c r="AC144" s="202">
        <v>0</v>
      </c>
      <c r="AD144" s="205">
        <f>IF(AND(ISNUMBER(AC137),ISNUMBER(AC143)),AC144*AE144,0)</f>
        <v>0</v>
      </c>
      <c r="AE144" s="205">
        <f>IF(AC143&gt;45,AE139,AE139*2.6*SIN(AE143/2))</f>
        <v>0.64744676297966119</v>
      </c>
      <c r="AF144" s="396"/>
      <c r="AG144" s="396"/>
      <c r="AH144" s="396"/>
      <c r="AI144" s="202">
        <v>0</v>
      </c>
      <c r="AJ144" s="205">
        <f>IF(AND(ISNUMBER(AI137),ISNUMBER(AI143)),AI144*AK144,0)</f>
        <v>0</v>
      </c>
      <c r="AK144" s="205">
        <f>IF(AI143&gt;45,AK139,AK139*2.6*SIN(AK143/2))</f>
        <v>0.64744676297966119</v>
      </c>
      <c r="AL144" s="396"/>
      <c r="AM144" s="396"/>
      <c r="AN144" s="396"/>
      <c r="AO144" s="202">
        <v>0</v>
      </c>
      <c r="AP144" s="205">
        <f>IF(AND(ISNUMBER(AO137),ISNUMBER(AO143)),AO144*AQ144,0)</f>
        <v>0</v>
      </c>
      <c r="AQ144" s="205">
        <f>IF(AO143&gt;45,AQ139,AQ139*2.6*SIN(AQ143/2))</f>
        <v>0.64744676297966119</v>
      </c>
      <c r="AR144" s="396"/>
      <c r="AS144" s="396"/>
      <c r="AT144" s="396"/>
      <c r="AU144" s="202">
        <v>0</v>
      </c>
      <c r="AV144" s="205">
        <f>IF(AND(ISNUMBER(AU137),ISNUMBER(AU143)),AU144*AW144,0)</f>
        <v>0</v>
      </c>
      <c r="AW144" s="205">
        <f>IF(AU143&gt;45,AW139,AW139*2.6*SIN(AW143/2))</f>
        <v>0.6474469607330261</v>
      </c>
      <c r="AX144" s="396"/>
      <c r="AY144" s="396"/>
      <c r="AZ144" s="396"/>
      <c r="BA144" s="202">
        <v>0</v>
      </c>
      <c r="BB144" s="205">
        <f>IF(AND(ISNUMBER(BA137),ISNUMBER(BA143)),BA144*BC144,0)</f>
        <v>0</v>
      </c>
      <c r="BC144" s="205">
        <f>IF(BA143&gt;45,BC139,BC139*2.6*SIN(BC143/2))</f>
        <v>0.6474469607330261</v>
      </c>
      <c r="BD144" s="396"/>
      <c r="BE144" s="396"/>
      <c r="BF144" s="396"/>
      <c r="BG144" s="202">
        <v>0</v>
      </c>
      <c r="BH144" s="205">
        <f>IF(AND(ISNUMBER(BG137),ISNUMBER(BG143)),BG144*BI144,0)</f>
        <v>0</v>
      </c>
      <c r="BI144" s="205">
        <f>IF(BG143&gt;45,BI139,BI139*2.6*SIN(BI143/2))</f>
        <v>0.6474469607330261</v>
      </c>
      <c r="BJ144" s="396"/>
      <c r="BK144" s="396"/>
      <c r="BL144" s="396"/>
      <c r="BM144" s="202">
        <v>0</v>
      </c>
      <c r="BN144" s="205">
        <f>IF(AND(ISNUMBER(BM137),ISNUMBER(BM143)),BM144*BO144,0)</f>
        <v>0</v>
      </c>
      <c r="BO144" s="205">
        <f>IF(BM143&gt;45,BO139,BO139*2.6*SIN(BO143/2))</f>
        <v>37.378210943271547</v>
      </c>
      <c r="BP144" s="396"/>
      <c r="BQ144" s="396"/>
      <c r="BR144" s="396"/>
      <c r="BS144" s="202">
        <v>0</v>
      </c>
      <c r="BT144" s="205">
        <f>IF(AND(ISNUMBER(BS137),ISNUMBER(BS143)),BS144*BU144,0)</f>
        <v>0</v>
      </c>
      <c r="BU144" s="205">
        <f>IF(BS143&gt;45,BU139,BU139*2.6*SIN(BU143/2))</f>
        <v>37.346599645428803</v>
      </c>
      <c r="BV144" s="396"/>
      <c r="BW144" s="396"/>
      <c r="BX144" s="396"/>
      <c r="BY144" s="202">
        <v>0</v>
      </c>
      <c r="BZ144" s="205">
        <f>IF(AND(ISNUMBER(BY137),ISNUMBER(BY143)),BY144*CA144,0)</f>
        <v>0</v>
      </c>
      <c r="CA144" s="205">
        <f>IF(BY143&gt;45,CA139,CA139*2.6*SIN(CA143/2))</f>
        <v>0.64816190603449964</v>
      </c>
      <c r="CB144" s="396"/>
      <c r="CC144" s="396"/>
      <c r="CD144" s="396"/>
      <c r="CE144" s="202">
        <v>0</v>
      </c>
      <c r="CF144" s="205">
        <f>IF(AND(ISNUMBER(CE137),ISNUMBER(CE143)),CE144*CG144,0)</f>
        <v>0</v>
      </c>
      <c r="CG144" s="205">
        <f>IF(CE143&gt;45,CG139,CG139*2.6*SIN(CG143/2))</f>
        <v>0.64816190603449964</v>
      </c>
      <c r="CH144" s="396"/>
      <c r="CI144" s="396"/>
      <c r="CJ144" s="396"/>
      <c r="CK144" s="202">
        <v>0</v>
      </c>
      <c r="CL144" s="205">
        <f>IF(AND(ISNUMBER(CK137),ISNUMBER(CK143)),CK144*CM144,0)</f>
        <v>0</v>
      </c>
      <c r="CM144" s="205">
        <f>IF(CK143&gt;45,CM139,CM139*2.6*SIN(CM143/2))</f>
        <v>4.3485604899434907E-3</v>
      </c>
      <c r="CN144" s="396"/>
      <c r="CO144" s="396"/>
      <c r="CP144" s="396"/>
      <c r="CQ144" s="202">
        <v>0</v>
      </c>
      <c r="CR144" s="205">
        <f>IF(AND(ISNUMBER(CQ137),ISNUMBER(CQ143)),CQ144*CS144,0)</f>
        <v>0</v>
      </c>
      <c r="CS144" s="205">
        <f>IF(CQ143&gt;45,CS139,CS139*2.6*SIN(CS143/2))</f>
        <v>4.3485604899434907E-3</v>
      </c>
      <c r="CT144" s="396"/>
      <c r="CU144" s="396"/>
      <c r="CV144" s="396"/>
      <c r="CW144" s="211">
        <v>45</v>
      </c>
      <c r="CX144" s="201"/>
      <c r="CY144" s="212">
        <f>IF(ISNUMBER(CW144), PI()*CW144/180,0)</f>
        <v>0.78539816339744828</v>
      </c>
      <c r="CZ144" s="396"/>
      <c r="DA144" s="396"/>
      <c r="DB144" s="396"/>
      <c r="DC144" s="202">
        <v>0</v>
      </c>
      <c r="DD144" s="205">
        <f>IF(AND(ISNUMBER(DC137),ISNUMBER(DC143)),DC144*DE144,0)</f>
        <v>0</v>
      </c>
      <c r="DE144" s="205">
        <f>IF(DC143&gt;45,DE139,DE139*2.6*SIN(DE143/2))</f>
        <v>4.3485604899434907E-3</v>
      </c>
      <c r="DF144" s="396"/>
      <c r="DG144" s="396"/>
      <c r="DH144" s="396"/>
      <c r="DI144" s="202">
        <v>0</v>
      </c>
      <c r="DJ144" s="205">
        <f>IF(AND(ISNUMBER(DI137),ISNUMBER(DI143)),DI144*DK144,0)</f>
        <v>0</v>
      </c>
      <c r="DK144" s="205">
        <f>IF(DI143&gt;45,DK139,DK139*2.6*SIN(DK143/2))</f>
        <v>4.3485604899434907E-3</v>
      </c>
      <c r="DL144" s="396"/>
      <c r="DM144" s="396"/>
      <c r="DN144" s="396"/>
    </row>
    <row r="145" spans="2:118" x14ac:dyDescent="0.35">
      <c r="B145" s="201"/>
      <c r="C145" s="13"/>
      <c r="D145" s="13"/>
      <c r="E145" s="201"/>
      <c r="F145" s="201"/>
      <c r="G145" s="201"/>
      <c r="H145" s="396"/>
      <c r="I145" s="396"/>
      <c r="J145" s="396"/>
      <c r="K145" s="201"/>
      <c r="L145" s="201"/>
      <c r="M145" s="201"/>
      <c r="N145" s="396"/>
      <c r="O145" s="396"/>
      <c r="P145" s="396"/>
      <c r="Q145" s="201"/>
      <c r="R145" s="201"/>
      <c r="S145" s="201"/>
      <c r="T145" s="396"/>
      <c r="U145" s="396"/>
      <c r="V145" s="396"/>
      <c r="W145" s="201"/>
      <c r="X145" s="201"/>
      <c r="Y145" s="201"/>
      <c r="Z145" s="396"/>
      <c r="AA145" s="396"/>
      <c r="AB145" s="396"/>
      <c r="AC145" s="201"/>
      <c r="AD145" s="201"/>
      <c r="AE145" s="201"/>
      <c r="AF145" s="396"/>
      <c r="AG145" s="396"/>
      <c r="AH145" s="396"/>
      <c r="AI145" s="201"/>
      <c r="AJ145" s="201"/>
      <c r="AK145" s="201"/>
      <c r="AL145" s="396"/>
      <c r="AM145" s="396"/>
      <c r="AN145" s="396"/>
      <c r="AO145" s="201"/>
      <c r="AP145" s="201"/>
      <c r="AQ145" s="201"/>
      <c r="AR145" s="396"/>
      <c r="AS145" s="396"/>
      <c r="AT145" s="396"/>
      <c r="AU145" s="201"/>
      <c r="AV145" s="201"/>
      <c r="AW145" s="201"/>
      <c r="AX145" s="396"/>
      <c r="AY145" s="396"/>
      <c r="AZ145" s="396"/>
      <c r="BA145" s="201"/>
      <c r="BB145" s="201"/>
      <c r="BC145" s="201"/>
      <c r="BD145" s="396"/>
      <c r="BE145" s="396"/>
      <c r="BF145" s="396"/>
      <c r="BG145" s="201"/>
      <c r="BH145" s="201"/>
      <c r="BI145" s="201"/>
      <c r="BJ145" s="396"/>
      <c r="BK145" s="396"/>
      <c r="BL145" s="396"/>
      <c r="BM145" s="201"/>
      <c r="BN145" s="201"/>
      <c r="BO145" s="201"/>
      <c r="BP145" s="396"/>
      <c r="BQ145" s="396"/>
      <c r="BR145" s="396"/>
      <c r="BS145" s="201"/>
      <c r="BT145" s="201"/>
      <c r="BU145" s="201"/>
      <c r="BV145" s="396"/>
      <c r="BW145" s="396"/>
      <c r="BX145" s="396"/>
      <c r="BY145" s="201"/>
      <c r="BZ145" s="201"/>
      <c r="CA145" s="201"/>
      <c r="CB145" s="396"/>
      <c r="CC145" s="396"/>
      <c r="CD145" s="396"/>
      <c r="CE145" s="201"/>
      <c r="CF145" s="201"/>
      <c r="CG145" s="201"/>
      <c r="CH145" s="396"/>
      <c r="CI145" s="396"/>
      <c r="CJ145" s="396"/>
      <c r="CK145" s="201"/>
      <c r="CL145" s="201"/>
      <c r="CM145" s="201"/>
      <c r="CN145" s="396"/>
      <c r="CO145" s="396"/>
      <c r="CP145" s="396"/>
      <c r="CQ145" s="201"/>
      <c r="CR145" s="201"/>
      <c r="CS145" s="201"/>
      <c r="CT145" s="396"/>
      <c r="CU145" s="396"/>
      <c r="CV145" s="396"/>
      <c r="CW145" s="202">
        <v>0</v>
      </c>
      <c r="CX145" s="205" t="e">
        <f>IF(AND(ISNUMBER(CW138),ISNUMBER(CW144)),CW145*CY145,0)</f>
        <v>#VALUE!</v>
      </c>
      <c r="CY145" s="205" t="e">
        <f>IF(CW144&gt;45,CY140,CY140*2.6*SIN(CY144/2))</f>
        <v>#VALUE!</v>
      </c>
      <c r="CZ145" s="396"/>
      <c r="DA145" s="396"/>
      <c r="DB145" s="396"/>
      <c r="DC145" s="201"/>
      <c r="DD145" s="201"/>
      <c r="DE145" s="201"/>
      <c r="DF145" s="396"/>
      <c r="DG145" s="396"/>
      <c r="DH145" s="396"/>
      <c r="DI145" s="201"/>
      <c r="DJ145" s="201"/>
      <c r="DK145" s="201"/>
      <c r="DL145" s="396"/>
      <c r="DM145" s="396"/>
      <c r="DN145" s="396"/>
    </row>
    <row r="146" spans="2:118" x14ac:dyDescent="0.35">
      <c r="B146" s="208" t="s">
        <v>489</v>
      </c>
      <c r="C146" s="13"/>
      <c r="D146" s="13"/>
      <c r="E146" s="201"/>
      <c r="F146" s="201"/>
      <c r="G146" s="205"/>
      <c r="H146" s="396"/>
      <c r="I146" s="396"/>
      <c r="J146" s="396"/>
      <c r="K146" s="201"/>
      <c r="L146" s="201"/>
      <c r="M146" s="205"/>
      <c r="N146" s="396"/>
      <c r="O146" s="396"/>
      <c r="P146" s="396"/>
      <c r="Q146" s="201"/>
      <c r="R146" s="201"/>
      <c r="S146" s="205"/>
      <c r="T146" s="396"/>
      <c r="U146" s="396"/>
      <c r="V146" s="396"/>
      <c r="W146" s="201"/>
      <c r="X146" s="201"/>
      <c r="Y146" s="205"/>
      <c r="Z146" s="396"/>
      <c r="AA146" s="396"/>
      <c r="AB146" s="396"/>
      <c r="AC146" s="201"/>
      <c r="AD146" s="201"/>
      <c r="AE146" s="205"/>
      <c r="AF146" s="396"/>
      <c r="AG146" s="396"/>
      <c r="AH146" s="396"/>
      <c r="AI146" s="201"/>
      <c r="AJ146" s="201"/>
      <c r="AK146" s="205"/>
      <c r="AL146" s="396"/>
      <c r="AM146" s="396"/>
      <c r="AN146" s="396"/>
      <c r="AO146" s="201"/>
      <c r="AP146" s="201"/>
      <c r="AQ146" s="205"/>
      <c r="AR146" s="396"/>
      <c r="AS146" s="396"/>
      <c r="AT146" s="396"/>
      <c r="AU146" s="201"/>
      <c r="AV146" s="201"/>
      <c r="AW146" s="205"/>
      <c r="AX146" s="396"/>
      <c r="AY146" s="396"/>
      <c r="AZ146" s="396"/>
      <c r="BA146" s="201"/>
      <c r="BB146" s="201"/>
      <c r="BC146" s="205"/>
      <c r="BD146" s="396"/>
      <c r="BE146" s="396"/>
      <c r="BF146" s="396"/>
      <c r="BG146" s="201"/>
      <c r="BH146" s="201"/>
      <c r="BI146" s="205"/>
      <c r="BJ146" s="396"/>
      <c r="BK146" s="396"/>
      <c r="BL146" s="396"/>
      <c r="BM146" s="201"/>
      <c r="BN146" s="201"/>
      <c r="BO146" s="205"/>
      <c r="BP146" s="396"/>
      <c r="BQ146" s="396"/>
      <c r="BR146" s="396"/>
      <c r="BS146" s="201"/>
      <c r="BT146" s="201"/>
      <c r="BU146" s="205"/>
      <c r="BV146" s="396"/>
      <c r="BW146" s="396"/>
      <c r="BX146" s="396"/>
      <c r="BY146" s="201"/>
      <c r="BZ146" s="201"/>
      <c r="CA146" s="205"/>
      <c r="CB146" s="396"/>
      <c r="CC146" s="396"/>
      <c r="CD146" s="396"/>
      <c r="CE146" s="201"/>
      <c r="CF146" s="201"/>
      <c r="CG146" s="205"/>
      <c r="CH146" s="396"/>
      <c r="CI146" s="396"/>
      <c r="CJ146" s="396"/>
      <c r="CK146" s="201"/>
      <c r="CL146" s="201"/>
      <c r="CM146" s="205"/>
      <c r="CN146" s="396"/>
      <c r="CO146" s="396"/>
      <c r="CP146" s="396"/>
      <c r="CQ146" s="201"/>
      <c r="CR146" s="201"/>
      <c r="CS146" s="205"/>
      <c r="CT146" s="396"/>
      <c r="CU146" s="396"/>
      <c r="CV146" s="396"/>
      <c r="CW146" s="201"/>
      <c r="CX146" s="201"/>
      <c r="CY146" s="201"/>
      <c r="CZ146" s="396"/>
      <c r="DA146" s="396"/>
      <c r="DB146" s="396"/>
      <c r="DC146" s="201"/>
      <c r="DD146" s="201"/>
      <c r="DE146" s="205"/>
      <c r="DF146" s="396"/>
      <c r="DG146" s="396"/>
      <c r="DH146" s="396"/>
      <c r="DI146" s="201"/>
      <c r="DJ146" s="201"/>
      <c r="DK146" s="205"/>
      <c r="DL146" s="396"/>
      <c r="DM146" s="396"/>
      <c r="DN146" s="396"/>
    </row>
    <row r="147" spans="2:118" x14ac:dyDescent="0.35">
      <c r="B147" s="201"/>
      <c r="C147" s="13"/>
      <c r="D147" s="201" t="s">
        <v>478</v>
      </c>
      <c r="E147" s="202">
        <v>0</v>
      </c>
      <c r="F147" s="205">
        <f>IF(ISNUMBER(E137),E147*G147,0)</f>
        <v>0</v>
      </c>
      <c r="G147" s="205">
        <f t="shared" ref="G147" si="219">G139</f>
        <v>9.6763885069290581</v>
      </c>
      <c r="H147" s="396"/>
      <c r="I147" s="396"/>
      <c r="J147" s="396"/>
      <c r="K147" s="202">
        <v>0</v>
      </c>
      <c r="L147" s="205">
        <f>IF(ISNUMBER(K137),K147*M147,0)</f>
        <v>0</v>
      </c>
      <c r="M147" s="205">
        <f t="shared" ref="M147" si="220">M139</f>
        <v>9.6763897755767729</v>
      </c>
      <c r="N147" s="396"/>
      <c r="O147" s="396"/>
      <c r="P147" s="396"/>
      <c r="Q147" s="202">
        <v>0</v>
      </c>
      <c r="R147" s="205">
        <f>IF(ISNUMBER(Q137),Q147*S147,0)</f>
        <v>0</v>
      </c>
      <c r="S147" s="205">
        <f t="shared" ref="S147" si="221">S139</f>
        <v>9.6763897755767729</v>
      </c>
      <c r="T147" s="396"/>
      <c r="U147" s="396"/>
      <c r="V147" s="396"/>
      <c r="W147" s="202">
        <v>0</v>
      </c>
      <c r="X147" s="205">
        <f>IF(ISNUMBER(W137),W147*Y147,0)</f>
        <v>0</v>
      </c>
      <c r="Y147" s="205">
        <f t="shared" ref="Y147" si="222">Y139</f>
        <v>9.6650611947574188</v>
      </c>
      <c r="Z147" s="396"/>
      <c r="AA147" s="396"/>
      <c r="AB147" s="396"/>
      <c r="AC147" s="202">
        <v>0</v>
      </c>
      <c r="AD147" s="205">
        <f>IF(ISNUMBER(AC137),AC147*AE147,0)</f>
        <v>0</v>
      </c>
      <c r="AE147" s="205">
        <f t="shared" ref="AE147" si="223">AE139</f>
        <v>0.65071535556793747</v>
      </c>
      <c r="AF147" s="396"/>
      <c r="AG147" s="396"/>
      <c r="AH147" s="396"/>
      <c r="AI147" s="202">
        <v>0</v>
      </c>
      <c r="AJ147" s="205">
        <f>IF(ISNUMBER(AI137),AI147*AK147,0)</f>
        <v>0</v>
      </c>
      <c r="AK147" s="205">
        <f t="shared" ref="AK147" si="224">AK139</f>
        <v>0.65071535556793747</v>
      </c>
      <c r="AL147" s="396"/>
      <c r="AM147" s="396"/>
      <c r="AN147" s="396"/>
      <c r="AO147" s="202">
        <v>0</v>
      </c>
      <c r="AP147" s="205">
        <f>IF(ISNUMBER(AO137),AO147*AQ147,0)</f>
        <v>0</v>
      </c>
      <c r="AQ147" s="205">
        <f t="shared" ref="AQ147" si="225">AQ139</f>
        <v>0.65071535556793747</v>
      </c>
      <c r="AR147" s="396"/>
      <c r="AS147" s="396"/>
      <c r="AT147" s="396"/>
      <c r="AU147" s="202">
        <v>0</v>
      </c>
      <c r="AV147" s="205">
        <f>IF(ISNUMBER(AU137),AU147*AW147,0)</f>
        <v>0</v>
      </c>
      <c r="AW147" s="205">
        <f t="shared" ref="AW147" si="226">AW139</f>
        <v>0.65071555431964723</v>
      </c>
      <c r="AX147" s="396"/>
      <c r="AY147" s="396"/>
      <c r="AZ147" s="396"/>
      <c r="BA147" s="202">
        <v>0</v>
      </c>
      <c r="BB147" s="205">
        <f>IF(ISNUMBER(BA137),BA147*BC147,0)</f>
        <v>0</v>
      </c>
      <c r="BC147" s="205">
        <f t="shared" ref="BC147" si="227">BC139</f>
        <v>0.65071555431964723</v>
      </c>
      <c r="BD147" s="396"/>
      <c r="BE147" s="396"/>
      <c r="BF147" s="396"/>
      <c r="BG147" s="202">
        <v>0</v>
      </c>
      <c r="BH147" s="205">
        <f>IF(ISNUMBER(BG137),BG147*BI147,0)</f>
        <v>0</v>
      </c>
      <c r="BI147" s="205">
        <f t="shared" ref="BI147" si="228">BI139</f>
        <v>0.65071555431964723</v>
      </c>
      <c r="BJ147" s="396"/>
      <c r="BK147" s="396"/>
      <c r="BL147" s="396"/>
      <c r="BM147" s="202">
        <v>0</v>
      </c>
      <c r="BN147" s="205">
        <f>IF(ISNUMBER(BM137),BM147*BO147,0)</f>
        <v>0</v>
      </c>
      <c r="BO147" s="205">
        <f t="shared" ref="BO147" si="229">BO139</f>
        <v>37.566912393704222</v>
      </c>
      <c r="BP147" s="396"/>
      <c r="BQ147" s="396"/>
      <c r="BR147" s="396"/>
      <c r="BS147" s="202">
        <v>0</v>
      </c>
      <c r="BT147" s="205">
        <f>IF(ISNUMBER(BS137),BS147*BU147,0)</f>
        <v>0</v>
      </c>
      <c r="BU147" s="205">
        <f t="shared" ref="BU147" si="230">BU139</f>
        <v>37.535141508294224</v>
      </c>
      <c r="BV147" s="396"/>
      <c r="BW147" s="396"/>
      <c r="BX147" s="396"/>
      <c r="BY147" s="202">
        <v>0</v>
      </c>
      <c r="BZ147" s="205">
        <f>IF(ISNUMBER(BY137),BY147*CA147,0)</f>
        <v>0</v>
      </c>
      <c r="CA147" s="205">
        <f t="shared" ref="CA147" si="231">CA139</f>
        <v>0.6514341089756609</v>
      </c>
      <c r="CB147" s="396"/>
      <c r="CC147" s="396"/>
      <c r="CD147" s="396"/>
      <c r="CE147" s="202">
        <v>0</v>
      </c>
      <c r="CF147" s="205">
        <f>IF(ISNUMBER(CE137),CE147*CG147,0)</f>
        <v>0</v>
      </c>
      <c r="CG147" s="205">
        <f t="shared" ref="CG147" si="232">CG139</f>
        <v>0.6514341089756609</v>
      </c>
      <c r="CH147" s="396"/>
      <c r="CI147" s="396"/>
      <c r="CJ147" s="396"/>
      <c r="CK147" s="202">
        <v>0</v>
      </c>
      <c r="CL147" s="205">
        <f>IF(ISNUMBER(CK137),CK147*CM147,0)</f>
        <v>0</v>
      </c>
      <c r="CM147" s="205">
        <f t="shared" ref="CM147" si="233">CM139</f>
        <v>4.3705139128344889E-3</v>
      </c>
      <c r="CN147" s="396"/>
      <c r="CO147" s="396"/>
      <c r="CP147" s="396"/>
      <c r="CQ147" s="202">
        <v>0</v>
      </c>
      <c r="CR147" s="205">
        <f>IF(ISNUMBER(CQ137),CQ147*CS147,0)</f>
        <v>0</v>
      </c>
      <c r="CS147" s="205">
        <f t="shared" ref="CS147" si="234">CS139</f>
        <v>4.3705139128344889E-3</v>
      </c>
      <c r="CT147" s="396"/>
      <c r="CU147" s="396"/>
      <c r="CV147" s="396"/>
      <c r="CW147" s="201"/>
      <c r="CX147" s="201"/>
      <c r="CY147" s="205"/>
      <c r="CZ147" s="396"/>
      <c r="DA147" s="396"/>
      <c r="DB147" s="396"/>
      <c r="DC147" s="202">
        <v>0</v>
      </c>
      <c r="DD147" s="205">
        <f>IF(ISNUMBER(DC137),DC147*DE147,0)</f>
        <v>0</v>
      </c>
      <c r="DE147" s="205">
        <f t="shared" ref="DE147" si="235">DE139</f>
        <v>4.3705139128344889E-3</v>
      </c>
      <c r="DF147" s="396"/>
      <c r="DG147" s="396"/>
      <c r="DH147" s="396"/>
      <c r="DI147" s="202">
        <v>0</v>
      </c>
      <c r="DJ147" s="205">
        <f>IF(ISNUMBER(DI137),DI147*DK147,0)</f>
        <v>0</v>
      </c>
      <c r="DK147" s="205">
        <f t="shared" ref="DK147" si="236">DK139</f>
        <v>4.3705139128344889E-3</v>
      </c>
      <c r="DL147" s="396"/>
      <c r="DM147" s="396"/>
      <c r="DN147" s="396"/>
    </row>
    <row r="148" spans="2:118" x14ac:dyDescent="0.35">
      <c r="B148" s="201"/>
      <c r="C148" s="13"/>
      <c r="D148" s="13"/>
      <c r="E148" s="201"/>
      <c r="F148" s="201"/>
      <c r="G148" s="205"/>
      <c r="H148" s="396"/>
      <c r="I148" s="396"/>
      <c r="J148" s="396"/>
      <c r="K148" s="201"/>
      <c r="L148" s="201"/>
      <c r="M148" s="205"/>
      <c r="N148" s="396"/>
      <c r="O148" s="396"/>
      <c r="P148" s="396"/>
      <c r="Q148" s="201"/>
      <c r="R148" s="201"/>
      <c r="S148" s="205"/>
      <c r="T148" s="396"/>
      <c r="U148" s="396"/>
      <c r="V148" s="396"/>
      <c r="W148" s="201"/>
      <c r="X148" s="201"/>
      <c r="Y148" s="205"/>
      <c r="Z148" s="396"/>
      <c r="AA148" s="396"/>
      <c r="AB148" s="396"/>
      <c r="AC148" s="201"/>
      <c r="AD148" s="201"/>
      <c r="AE148" s="205"/>
      <c r="AF148" s="396"/>
      <c r="AG148" s="396"/>
      <c r="AH148" s="396"/>
      <c r="AI148" s="201"/>
      <c r="AJ148" s="201"/>
      <c r="AK148" s="205"/>
      <c r="AL148" s="396"/>
      <c r="AM148" s="396"/>
      <c r="AN148" s="396"/>
      <c r="AO148" s="201"/>
      <c r="AP148" s="201"/>
      <c r="AQ148" s="205"/>
      <c r="AR148" s="396"/>
      <c r="AS148" s="396"/>
      <c r="AT148" s="396"/>
      <c r="AU148" s="201"/>
      <c r="AV148" s="201"/>
      <c r="AW148" s="205"/>
      <c r="AX148" s="396"/>
      <c r="AY148" s="396"/>
      <c r="AZ148" s="396"/>
      <c r="BA148" s="201"/>
      <c r="BB148" s="201"/>
      <c r="BC148" s="205"/>
      <c r="BD148" s="396"/>
      <c r="BE148" s="396"/>
      <c r="BF148" s="396"/>
      <c r="BG148" s="201"/>
      <c r="BH148" s="201"/>
      <c r="BI148" s="205"/>
      <c r="BJ148" s="396"/>
      <c r="BK148" s="396"/>
      <c r="BL148" s="396"/>
      <c r="BM148" s="201"/>
      <c r="BN148" s="201"/>
      <c r="BO148" s="205"/>
      <c r="BP148" s="396"/>
      <c r="BQ148" s="396"/>
      <c r="BR148" s="396"/>
      <c r="BS148" s="201"/>
      <c r="BT148" s="201"/>
      <c r="BU148" s="205"/>
      <c r="BV148" s="396"/>
      <c r="BW148" s="396"/>
      <c r="BX148" s="396"/>
      <c r="BY148" s="201"/>
      <c r="BZ148" s="201"/>
      <c r="CA148" s="205"/>
      <c r="CB148" s="396"/>
      <c r="CC148" s="396"/>
      <c r="CD148" s="396"/>
      <c r="CE148" s="201"/>
      <c r="CF148" s="201"/>
      <c r="CG148" s="205"/>
      <c r="CH148" s="396"/>
      <c r="CI148" s="396"/>
      <c r="CJ148" s="396"/>
      <c r="CK148" s="201"/>
      <c r="CL148" s="201"/>
      <c r="CM148" s="205"/>
      <c r="CN148" s="396"/>
      <c r="CO148" s="396"/>
      <c r="CP148" s="396"/>
      <c r="CQ148" s="201"/>
      <c r="CR148" s="201"/>
      <c r="CS148" s="205"/>
      <c r="CT148" s="396"/>
      <c r="CU148" s="396"/>
      <c r="CV148" s="396"/>
      <c r="CW148" s="202">
        <v>0</v>
      </c>
      <c r="CX148" s="205" t="e">
        <f>IF(ISNUMBER(CW138),CW148*CY148,0)</f>
        <v>#VALUE!</v>
      </c>
      <c r="CY148" s="205" t="e">
        <f t="shared" ref="CY148" si="237">CY140</f>
        <v>#VALUE!</v>
      </c>
      <c r="CZ148" s="396"/>
      <c r="DA148" s="396"/>
      <c r="DB148" s="396"/>
      <c r="DC148" s="201"/>
      <c r="DD148" s="201"/>
      <c r="DE148" s="205"/>
      <c r="DF148" s="396"/>
      <c r="DG148" s="396"/>
      <c r="DH148" s="396"/>
      <c r="DI148" s="201"/>
      <c r="DJ148" s="201"/>
      <c r="DK148" s="205"/>
      <c r="DL148" s="396"/>
      <c r="DM148" s="396"/>
      <c r="DN148" s="396"/>
    </row>
    <row r="149" spans="2:118" x14ac:dyDescent="0.35">
      <c r="B149" s="201"/>
      <c r="C149" s="201"/>
      <c r="D149" s="201"/>
      <c r="E149" s="201"/>
      <c r="F149" s="201"/>
      <c r="G149" s="205"/>
      <c r="H149" s="396"/>
      <c r="I149" s="396"/>
      <c r="J149" s="396"/>
      <c r="K149" s="201"/>
      <c r="L149" s="201"/>
      <c r="M149" s="205"/>
      <c r="N149" s="396"/>
      <c r="O149" s="396"/>
      <c r="P149" s="396"/>
      <c r="Q149" s="201"/>
      <c r="R149" s="201"/>
      <c r="S149" s="205"/>
      <c r="T149" s="396"/>
      <c r="U149" s="396"/>
      <c r="V149" s="396"/>
      <c r="W149" s="201"/>
      <c r="X149" s="201"/>
      <c r="Y149" s="205"/>
      <c r="Z149" s="396"/>
      <c r="AA149" s="396"/>
      <c r="AB149" s="396"/>
      <c r="AC149" s="201"/>
      <c r="AD149" s="201"/>
      <c r="AE149" s="205"/>
      <c r="AF149" s="396"/>
      <c r="AG149" s="396"/>
      <c r="AH149" s="396"/>
      <c r="AI149" s="201"/>
      <c r="AJ149" s="201"/>
      <c r="AK149" s="205"/>
      <c r="AL149" s="396"/>
      <c r="AM149" s="396"/>
      <c r="AN149" s="396"/>
      <c r="AO149" s="201"/>
      <c r="AP149" s="201"/>
      <c r="AQ149" s="205"/>
      <c r="AR149" s="396"/>
      <c r="AS149" s="396"/>
      <c r="AT149" s="396"/>
      <c r="AU149" s="201"/>
      <c r="AV149" s="201"/>
      <c r="AW149" s="205"/>
      <c r="AX149" s="396"/>
      <c r="AY149" s="396"/>
      <c r="AZ149" s="396"/>
      <c r="BA149" s="201"/>
      <c r="BB149" s="201"/>
      <c r="BC149" s="205"/>
      <c r="BD149" s="396"/>
      <c r="BE149" s="396"/>
      <c r="BF149" s="396"/>
      <c r="BG149" s="201"/>
      <c r="BH149" s="201"/>
      <c r="BI149" s="205"/>
      <c r="BJ149" s="396"/>
      <c r="BK149" s="396"/>
      <c r="BL149" s="396"/>
      <c r="BM149" s="201"/>
      <c r="BN149" s="201"/>
      <c r="BO149" s="205"/>
      <c r="BP149" s="396"/>
      <c r="BQ149" s="396"/>
      <c r="BR149" s="396"/>
      <c r="BS149" s="201"/>
      <c r="BT149" s="201"/>
      <c r="BU149" s="205"/>
      <c r="BV149" s="396"/>
      <c r="BW149" s="396"/>
      <c r="BX149" s="396"/>
      <c r="BY149" s="201"/>
      <c r="BZ149" s="201"/>
      <c r="CA149" s="205"/>
      <c r="CB149" s="396"/>
      <c r="CC149" s="396"/>
      <c r="CD149" s="396"/>
      <c r="CE149" s="201"/>
      <c r="CF149" s="201"/>
      <c r="CG149" s="205"/>
      <c r="CH149" s="396"/>
      <c r="CI149" s="396"/>
      <c r="CJ149" s="396"/>
      <c r="CK149" s="201"/>
      <c r="CL149" s="201"/>
      <c r="CM149" s="205"/>
      <c r="CN149" s="396"/>
      <c r="CO149" s="396"/>
      <c r="CP149" s="396"/>
      <c r="CQ149" s="201"/>
      <c r="CR149" s="201"/>
      <c r="CS149" s="205"/>
      <c r="CT149" s="396"/>
      <c r="CU149" s="396"/>
      <c r="CV149" s="396"/>
      <c r="CW149" s="201"/>
      <c r="CX149" s="201"/>
      <c r="CY149" s="205"/>
      <c r="CZ149" s="396"/>
      <c r="DA149" s="396"/>
      <c r="DB149" s="396"/>
      <c r="DC149" s="201"/>
      <c r="DD149" s="201"/>
      <c r="DE149" s="205"/>
      <c r="DF149" s="396"/>
      <c r="DG149" s="396"/>
      <c r="DH149" s="396"/>
      <c r="DI149" s="201"/>
      <c r="DJ149" s="201"/>
      <c r="DK149" s="205"/>
      <c r="DL149" s="396"/>
      <c r="DM149" s="396"/>
      <c r="DN149" s="396"/>
    </row>
    <row r="150" spans="2:118" x14ac:dyDescent="0.35">
      <c r="B150" s="203" t="s">
        <v>490</v>
      </c>
      <c r="C150" s="203"/>
      <c r="D150" s="203"/>
      <c r="E150" s="203"/>
      <c r="F150" s="201"/>
      <c r="G150" s="205"/>
      <c r="H150" s="396"/>
      <c r="I150" s="396"/>
      <c r="J150" s="396"/>
      <c r="K150" s="203"/>
      <c r="L150" s="201"/>
      <c r="M150" s="205"/>
      <c r="N150" s="396"/>
      <c r="O150" s="396"/>
      <c r="P150" s="396"/>
      <c r="Q150" s="203"/>
      <c r="R150" s="201"/>
      <c r="S150" s="205"/>
      <c r="T150" s="396"/>
      <c r="U150" s="396"/>
      <c r="V150" s="396"/>
      <c r="W150" s="203"/>
      <c r="X150" s="201"/>
      <c r="Y150" s="205"/>
      <c r="Z150" s="396"/>
      <c r="AA150" s="396"/>
      <c r="AB150" s="396"/>
      <c r="AC150" s="203"/>
      <c r="AD150" s="201"/>
      <c r="AE150" s="205"/>
      <c r="AF150" s="396"/>
      <c r="AG150" s="396"/>
      <c r="AH150" s="396"/>
      <c r="AI150" s="203"/>
      <c r="AJ150" s="201"/>
      <c r="AK150" s="205"/>
      <c r="AL150" s="396"/>
      <c r="AM150" s="396"/>
      <c r="AN150" s="396"/>
      <c r="AO150" s="203"/>
      <c r="AP150" s="201"/>
      <c r="AQ150" s="205"/>
      <c r="AR150" s="396"/>
      <c r="AS150" s="396"/>
      <c r="AT150" s="396"/>
      <c r="AU150" s="203"/>
      <c r="AV150" s="201"/>
      <c r="AW150" s="205"/>
      <c r="AX150" s="396"/>
      <c r="AY150" s="396"/>
      <c r="AZ150" s="396"/>
      <c r="BA150" s="203"/>
      <c r="BB150" s="201"/>
      <c r="BC150" s="205"/>
      <c r="BD150" s="396"/>
      <c r="BE150" s="396"/>
      <c r="BF150" s="396"/>
      <c r="BG150" s="203"/>
      <c r="BH150" s="201"/>
      <c r="BI150" s="205"/>
      <c r="BJ150" s="396"/>
      <c r="BK150" s="396"/>
      <c r="BL150" s="396"/>
      <c r="BM150" s="203"/>
      <c r="BN150" s="201"/>
      <c r="BO150" s="205"/>
      <c r="BP150" s="396"/>
      <c r="BQ150" s="396"/>
      <c r="BR150" s="396"/>
      <c r="BS150" s="203"/>
      <c r="BT150" s="201"/>
      <c r="BU150" s="205"/>
      <c r="BV150" s="396"/>
      <c r="BW150" s="396"/>
      <c r="BX150" s="396"/>
      <c r="BY150" s="203"/>
      <c r="BZ150" s="201"/>
      <c r="CA150" s="205"/>
      <c r="CB150" s="396"/>
      <c r="CC150" s="396"/>
      <c r="CD150" s="396"/>
      <c r="CE150" s="203"/>
      <c r="CF150" s="201"/>
      <c r="CG150" s="205"/>
      <c r="CH150" s="396"/>
      <c r="CI150" s="396"/>
      <c r="CJ150" s="396"/>
      <c r="CK150" s="203"/>
      <c r="CL150" s="201"/>
      <c r="CM150" s="205"/>
      <c r="CN150" s="396"/>
      <c r="CO150" s="396"/>
      <c r="CP150" s="396"/>
      <c r="CQ150" s="203"/>
      <c r="CR150" s="201"/>
      <c r="CS150" s="205"/>
      <c r="CT150" s="396"/>
      <c r="CU150" s="396"/>
      <c r="CV150" s="396"/>
      <c r="CW150" s="201"/>
      <c r="CX150" s="201"/>
      <c r="CY150" s="205"/>
      <c r="CZ150" s="396"/>
      <c r="DA150" s="396"/>
      <c r="DB150" s="396"/>
      <c r="DC150" s="203"/>
      <c r="DD150" s="201"/>
      <c r="DE150" s="205"/>
      <c r="DF150" s="396"/>
      <c r="DG150" s="396"/>
      <c r="DH150" s="396"/>
      <c r="DI150" s="203"/>
      <c r="DJ150" s="201"/>
      <c r="DK150" s="205"/>
      <c r="DL150" s="396"/>
      <c r="DM150" s="396"/>
      <c r="DN150" s="396"/>
    </row>
    <row r="151" spans="2:118" x14ac:dyDescent="0.35">
      <c r="B151" s="208" t="s">
        <v>491</v>
      </c>
      <c r="C151" s="13"/>
      <c r="D151" s="13"/>
      <c r="E151" s="201"/>
      <c r="F151" s="201"/>
      <c r="G151" s="205"/>
      <c r="H151" s="396"/>
      <c r="I151" s="396"/>
      <c r="J151" s="396"/>
      <c r="K151" s="201"/>
      <c r="L151" s="201"/>
      <c r="M151" s="205"/>
      <c r="N151" s="396"/>
      <c r="O151" s="396"/>
      <c r="P151" s="396"/>
      <c r="Q151" s="201"/>
      <c r="R151" s="201"/>
      <c r="S151" s="205"/>
      <c r="T151" s="396"/>
      <c r="U151" s="396"/>
      <c r="V151" s="396"/>
      <c r="W151" s="201"/>
      <c r="X151" s="201"/>
      <c r="Y151" s="205"/>
      <c r="Z151" s="396"/>
      <c r="AA151" s="396"/>
      <c r="AB151" s="396"/>
      <c r="AC151" s="201"/>
      <c r="AD151" s="201"/>
      <c r="AE151" s="205"/>
      <c r="AF151" s="396"/>
      <c r="AG151" s="396"/>
      <c r="AH151" s="396"/>
      <c r="AI151" s="201"/>
      <c r="AJ151" s="201"/>
      <c r="AK151" s="205"/>
      <c r="AL151" s="396"/>
      <c r="AM151" s="396"/>
      <c r="AN151" s="396"/>
      <c r="AO151" s="201"/>
      <c r="AP151" s="201"/>
      <c r="AQ151" s="205"/>
      <c r="AR151" s="396"/>
      <c r="AS151" s="396"/>
      <c r="AT151" s="396"/>
      <c r="AU151" s="201"/>
      <c r="AV151" s="201"/>
      <c r="AW151" s="205"/>
      <c r="AX151" s="396"/>
      <c r="AY151" s="396"/>
      <c r="AZ151" s="396"/>
      <c r="BA151" s="201"/>
      <c r="BB151" s="201"/>
      <c r="BC151" s="205"/>
      <c r="BD151" s="396"/>
      <c r="BE151" s="396"/>
      <c r="BF151" s="396"/>
      <c r="BG151" s="201"/>
      <c r="BH151" s="201"/>
      <c r="BI151" s="205"/>
      <c r="BJ151" s="396"/>
      <c r="BK151" s="396"/>
      <c r="BL151" s="396"/>
      <c r="BM151" s="201"/>
      <c r="BN151" s="201"/>
      <c r="BO151" s="205"/>
      <c r="BP151" s="396"/>
      <c r="BQ151" s="396"/>
      <c r="BR151" s="396"/>
      <c r="BS151" s="201"/>
      <c r="BT151" s="201"/>
      <c r="BU151" s="205"/>
      <c r="BV151" s="396"/>
      <c r="BW151" s="396"/>
      <c r="BX151" s="396"/>
      <c r="BY151" s="201"/>
      <c r="BZ151" s="201"/>
      <c r="CA151" s="205"/>
      <c r="CB151" s="396"/>
      <c r="CC151" s="396"/>
      <c r="CD151" s="396"/>
      <c r="CE151" s="201"/>
      <c r="CF151" s="201"/>
      <c r="CG151" s="205"/>
      <c r="CH151" s="396"/>
      <c r="CI151" s="396"/>
      <c r="CJ151" s="396"/>
      <c r="CK151" s="201"/>
      <c r="CL151" s="201"/>
      <c r="CM151" s="205"/>
      <c r="CN151" s="396"/>
      <c r="CO151" s="396"/>
      <c r="CP151" s="396"/>
      <c r="CQ151" s="201"/>
      <c r="CR151" s="201"/>
      <c r="CS151" s="205"/>
      <c r="CT151" s="396"/>
      <c r="CU151" s="396"/>
      <c r="CV151" s="396"/>
      <c r="CW151" s="203"/>
      <c r="CX151" s="201"/>
      <c r="CY151" s="205"/>
      <c r="CZ151" s="396"/>
      <c r="DA151" s="396"/>
      <c r="DB151" s="396"/>
      <c r="DC151" s="201"/>
      <c r="DD151" s="201"/>
      <c r="DE151" s="205"/>
      <c r="DF151" s="396"/>
      <c r="DG151" s="396"/>
      <c r="DH151" s="396"/>
      <c r="DI151" s="201"/>
      <c r="DJ151" s="201"/>
      <c r="DK151" s="205"/>
      <c r="DL151" s="396"/>
      <c r="DM151" s="396"/>
      <c r="DN151" s="396"/>
    </row>
    <row r="152" spans="2:118" x14ac:dyDescent="0.35">
      <c r="B152" s="201"/>
      <c r="C152" s="13"/>
      <c r="D152" s="13"/>
      <c r="E152" s="201"/>
      <c r="F152" s="201"/>
      <c r="G152" s="205"/>
      <c r="H152" s="396"/>
      <c r="I152" s="396"/>
      <c r="J152" s="396"/>
      <c r="K152" s="201"/>
      <c r="L152" s="201"/>
      <c r="M152" s="205"/>
      <c r="N152" s="396"/>
      <c r="O152" s="396"/>
      <c r="P152" s="396"/>
      <c r="Q152" s="201"/>
      <c r="R152" s="201"/>
      <c r="S152" s="205"/>
      <c r="T152" s="396"/>
      <c r="U152" s="396"/>
      <c r="V152" s="396"/>
      <c r="W152" s="201"/>
      <c r="X152" s="201"/>
      <c r="Y152" s="205"/>
      <c r="Z152" s="396"/>
      <c r="AA152" s="396"/>
      <c r="AB152" s="396"/>
      <c r="AC152" s="201"/>
      <c r="AD152" s="201"/>
      <c r="AE152" s="205"/>
      <c r="AF152" s="396"/>
      <c r="AG152" s="396"/>
      <c r="AH152" s="396"/>
      <c r="AI152" s="201"/>
      <c r="AJ152" s="201"/>
      <c r="AK152" s="205"/>
      <c r="AL152" s="396"/>
      <c r="AM152" s="396"/>
      <c r="AN152" s="396"/>
      <c r="AO152" s="201"/>
      <c r="AP152" s="201"/>
      <c r="AQ152" s="205"/>
      <c r="AR152" s="396"/>
      <c r="AS152" s="396"/>
      <c r="AT152" s="396"/>
      <c r="AU152" s="201"/>
      <c r="AV152" s="201"/>
      <c r="AW152" s="205"/>
      <c r="AX152" s="396"/>
      <c r="AY152" s="396"/>
      <c r="AZ152" s="396"/>
      <c r="BA152" s="201"/>
      <c r="BB152" s="201"/>
      <c r="BC152" s="205"/>
      <c r="BD152" s="396"/>
      <c r="BE152" s="396"/>
      <c r="BF152" s="396"/>
      <c r="BG152" s="201"/>
      <c r="BH152" s="201"/>
      <c r="BI152" s="205"/>
      <c r="BJ152" s="396"/>
      <c r="BK152" s="396"/>
      <c r="BL152" s="396"/>
      <c r="BM152" s="201"/>
      <c r="BN152" s="201"/>
      <c r="BO152" s="205"/>
      <c r="BP152" s="396"/>
      <c r="BQ152" s="396"/>
      <c r="BR152" s="396"/>
      <c r="BS152" s="201"/>
      <c r="BT152" s="201"/>
      <c r="BU152" s="205"/>
      <c r="BV152" s="396"/>
      <c r="BW152" s="396"/>
      <c r="BX152" s="396"/>
      <c r="BY152" s="201"/>
      <c r="BZ152" s="201"/>
      <c r="CA152" s="205"/>
      <c r="CB152" s="396"/>
      <c r="CC152" s="396"/>
      <c r="CD152" s="396"/>
      <c r="CE152" s="201"/>
      <c r="CF152" s="201"/>
      <c r="CG152" s="205"/>
      <c r="CH152" s="396"/>
      <c r="CI152" s="396"/>
      <c r="CJ152" s="396"/>
      <c r="CK152" s="201"/>
      <c r="CL152" s="201"/>
      <c r="CM152" s="205"/>
      <c r="CN152" s="396"/>
      <c r="CO152" s="396"/>
      <c r="CP152" s="396"/>
      <c r="CQ152" s="201"/>
      <c r="CR152" s="201"/>
      <c r="CS152" s="205"/>
      <c r="CT152" s="396"/>
      <c r="CU152" s="396"/>
      <c r="CV152" s="396"/>
      <c r="CW152" s="201"/>
      <c r="CX152" s="201"/>
      <c r="CY152" s="205"/>
      <c r="CZ152" s="396"/>
      <c r="DA152" s="396"/>
      <c r="DB152" s="396"/>
      <c r="DC152" s="201"/>
      <c r="DD152" s="201"/>
      <c r="DE152" s="205"/>
      <c r="DF152" s="396"/>
      <c r="DG152" s="396"/>
      <c r="DH152" s="396"/>
      <c r="DI152" s="201"/>
      <c r="DJ152" s="201"/>
      <c r="DK152" s="205"/>
      <c r="DL152" s="396"/>
      <c r="DM152" s="396"/>
      <c r="DN152" s="396"/>
    </row>
    <row r="153" spans="2:118" x14ac:dyDescent="0.35">
      <c r="B153" s="201"/>
      <c r="C153" s="13"/>
      <c r="D153" s="201" t="s">
        <v>478</v>
      </c>
      <c r="E153" s="202">
        <v>0</v>
      </c>
      <c r="F153" s="205">
        <f>IF(ISNUMBER(E153),E153*G153,0)</f>
        <v>0</v>
      </c>
      <c r="G153" s="205">
        <v>0.5</v>
      </c>
      <c r="H153" s="202" t="s">
        <v>499</v>
      </c>
      <c r="I153" s="202" t="s">
        <v>500</v>
      </c>
      <c r="J153" s="396"/>
      <c r="K153" s="202">
        <v>0</v>
      </c>
      <c r="L153" s="205">
        <f>IF(ISNUMBER(K153),K153*M153,0)</f>
        <v>0</v>
      </c>
      <c r="M153" s="205">
        <v>0.5</v>
      </c>
      <c r="N153" s="202" t="s">
        <v>499</v>
      </c>
      <c r="O153" s="202" t="s">
        <v>500</v>
      </c>
      <c r="P153" s="396"/>
      <c r="Q153" s="202">
        <v>0</v>
      </c>
      <c r="R153" s="205">
        <f>IF(ISNUMBER(Q153),Q153*S153,0)</f>
        <v>0</v>
      </c>
      <c r="S153" s="205">
        <v>0.5</v>
      </c>
      <c r="T153" s="202" t="s">
        <v>499</v>
      </c>
      <c r="U153" s="202" t="s">
        <v>500</v>
      </c>
      <c r="V153" s="396"/>
      <c r="W153" s="202">
        <v>0</v>
      </c>
      <c r="X153" s="205">
        <f>IF(ISNUMBER(W153),W153*Y153,0)</f>
        <v>0</v>
      </c>
      <c r="Y153" s="205">
        <v>0.5</v>
      </c>
      <c r="Z153" s="202" t="s">
        <v>499</v>
      </c>
      <c r="AA153" s="202" t="s">
        <v>500</v>
      </c>
      <c r="AB153" s="396"/>
      <c r="AC153" s="202">
        <v>0</v>
      </c>
      <c r="AD153" s="205">
        <f>IF(ISNUMBER(AC153),AC153*AE153,0)</f>
        <v>0</v>
      </c>
      <c r="AE153" s="205">
        <v>0.5</v>
      </c>
      <c r="AF153" s="202" t="s">
        <v>499</v>
      </c>
      <c r="AG153" s="202" t="s">
        <v>500</v>
      </c>
      <c r="AH153" s="396"/>
      <c r="AI153" s="202">
        <v>0</v>
      </c>
      <c r="AJ153" s="205">
        <f>IF(ISNUMBER(AI153),AI153*AK153,0)</f>
        <v>0</v>
      </c>
      <c r="AK153" s="205">
        <v>0.5</v>
      </c>
      <c r="AL153" s="202" t="s">
        <v>499</v>
      </c>
      <c r="AM153" s="202" t="s">
        <v>500</v>
      </c>
      <c r="AN153" s="396"/>
      <c r="AO153" s="202">
        <v>0</v>
      </c>
      <c r="AP153" s="205">
        <f>IF(ISNUMBER(AO153),AO153*AQ153,0)</f>
        <v>0</v>
      </c>
      <c r="AQ153" s="205">
        <v>0.5</v>
      </c>
      <c r="AR153" s="202" t="s">
        <v>499</v>
      </c>
      <c r="AS153" s="202" t="s">
        <v>500</v>
      </c>
      <c r="AT153" s="396"/>
      <c r="AU153" s="202">
        <v>0</v>
      </c>
      <c r="AV153" s="205">
        <f>IF(ISNUMBER(AU153),AU153*AW153,0)</f>
        <v>0</v>
      </c>
      <c r="AW153" s="205">
        <v>0.5</v>
      </c>
      <c r="AX153" s="202" t="s">
        <v>499</v>
      </c>
      <c r="AY153" s="202" t="s">
        <v>500</v>
      </c>
      <c r="AZ153" s="396"/>
      <c r="BA153" s="202">
        <v>0</v>
      </c>
      <c r="BB153" s="205">
        <f>IF(ISNUMBER(BA153),BA153*BC153,0)</f>
        <v>0</v>
      </c>
      <c r="BC153" s="205">
        <v>0.5</v>
      </c>
      <c r="BD153" s="202" t="s">
        <v>499</v>
      </c>
      <c r="BE153" s="202" t="s">
        <v>500</v>
      </c>
      <c r="BF153" s="396"/>
      <c r="BG153" s="202">
        <v>0</v>
      </c>
      <c r="BH153" s="205">
        <f>IF(ISNUMBER(BG153),BG153*BI153,0)</f>
        <v>0</v>
      </c>
      <c r="BI153" s="205">
        <v>0.5</v>
      </c>
      <c r="BJ153" s="202" t="s">
        <v>499</v>
      </c>
      <c r="BK153" s="202" t="s">
        <v>500</v>
      </c>
      <c r="BL153" s="396"/>
      <c r="BM153" s="202">
        <v>0</v>
      </c>
      <c r="BN153" s="205">
        <f>IF(ISNUMBER(BM153),BM153*BO153,0)</f>
        <v>0</v>
      </c>
      <c r="BO153" s="205">
        <v>0.5</v>
      </c>
      <c r="BP153" s="202" t="s">
        <v>499</v>
      </c>
      <c r="BQ153" s="202" t="s">
        <v>500</v>
      </c>
      <c r="BR153" s="396"/>
      <c r="BS153" s="202">
        <v>0</v>
      </c>
      <c r="BT153" s="205">
        <f>IF(ISNUMBER(BS153),BS153*BU153,0)</f>
        <v>0</v>
      </c>
      <c r="BU153" s="205">
        <v>0.5</v>
      </c>
      <c r="BV153" s="202" t="s">
        <v>499</v>
      </c>
      <c r="BW153" s="202" t="s">
        <v>500</v>
      </c>
      <c r="BX153" s="396"/>
      <c r="BY153" s="202">
        <v>0</v>
      </c>
      <c r="BZ153" s="205">
        <f>IF(ISNUMBER(BY153),BY153*CA153,0)</f>
        <v>0</v>
      </c>
      <c r="CA153" s="205">
        <v>0.5</v>
      </c>
      <c r="CB153" s="202" t="s">
        <v>499</v>
      </c>
      <c r="CC153" s="202" t="s">
        <v>500</v>
      </c>
      <c r="CD153" s="396"/>
      <c r="CE153" s="202">
        <v>0</v>
      </c>
      <c r="CF153" s="205">
        <f>IF(ISNUMBER(CE153),CE153*CG153,0)</f>
        <v>0</v>
      </c>
      <c r="CG153" s="205">
        <v>0.5</v>
      </c>
      <c r="CH153" s="202" t="s">
        <v>499</v>
      </c>
      <c r="CI153" s="202" t="s">
        <v>500</v>
      </c>
      <c r="CJ153" s="396"/>
      <c r="CK153" s="202">
        <v>0</v>
      </c>
      <c r="CL153" s="205">
        <f>IF(ISNUMBER(CK153),CK153*CM153,0)</f>
        <v>0</v>
      </c>
      <c r="CM153" s="205">
        <v>0.5</v>
      </c>
      <c r="CN153" s="202" t="s">
        <v>499</v>
      </c>
      <c r="CO153" s="202" t="s">
        <v>500</v>
      </c>
      <c r="CP153" s="396"/>
      <c r="CQ153" s="202">
        <v>0</v>
      </c>
      <c r="CR153" s="205">
        <f>IF(ISNUMBER(CQ153),CQ153*CS153,0)</f>
        <v>0</v>
      </c>
      <c r="CS153" s="205">
        <v>0.5</v>
      </c>
      <c r="CT153" s="202" t="s">
        <v>499</v>
      </c>
      <c r="CU153" s="202" t="s">
        <v>500</v>
      </c>
      <c r="CV153" s="396"/>
      <c r="CW153" s="201"/>
      <c r="CX153" s="201"/>
      <c r="CY153" s="205"/>
      <c r="CZ153" s="396"/>
      <c r="DA153" s="396"/>
      <c r="DB153" s="396"/>
      <c r="DC153" s="202">
        <v>0</v>
      </c>
      <c r="DD153" s="205">
        <f>IF(ISNUMBER(DC153),DC153*DE153,0)</f>
        <v>0</v>
      </c>
      <c r="DE153" s="205">
        <v>0.5</v>
      </c>
      <c r="DF153" s="202" t="s">
        <v>499</v>
      </c>
      <c r="DG153" s="202" t="s">
        <v>500</v>
      </c>
      <c r="DH153" s="396"/>
      <c r="DI153" s="202">
        <v>0</v>
      </c>
      <c r="DJ153" s="205">
        <f>IF(ISNUMBER(DI153),DI153*DK153,0)</f>
        <v>0</v>
      </c>
      <c r="DK153" s="205">
        <v>0.5</v>
      </c>
      <c r="DL153" s="202" t="s">
        <v>499</v>
      </c>
      <c r="DM153" s="202" t="s">
        <v>500</v>
      </c>
      <c r="DN153" s="396"/>
    </row>
    <row r="154" spans="2:118" x14ac:dyDescent="0.35">
      <c r="B154" s="201"/>
      <c r="C154" s="13"/>
      <c r="D154" s="13"/>
      <c r="E154" s="201"/>
      <c r="F154" s="201"/>
      <c r="G154" s="205"/>
      <c r="H154" s="202">
        <v>0.02</v>
      </c>
      <c r="I154" s="202">
        <v>0.28000000000000003</v>
      </c>
      <c r="J154" s="396"/>
      <c r="K154" s="201"/>
      <c r="L154" s="201"/>
      <c r="M154" s="205"/>
      <c r="N154" s="202">
        <v>0.02</v>
      </c>
      <c r="O154" s="202">
        <v>0.28000000000000003</v>
      </c>
      <c r="P154" s="396"/>
      <c r="Q154" s="201"/>
      <c r="R154" s="201"/>
      <c r="S154" s="205"/>
      <c r="T154" s="202">
        <v>0.02</v>
      </c>
      <c r="U154" s="202">
        <v>0.28000000000000003</v>
      </c>
      <c r="V154" s="396"/>
      <c r="W154" s="201"/>
      <c r="X154" s="201"/>
      <c r="Y154" s="205"/>
      <c r="Z154" s="202">
        <v>0.02</v>
      </c>
      <c r="AA154" s="202">
        <v>0.28000000000000003</v>
      </c>
      <c r="AB154" s="396"/>
      <c r="AC154" s="201"/>
      <c r="AD154" s="201"/>
      <c r="AE154" s="205"/>
      <c r="AF154" s="202">
        <v>0.02</v>
      </c>
      <c r="AG154" s="202">
        <v>0.28000000000000003</v>
      </c>
      <c r="AH154" s="396"/>
      <c r="AI154" s="201"/>
      <c r="AJ154" s="201"/>
      <c r="AK154" s="205"/>
      <c r="AL154" s="202">
        <v>0.02</v>
      </c>
      <c r="AM154" s="202">
        <v>0.28000000000000003</v>
      </c>
      <c r="AN154" s="396"/>
      <c r="AO154" s="201"/>
      <c r="AP154" s="201"/>
      <c r="AQ154" s="205"/>
      <c r="AR154" s="202">
        <v>0.02</v>
      </c>
      <c r="AS154" s="202">
        <v>0.28000000000000003</v>
      </c>
      <c r="AT154" s="396"/>
      <c r="AU154" s="201"/>
      <c r="AV154" s="201"/>
      <c r="AW154" s="205"/>
      <c r="AX154" s="202">
        <v>0.02</v>
      </c>
      <c r="AY154" s="202">
        <v>0.28000000000000003</v>
      </c>
      <c r="AZ154" s="396"/>
      <c r="BA154" s="201"/>
      <c r="BB154" s="201"/>
      <c r="BC154" s="205"/>
      <c r="BD154" s="202">
        <v>0.02</v>
      </c>
      <c r="BE154" s="202">
        <v>0.28000000000000003</v>
      </c>
      <c r="BF154" s="396"/>
      <c r="BG154" s="201"/>
      <c r="BH154" s="201"/>
      <c r="BI154" s="205"/>
      <c r="BJ154" s="202">
        <v>0.02</v>
      </c>
      <c r="BK154" s="202">
        <v>0.28000000000000003</v>
      </c>
      <c r="BL154" s="396"/>
      <c r="BM154" s="201"/>
      <c r="BN154" s="201"/>
      <c r="BO154" s="205"/>
      <c r="BP154" s="202">
        <v>0.02</v>
      </c>
      <c r="BQ154" s="202">
        <v>0.28000000000000003</v>
      </c>
      <c r="BR154" s="396"/>
      <c r="BS154" s="201"/>
      <c r="BT154" s="201"/>
      <c r="BU154" s="205"/>
      <c r="BV154" s="202">
        <v>0.02</v>
      </c>
      <c r="BW154" s="202">
        <v>0.28000000000000003</v>
      </c>
      <c r="BX154" s="396"/>
      <c r="BY154" s="201"/>
      <c r="BZ154" s="201"/>
      <c r="CA154" s="205"/>
      <c r="CB154" s="202">
        <v>0.02</v>
      </c>
      <c r="CC154" s="202">
        <v>0.28000000000000003</v>
      </c>
      <c r="CD154" s="396"/>
      <c r="CE154" s="201"/>
      <c r="CF154" s="201"/>
      <c r="CG154" s="205"/>
      <c r="CH154" s="202">
        <v>0.02</v>
      </c>
      <c r="CI154" s="202">
        <v>0.28000000000000003</v>
      </c>
      <c r="CJ154" s="396"/>
      <c r="CK154" s="201"/>
      <c r="CL154" s="201"/>
      <c r="CM154" s="205"/>
      <c r="CN154" s="202">
        <v>0.02</v>
      </c>
      <c r="CO154" s="202">
        <v>0.28000000000000003</v>
      </c>
      <c r="CP154" s="396"/>
      <c r="CQ154" s="201"/>
      <c r="CR154" s="201"/>
      <c r="CS154" s="205"/>
      <c r="CT154" s="202">
        <v>0.02</v>
      </c>
      <c r="CU154" s="202">
        <v>0.28000000000000003</v>
      </c>
      <c r="CV154" s="396"/>
      <c r="CW154" s="202">
        <v>0</v>
      </c>
      <c r="CX154" s="205">
        <f>IF(ISNUMBER(CW154),CW154*CY154,0)</f>
        <v>0</v>
      </c>
      <c r="CY154" s="205">
        <v>0.5</v>
      </c>
      <c r="CZ154" s="202" t="s">
        <v>499</v>
      </c>
      <c r="DA154" s="202" t="s">
        <v>500</v>
      </c>
      <c r="DB154" s="396"/>
      <c r="DC154" s="201"/>
      <c r="DD154" s="201"/>
      <c r="DE154" s="205"/>
      <c r="DF154" s="202">
        <v>0.02</v>
      </c>
      <c r="DG154" s="202">
        <v>0.28000000000000003</v>
      </c>
      <c r="DH154" s="396"/>
      <c r="DI154" s="201"/>
      <c r="DJ154" s="201"/>
      <c r="DK154" s="205"/>
      <c r="DL154" s="202">
        <v>0.02</v>
      </c>
      <c r="DM154" s="202">
        <v>0.28000000000000003</v>
      </c>
      <c r="DN154" s="396"/>
    </row>
    <row r="155" spans="2:118" x14ac:dyDescent="0.35">
      <c r="B155" s="208" t="s">
        <v>492</v>
      </c>
      <c r="C155" s="13"/>
      <c r="D155" s="13"/>
      <c r="E155" s="201"/>
      <c r="F155" s="201"/>
      <c r="G155" s="205"/>
      <c r="H155" s="202">
        <v>0.04</v>
      </c>
      <c r="I155" s="202">
        <v>0.24</v>
      </c>
      <c r="J155" s="396"/>
      <c r="K155" s="201"/>
      <c r="L155" s="201"/>
      <c r="M155" s="205"/>
      <c r="N155" s="202">
        <v>0.04</v>
      </c>
      <c r="O155" s="202">
        <v>0.24</v>
      </c>
      <c r="P155" s="396"/>
      <c r="Q155" s="201"/>
      <c r="R155" s="201"/>
      <c r="S155" s="205"/>
      <c r="T155" s="202">
        <v>0.04</v>
      </c>
      <c r="U155" s="202">
        <v>0.24</v>
      </c>
      <c r="V155" s="396"/>
      <c r="W155" s="201"/>
      <c r="X155" s="201"/>
      <c r="Y155" s="205"/>
      <c r="Z155" s="202">
        <v>0.04</v>
      </c>
      <c r="AA155" s="202">
        <v>0.24</v>
      </c>
      <c r="AB155" s="396"/>
      <c r="AC155" s="201"/>
      <c r="AD155" s="201"/>
      <c r="AE155" s="205"/>
      <c r="AF155" s="202">
        <v>0.04</v>
      </c>
      <c r="AG155" s="202">
        <v>0.24</v>
      </c>
      <c r="AH155" s="396"/>
      <c r="AI155" s="201"/>
      <c r="AJ155" s="201"/>
      <c r="AK155" s="205"/>
      <c r="AL155" s="202">
        <v>0.04</v>
      </c>
      <c r="AM155" s="202">
        <v>0.24</v>
      </c>
      <c r="AN155" s="396"/>
      <c r="AO155" s="201"/>
      <c r="AP155" s="201"/>
      <c r="AQ155" s="205"/>
      <c r="AR155" s="202">
        <v>0.04</v>
      </c>
      <c r="AS155" s="202">
        <v>0.24</v>
      </c>
      <c r="AT155" s="396"/>
      <c r="AU155" s="201"/>
      <c r="AV155" s="201"/>
      <c r="AW155" s="205"/>
      <c r="AX155" s="202">
        <v>0.04</v>
      </c>
      <c r="AY155" s="202">
        <v>0.24</v>
      </c>
      <c r="AZ155" s="396"/>
      <c r="BA155" s="201"/>
      <c r="BB155" s="201"/>
      <c r="BC155" s="205"/>
      <c r="BD155" s="202">
        <v>0.04</v>
      </c>
      <c r="BE155" s="202">
        <v>0.24</v>
      </c>
      <c r="BF155" s="396"/>
      <c r="BG155" s="201"/>
      <c r="BH155" s="201"/>
      <c r="BI155" s="205"/>
      <c r="BJ155" s="202">
        <v>0.04</v>
      </c>
      <c r="BK155" s="202">
        <v>0.24</v>
      </c>
      <c r="BL155" s="396"/>
      <c r="BM155" s="201"/>
      <c r="BN155" s="201"/>
      <c r="BO155" s="205"/>
      <c r="BP155" s="202">
        <v>0.04</v>
      </c>
      <c r="BQ155" s="202">
        <v>0.24</v>
      </c>
      <c r="BR155" s="396"/>
      <c r="BS155" s="201"/>
      <c r="BT155" s="201"/>
      <c r="BU155" s="205"/>
      <c r="BV155" s="202">
        <v>0.04</v>
      </c>
      <c r="BW155" s="202">
        <v>0.24</v>
      </c>
      <c r="BX155" s="396"/>
      <c r="BY155" s="201"/>
      <c r="BZ155" s="201"/>
      <c r="CA155" s="205"/>
      <c r="CB155" s="202">
        <v>0.04</v>
      </c>
      <c r="CC155" s="202">
        <v>0.24</v>
      </c>
      <c r="CD155" s="396"/>
      <c r="CE155" s="201"/>
      <c r="CF155" s="201"/>
      <c r="CG155" s="205"/>
      <c r="CH155" s="202">
        <v>0.04</v>
      </c>
      <c r="CI155" s="202">
        <v>0.24</v>
      </c>
      <c r="CJ155" s="396"/>
      <c r="CK155" s="201"/>
      <c r="CL155" s="201"/>
      <c r="CM155" s="205"/>
      <c r="CN155" s="202">
        <v>0.04</v>
      </c>
      <c r="CO155" s="202">
        <v>0.24</v>
      </c>
      <c r="CP155" s="396"/>
      <c r="CQ155" s="201"/>
      <c r="CR155" s="201"/>
      <c r="CS155" s="205"/>
      <c r="CT155" s="202">
        <v>0.04</v>
      </c>
      <c r="CU155" s="202">
        <v>0.24</v>
      </c>
      <c r="CV155" s="396"/>
      <c r="CW155" s="201"/>
      <c r="CX155" s="201"/>
      <c r="CY155" s="205"/>
      <c r="CZ155" s="202">
        <v>0.02</v>
      </c>
      <c r="DA155" s="202">
        <v>0.28000000000000003</v>
      </c>
      <c r="DB155" s="396"/>
      <c r="DC155" s="201"/>
      <c r="DD155" s="201"/>
      <c r="DE155" s="205"/>
      <c r="DF155" s="202">
        <v>0.04</v>
      </c>
      <c r="DG155" s="202">
        <v>0.24</v>
      </c>
      <c r="DH155" s="396"/>
      <c r="DI155" s="201"/>
      <c r="DJ155" s="201"/>
      <c r="DK155" s="205"/>
      <c r="DL155" s="202">
        <v>0.04</v>
      </c>
      <c r="DM155" s="202">
        <v>0.24</v>
      </c>
      <c r="DN155" s="396"/>
    </row>
    <row r="156" spans="2:118" x14ac:dyDescent="0.35">
      <c r="B156" s="201"/>
      <c r="C156" s="13"/>
      <c r="D156" s="201" t="s">
        <v>493</v>
      </c>
      <c r="E156" s="213">
        <v>0.02</v>
      </c>
      <c r="F156" s="201"/>
      <c r="G156" s="205"/>
      <c r="H156" s="202">
        <v>0.06</v>
      </c>
      <c r="I156" s="202">
        <v>0.15</v>
      </c>
      <c r="J156" s="396"/>
      <c r="K156" s="213">
        <v>0.02</v>
      </c>
      <c r="L156" s="201"/>
      <c r="M156" s="205"/>
      <c r="N156" s="202">
        <v>0.06</v>
      </c>
      <c r="O156" s="202">
        <v>0.15</v>
      </c>
      <c r="P156" s="396"/>
      <c r="Q156" s="213">
        <v>0.02</v>
      </c>
      <c r="R156" s="201"/>
      <c r="S156" s="205"/>
      <c r="T156" s="202">
        <v>0.06</v>
      </c>
      <c r="U156" s="202">
        <v>0.15</v>
      </c>
      <c r="V156" s="396"/>
      <c r="W156" s="213">
        <v>0.02</v>
      </c>
      <c r="X156" s="201"/>
      <c r="Y156" s="205"/>
      <c r="Z156" s="202">
        <v>0.06</v>
      </c>
      <c r="AA156" s="202">
        <v>0.15</v>
      </c>
      <c r="AB156" s="396"/>
      <c r="AC156" s="213">
        <v>0.02</v>
      </c>
      <c r="AD156" s="201"/>
      <c r="AE156" s="205"/>
      <c r="AF156" s="202">
        <v>0.06</v>
      </c>
      <c r="AG156" s="202">
        <v>0.15</v>
      </c>
      <c r="AH156" s="396"/>
      <c r="AI156" s="213">
        <v>0.02</v>
      </c>
      <c r="AJ156" s="201"/>
      <c r="AK156" s="205"/>
      <c r="AL156" s="202">
        <v>0.06</v>
      </c>
      <c r="AM156" s="202">
        <v>0.15</v>
      </c>
      <c r="AN156" s="396"/>
      <c r="AO156" s="213">
        <v>0.02</v>
      </c>
      <c r="AP156" s="201"/>
      <c r="AQ156" s="205"/>
      <c r="AR156" s="202">
        <v>0.06</v>
      </c>
      <c r="AS156" s="202">
        <v>0.15</v>
      </c>
      <c r="AT156" s="396"/>
      <c r="AU156" s="213">
        <v>0.02</v>
      </c>
      <c r="AV156" s="201"/>
      <c r="AW156" s="205"/>
      <c r="AX156" s="202">
        <v>0.06</v>
      </c>
      <c r="AY156" s="202">
        <v>0.15</v>
      </c>
      <c r="AZ156" s="396"/>
      <c r="BA156" s="213">
        <v>0.02</v>
      </c>
      <c r="BB156" s="201"/>
      <c r="BC156" s="205"/>
      <c r="BD156" s="202">
        <v>0.06</v>
      </c>
      <c r="BE156" s="202">
        <v>0.15</v>
      </c>
      <c r="BF156" s="396"/>
      <c r="BG156" s="213">
        <v>0.02</v>
      </c>
      <c r="BH156" s="201"/>
      <c r="BI156" s="205"/>
      <c r="BJ156" s="202">
        <v>0.06</v>
      </c>
      <c r="BK156" s="202">
        <v>0.15</v>
      </c>
      <c r="BL156" s="396"/>
      <c r="BM156" s="213">
        <v>0.02</v>
      </c>
      <c r="BN156" s="201"/>
      <c r="BO156" s="205"/>
      <c r="BP156" s="202">
        <v>0.06</v>
      </c>
      <c r="BQ156" s="202">
        <v>0.15</v>
      </c>
      <c r="BR156" s="396"/>
      <c r="BS156" s="213">
        <v>0.02</v>
      </c>
      <c r="BT156" s="201"/>
      <c r="BU156" s="205"/>
      <c r="BV156" s="202">
        <v>0.06</v>
      </c>
      <c r="BW156" s="202">
        <v>0.15</v>
      </c>
      <c r="BX156" s="396"/>
      <c r="BY156" s="213">
        <v>0.02</v>
      </c>
      <c r="BZ156" s="201"/>
      <c r="CA156" s="205"/>
      <c r="CB156" s="202">
        <v>0.06</v>
      </c>
      <c r="CC156" s="202">
        <v>0.15</v>
      </c>
      <c r="CD156" s="396"/>
      <c r="CE156" s="213">
        <v>0.02</v>
      </c>
      <c r="CF156" s="201"/>
      <c r="CG156" s="205"/>
      <c r="CH156" s="202">
        <v>0.06</v>
      </c>
      <c r="CI156" s="202">
        <v>0.15</v>
      </c>
      <c r="CJ156" s="396"/>
      <c r="CK156" s="213">
        <v>0.02</v>
      </c>
      <c r="CL156" s="201"/>
      <c r="CM156" s="205"/>
      <c r="CN156" s="202">
        <v>0.06</v>
      </c>
      <c r="CO156" s="202">
        <v>0.15</v>
      </c>
      <c r="CP156" s="396"/>
      <c r="CQ156" s="213">
        <v>0.02</v>
      </c>
      <c r="CR156" s="201"/>
      <c r="CS156" s="205"/>
      <c r="CT156" s="202">
        <v>0.06</v>
      </c>
      <c r="CU156" s="202">
        <v>0.15</v>
      </c>
      <c r="CV156" s="396"/>
      <c r="CW156" s="201"/>
      <c r="CX156" s="201"/>
      <c r="CY156" s="205"/>
      <c r="CZ156" s="202">
        <v>0.04</v>
      </c>
      <c r="DA156" s="202">
        <v>0.24</v>
      </c>
      <c r="DB156" s="396"/>
      <c r="DC156" s="213">
        <v>0.02</v>
      </c>
      <c r="DD156" s="201"/>
      <c r="DE156" s="205"/>
      <c r="DF156" s="202">
        <v>0.06</v>
      </c>
      <c r="DG156" s="202">
        <v>0.15</v>
      </c>
      <c r="DH156" s="396"/>
      <c r="DI156" s="213">
        <v>0.02</v>
      </c>
      <c r="DJ156" s="201"/>
      <c r="DK156" s="205"/>
      <c r="DL156" s="202">
        <v>0.06</v>
      </c>
      <c r="DM156" s="202">
        <v>0.15</v>
      </c>
      <c r="DN156" s="396"/>
    </row>
    <row r="157" spans="2:118" x14ac:dyDescent="0.35">
      <c r="B157" s="201"/>
      <c r="C157" s="13"/>
      <c r="D157" s="201" t="s">
        <v>478</v>
      </c>
      <c r="E157" s="202">
        <v>0</v>
      </c>
      <c r="F157" s="205">
        <f>IF(ISNUMBER(E157),E157*G157,0)</f>
        <v>0</v>
      </c>
      <c r="G157" s="205">
        <f>VLOOKUP(E156,$H$154:$I$158,2)</f>
        <v>0.28000000000000003</v>
      </c>
      <c r="H157" s="202">
        <v>0.1</v>
      </c>
      <c r="I157" s="202">
        <v>0.09</v>
      </c>
      <c r="J157" s="396"/>
      <c r="K157" s="202">
        <v>0</v>
      </c>
      <c r="L157" s="205">
        <f>IF(ISNUMBER(K157),K157*M157,0)</f>
        <v>0</v>
      </c>
      <c r="M157" s="205">
        <f>VLOOKUP(K156,$H$154:$I$158,2)</f>
        <v>0.28000000000000003</v>
      </c>
      <c r="N157" s="202">
        <v>0.1</v>
      </c>
      <c r="O157" s="202">
        <v>0.09</v>
      </c>
      <c r="P157" s="396"/>
      <c r="Q157" s="202">
        <v>0</v>
      </c>
      <c r="R157" s="205">
        <f>IF(ISNUMBER(Q157),Q157*S157,0)</f>
        <v>0</v>
      </c>
      <c r="S157" s="205">
        <f>VLOOKUP(Q156,$H$154:$I$158,2)</f>
        <v>0.28000000000000003</v>
      </c>
      <c r="T157" s="202">
        <v>0.1</v>
      </c>
      <c r="U157" s="202">
        <v>0.09</v>
      </c>
      <c r="V157" s="396"/>
      <c r="W157" s="202">
        <v>0</v>
      </c>
      <c r="X157" s="205">
        <f>IF(ISNUMBER(W157),W157*Y157,0)</f>
        <v>0</v>
      </c>
      <c r="Y157" s="205">
        <f>VLOOKUP(W156,$H$154:$I$158,2)</f>
        <v>0.28000000000000003</v>
      </c>
      <c r="Z157" s="202">
        <v>0.1</v>
      </c>
      <c r="AA157" s="202">
        <v>0.09</v>
      </c>
      <c r="AB157" s="396"/>
      <c r="AC157" s="202">
        <v>0</v>
      </c>
      <c r="AD157" s="205">
        <f>IF(ISNUMBER(AC157),AC157*AE157,0)</f>
        <v>0</v>
      </c>
      <c r="AE157" s="205">
        <f>VLOOKUP(AC156,$H$154:$I$158,2)</f>
        <v>0.28000000000000003</v>
      </c>
      <c r="AF157" s="202">
        <v>0.1</v>
      </c>
      <c r="AG157" s="202">
        <v>0.09</v>
      </c>
      <c r="AH157" s="396"/>
      <c r="AI157" s="202">
        <v>0</v>
      </c>
      <c r="AJ157" s="205">
        <f>IF(ISNUMBER(AI157),AI157*AK157,0)</f>
        <v>0</v>
      </c>
      <c r="AK157" s="205">
        <f>VLOOKUP(AI156,$H$154:$I$158,2)</f>
        <v>0.28000000000000003</v>
      </c>
      <c r="AL157" s="202">
        <v>0.1</v>
      </c>
      <c r="AM157" s="202">
        <v>0.09</v>
      </c>
      <c r="AN157" s="396"/>
      <c r="AO157" s="202">
        <v>0</v>
      </c>
      <c r="AP157" s="205">
        <f>IF(ISNUMBER(AO157),AO157*AQ157,0)</f>
        <v>0</v>
      </c>
      <c r="AQ157" s="205">
        <f>VLOOKUP(AO156,$H$154:$I$158,2)</f>
        <v>0.28000000000000003</v>
      </c>
      <c r="AR157" s="202">
        <v>0.1</v>
      </c>
      <c r="AS157" s="202">
        <v>0.09</v>
      </c>
      <c r="AT157" s="396"/>
      <c r="AU157" s="202">
        <v>0</v>
      </c>
      <c r="AV157" s="205">
        <f>IF(ISNUMBER(AU157),AU157*AW157,0)</f>
        <v>0</v>
      </c>
      <c r="AW157" s="205">
        <f>VLOOKUP(AU156,$H$154:$I$158,2)</f>
        <v>0.28000000000000003</v>
      </c>
      <c r="AX157" s="202">
        <v>0.1</v>
      </c>
      <c r="AY157" s="202">
        <v>0.09</v>
      </c>
      <c r="AZ157" s="396"/>
      <c r="BA157" s="202">
        <v>0</v>
      </c>
      <c r="BB157" s="205">
        <f>IF(ISNUMBER(BA157),BA157*BC157,0)</f>
        <v>0</v>
      </c>
      <c r="BC157" s="205">
        <f>VLOOKUP(BA156,$H$154:$I$158,2)</f>
        <v>0.28000000000000003</v>
      </c>
      <c r="BD157" s="202">
        <v>0.1</v>
      </c>
      <c r="BE157" s="202">
        <v>0.09</v>
      </c>
      <c r="BF157" s="396"/>
      <c r="BG157" s="202">
        <v>0</v>
      </c>
      <c r="BH157" s="205">
        <f>IF(ISNUMBER(BG157),BG157*BI157,0)</f>
        <v>0</v>
      </c>
      <c r="BI157" s="205">
        <f>VLOOKUP(BG156,$H$154:$I$158,2)</f>
        <v>0.28000000000000003</v>
      </c>
      <c r="BJ157" s="202">
        <v>0.1</v>
      </c>
      <c r="BK157" s="202">
        <v>0.09</v>
      </c>
      <c r="BL157" s="396"/>
      <c r="BM157" s="202">
        <v>0</v>
      </c>
      <c r="BN157" s="205">
        <f>IF(ISNUMBER(BM157),BM157*BO157,0)</f>
        <v>0</v>
      </c>
      <c r="BO157" s="205">
        <f>VLOOKUP(BM156,$H$154:$I$158,2)</f>
        <v>0.28000000000000003</v>
      </c>
      <c r="BP157" s="202">
        <v>0.1</v>
      </c>
      <c r="BQ157" s="202">
        <v>0.09</v>
      </c>
      <c r="BR157" s="396"/>
      <c r="BS157" s="202">
        <v>0</v>
      </c>
      <c r="BT157" s="205">
        <f>IF(ISNUMBER(BS157),BS157*BU157,0)</f>
        <v>0</v>
      </c>
      <c r="BU157" s="205">
        <f>VLOOKUP(BS156,$H$154:$I$158,2)</f>
        <v>0.28000000000000003</v>
      </c>
      <c r="BV157" s="202">
        <v>0.1</v>
      </c>
      <c r="BW157" s="202">
        <v>0.09</v>
      </c>
      <c r="BX157" s="396"/>
      <c r="BY157" s="202">
        <v>0</v>
      </c>
      <c r="BZ157" s="205">
        <f>IF(ISNUMBER(BY157),BY157*CA157,0)</f>
        <v>0</v>
      </c>
      <c r="CA157" s="205">
        <f>VLOOKUP(BY156,$H$154:$I$158,2)</f>
        <v>0.28000000000000003</v>
      </c>
      <c r="CB157" s="202">
        <v>0.1</v>
      </c>
      <c r="CC157" s="202">
        <v>0.09</v>
      </c>
      <c r="CD157" s="396"/>
      <c r="CE157" s="202">
        <v>0</v>
      </c>
      <c r="CF157" s="205">
        <f>IF(ISNUMBER(CE157),CE157*CG157,0)</f>
        <v>0</v>
      </c>
      <c r="CG157" s="205">
        <f>VLOOKUP(CE156,$H$154:$I$158,2)</f>
        <v>0.28000000000000003</v>
      </c>
      <c r="CH157" s="202">
        <v>0.1</v>
      </c>
      <c r="CI157" s="202">
        <v>0.09</v>
      </c>
      <c r="CJ157" s="396"/>
      <c r="CK157" s="202">
        <v>0</v>
      </c>
      <c r="CL157" s="205">
        <f>IF(ISNUMBER(CK157),CK157*CM157,0)</f>
        <v>0</v>
      </c>
      <c r="CM157" s="205">
        <f>VLOOKUP(CK156,$H$154:$I$158,2)</f>
        <v>0.28000000000000003</v>
      </c>
      <c r="CN157" s="202">
        <v>0.1</v>
      </c>
      <c r="CO157" s="202">
        <v>0.09</v>
      </c>
      <c r="CP157" s="396"/>
      <c r="CQ157" s="202">
        <v>0</v>
      </c>
      <c r="CR157" s="205">
        <f>IF(ISNUMBER(CQ157),CQ157*CS157,0)</f>
        <v>0</v>
      </c>
      <c r="CS157" s="205">
        <f>VLOOKUP(CQ156,$H$154:$I$158,2)</f>
        <v>0.28000000000000003</v>
      </c>
      <c r="CT157" s="202">
        <v>0.1</v>
      </c>
      <c r="CU157" s="202">
        <v>0.09</v>
      </c>
      <c r="CV157" s="396"/>
      <c r="CW157" s="213">
        <v>0.02</v>
      </c>
      <c r="CX157" s="201"/>
      <c r="CY157" s="205"/>
      <c r="CZ157" s="202">
        <v>0.06</v>
      </c>
      <c r="DA157" s="202">
        <v>0.15</v>
      </c>
      <c r="DB157" s="396"/>
      <c r="DC157" s="202">
        <v>0</v>
      </c>
      <c r="DD157" s="205">
        <f>IF(ISNUMBER(DC157),DC157*DE157,0)</f>
        <v>0</v>
      </c>
      <c r="DE157" s="205">
        <f>VLOOKUP(DC156,$H$154:$I$158,2)</f>
        <v>0.28000000000000003</v>
      </c>
      <c r="DF157" s="202">
        <v>0.1</v>
      </c>
      <c r="DG157" s="202">
        <v>0.09</v>
      </c>
      <c r="DH157" s="396"/>
      <c r="DI157" s="202">
        <v>0</v>
      </c>
      <c r="DJ157" s="205">
        <f>IF(ISNUMBER(DI157),DI157*DK157,0)</f>
        <v>0</v>
      </c>
      <c r="DK157" s="205">
        <f>VLOOKUP(DI156,$H$154:$I$158,2)</f>
        <v>0.28000000000000003</v>
      </c>
      <c r="DL157" s="202">
        <v>0.1</v>
      </c>
      <c r="DM157" s="202">
        <v>0.09</v>
      </c>
      <c r="DN157" s="396"/>
    </row>
    <row r="158" spans="2:118" x14ac:dyDescent="0.35">
      <c r="B158" s="201"/>
      <c r="C158" s="13"/>
      <c r="D158" s="13"/>
      <c r="E158" s="201"/>
      <c r="F158" s="201"/>
      <c r="G158" s="205"/>
      <c r="H158" s="202" t="s">
        <v>502</v>
      </c>
      <c r="I158" s="202">
        <v>0.04</v>
      </c>
      <c r="J158" s="396"/>
      <c r="K158" s="201"/>
      <c r="L158" s="201"/>
      <c r="M158" s="205"/>
      <c r="N158" s="202" t="s">
        <v>502</v>
      </c>
      <c r="O158" s="202">
        <v>0.04</v>
      </c>
      <c r="P158" s="396"/>
      <c r="Q158" s="201"/>
      <c r="R158" s="201"/>
      <c r="S158" s="205"/>
      <c r="T158" s="202" t="s">
        <v>502</v>
      </c>
      <c r="U158" s="202">
        <v>0.04</v>
      </c>
      <c r="V158" s="396"/>
      <c r="W158" s="201"/>
      <c r="X158" s="201"/>
      <c r="Y158" s="205"/>
      <c r="Z158" s="202" t="s">
        <v>502</v>
      </c>
      <c r="AA158" s="202">
        <v>0.04</v>
      </c>
      <c r="AB158" s="396"/>
      <c r="AC158" s="201"/>
      <c r="AD158" s="201"/>
      <c r="AE158" s="205"/>
      <c r="AF158" s="202" t="s">
        <v>502</v>
      </c>
      <c r="AG158" s="202">
        <v>0.04</v>
      </c>
      <c r="AH158" s="396"/>
      <c r="AI158" s="201"/>
      <c r="AJ158" s="201"/>
      <c r="AK158" s="205"/>
      <c r="AL158" s="202" t="s">
        <v>502</v>
      </c>
      <c r="AM158" s="202">
        <v>0.04</v>
      </c>
      <c r="AN158" s="396"/>
      <c r="AO158" s="201"/>
      <c r="AP158" s="201"/>
      <c r="AQ158" s="205"/>
      <c r="AR158" s="202" t="s">
        <v>502</v>
      </c>
      <c r="AS158" s="202">
        <v>0.04</v>
      </c>
      <c r="AT158" s="396"/>
      <c r="AU158" s="201"/>
      <c r="AV158" s="201"/>
      <c r="AW158" s="205"/>
      <c r="AX158" s="202" t="s">
        <v>502</v>
      </c>
      <c r="AY158" s="202">
        <v>0.04</v>
      </c>
      <c r="AZ158" s="396"/>
      <c r="BA158" s="201"/>
      <c r="BB158" s="201"/>
      <c r="BC158" s="205"/>
      <c r="BD158" s="202" t="s">
        <v>502</v>
      </c>
      <c r="BE158" s="202">
        <v>0.04</v>
      </c>
      <c r="BF158" s="396"/>
      <c r="BG158" s="201"/>
      <c r="BH158" s="201"/>
      <c r="BI158" s="205"/>
      <c r="BJ158" s="202" t="s">
        <v>502</v>
      </c>
      <c r="BK158" s="202">
        <v>0.04</v>
      </c>
      <c r="BL158" s="396"/>
      <c r="BM158" s="201"/>
      <c r="BN158" s="201"/>
      <c r="BO158" s="205"/>
      <c r="BP158" s="202" t="s">
        <v>502</v>
      </c>
      <c r="BQ158" s="202">
        <v>0.04</v>
      </c>
      <c r="BR158" s="396"/>
      <c r="BS158" s="201"/>
      <c r="BT158" s="201"/>
      <c r="BU158" s="205"/>
      <c r="BV158" s="202" t="s">
        <v>502</v>
      </c>
      <c r="BW158" s="202">
        <v>0.04</v>
      </c>
      <c r="BX158" s="396"/>
      <c r="BY158" s="201"/>
      <c r="BZ158" s="201"/>
      <c r="CA158" s="205"/>
      <c r="CB158" s="202" t="s">
        <v>502</v>
      </c>
      <c r="CC158" s="202">
        <v>0.04</v>
      </c>
      <c r="CD158" s="396"/>
      <c r="CE158" s="201"/>
      <c r="CF158" s="201"/>
      <c r="CG158" s="205"/>
      <c r="CH158" s="202" t="s">
        <v>502</v>
      </c>
      <c r="CI158" s="202">
        <v>0.04</v>
      </c>
      <c r="CJ158" s="396"/>
      <c r="CK158" s="201"/>
      <c r="CL158" s="201"/>
      <c r="CM158" s="205"/>
      <c r="CN158" s="202" t="s">
        <v>502</v>
      </c>
      <c r="CO158" s="202">
        <v>0.04</v>
      </c>
      <c r="CP158" s="396"/>
      <c r="CQ158" s="201"/>
      <c r="CR158" s="201"/>
      <c r="CS158" s="205"/>
      <c r="CT158" s="202" t="s">
        <v>502</v>
      </c>
      <c r="CU158" s="202">
        <v>0.04</v>
      </c>
      <c r="CV158" s="396"/>
      <c r="CW158" s="202">
        <v>0</v>
      </c>
      <c r="CX158" s="205">
        <f>IF(ISNUMBER(CW158),CW158*CY158,0)</f>
        <v>0</v>
      </c>
      <c r="CY158" s="205">
        <f>VLOOKUP(CW157,$H$154:$I$158,2)</f>
        <v>0.28000000000000003</v>
      </c>
      <c r="CZ158" s="202">
        <v>0.1</v>
      </c>
      <c r="DA158" s="202">
        <v>0.09</v>
      </c>
      <c r="DB158" s="396"/>
      <c r="DC158" s="201"/>
      <c r="DD158" s="201"/>
      <c r="DE158" s="205"/>
      <c r="DF158" s="202" t="s">
        <v>502</v>
      </c>
      <c r="DG158" s="202">
        <v>0.04</v>
      </c>
      <c r="DH158" s="396"/>
      <c r="DI158" s="201"/>
      <c r="DJ158" s="201"/>
      <c r="DK158" s="205"/>
      <c r="DL158" s="202" t="s">
        <v>502</v>
      </c>
      <c r="DM158" s="202">
        <v>0.04</v>
      </c>
      <c r="DN158" s="396"/>
    </row>
    <row r="159" spans="2:118" x14ac:dyDescent="0.35">
      <c r="B159" s="208" t="s">
        <v>494</v>
      </c>
      <c r="C159" s="13"/>
      <c r="D159" s="13"/>
      <c r="E159" s="201"/>
      <c r="F159" s="201"/>
      <c r="G159" s="201"/>
      <c r="H159" s="396"/>
      <c r="I159" s="396"/>
      <c r="J159" s="396"/>
      <c r="K159" s="201"/>
      <c r="L159" s="201"/>
      <c r="M159" s="201"/>
      <c r="N159" s="396"/>
      <c r="O159" s="396"/>
      <c r="P159" s="396"/>
      <c r="Q159" s="201"/>
      <c r="R159" s="201"/>
      <c r="S159" s="201"/>
      <c r="T159" s="396"/>
      <c r="U159" s="396"/>
      <c r="V159" s="396"/>
      <c r="W159" s="201"/>
      <c r="X159" s="201"/>
      <c r="Y159" s="201"/>
      <c r="Z159" s="396"/>
      <c r="AA159" s="396"/>
      <c r="AB159" s="396"/>
      <c r="AC159" s="201"/>
      <c r="AD159" s="201"/>
      <c r="AE159" s="201"/>
      <c r="AF159" s="396"/>
      <c r="AG159" s="396"/>
      <c r="AH159" s="396"/>
      <c r="AI159" s="201"/>
      <c r="AJ159" s="201"/>
      <c r="AK159" s="201"/>
      <c r="AL159" s="396"/>
      <c r="AM159" s="396"/>
      <c r="AN159" s="396"/>
      <c r="AO159" s="201"/>
      <c r="AP159" s="201"/>
      <c r="AQ159" s="201"/>
      <c r="AR159" s="396"/>
      <c r="AS159" s="396"/>
      <c r="AT159" s="396"/>
      <c r="AU159" s="201"/>
      <c r="AV159" s="201"/>
      <c r="AW159" s="201"/>
      <c r="AX159" s="396"/>
      <c r="AY159" s="396"/>
      <c r="AZ159" s="396"/>
      <c r="BA159" s="201"/>
      <c r="BB159" s="201"/>
      <c r="BC159" s="201"/>
      <c r="BD159" s="396"/>
      <c r="BE159" s="396"/>
      <c r="BF159" s="396"/>
      <c r="BG159" s="201"/>
      <c r="BH159" s="201"/>
      <c r="BI159" s="201"/>
      <c r="BJ159" s="396"/>
      <c r="BK159" s="396"/>
      <c r="BL159" s="396"/>
      <c r="BM159" s="201"/>
      <c r="BN159" s="201"/>
      <c r="BO159" s="201"/>
      <c r="BP159" s="396"/>
      <c r="BQ159" s="396"/>
      <c r="BR159" s="396"/>
      <c r="BS159" s="201"/>
      <c r="BT159" s="201"/>
      <c r="BU159" s="201"/>
      <c r="BV159" s="396"/>
      <c r="BW159" s="396"/>
      <c r="BX159" s="396"/>
      <c r="BY159" s="201"/>
      <c r="BZ159" s="201"/>
      <c r="CA159" s="201"/>
      <c r="CB159" s="396"/>
      <c r="CC159" s="396"/>
      <c r="CD159" s="396"/>
      <c r="CE159" s="201"/>
      <c r="CF159" s="201"/>
      <c r="CG159" s="201"/>
      <c r="CH159" s="396"/>
      <c r="CI159" s="396"/>
      <c r="CJ159" s="396"/>
      <c r="CK159" s="201"/>
      <c r="CL159" s="201"/>
      <c r="CM159" s="201"/>
      <c r="CN159" s="396"/>
      <c r="CO159" s="396"/>
      <c r="CP159" s="396"/>
      <c r="CQ159" s="201"/>
      <c r="CR159" s="201"/>
      <c r="CS159" s="201"/>
      <c r="CT159" s="396"/>
      <c r="CU159" s="396"/>
      <c r="CV159" s="396"/>
      <c r="CW159" s="201"/>
      <c r="CX159" s="201"/>
      <c r="CY159" s="205"/>
      <c r="CZ159" s="202" t="s">
        <v>502</v>
      </c>
      <c r="DA159" s="202">
        <v>0.04</v>
      </c>
      <c r="DB159" s="396"/>
      <c r="DC159" s="201"/>
      <c r="DD159" s="201"/>
      <c r="DE159" s="201"/>
      <c r="DF159" s="396"/>
      <c r="DG159" s="396"/>
      <c r="DH159" s="396"/>
      <c r="DI159" s="201"/>
      <c r="DJ159" s="201"/>
      <c r="DK159" s="201"/>
      <c r="DL159" s="396"/>
      <c r="DM159" s="396"/>
      <c r="DN159" s="396"/>
    </row>
    <row r="160" spans="2:118" x14ac:dyDescent="0.35">
      <c r="B160" s="201"/>
      <c r="C160" s="13"/>
      <c r="D160" s="13"/>
      <c r="E160" s="201"/>
      <c r="F160" s="201"/>
      <c r="G160" s="201"/>
      <c r="H160" s="396"/>
      <c r="I160" s="396"/>
      <c r="J160" s="396"/>
      <c r="K160" s="201"/>
      <c r="L160" s="201"/>
      <c r="M160" s="201"/>
      <c r="N160" s="396"/>
      <c r="O160" s="396"/>
      <c r="P160" s="396"/>
      <c r="Q160" s="201"/>
      <c r="R160" s="201"/>
      <c r="S160" s="201"/>
      <c r="T160" s="396"/>
      <c r="U160" s="396"/>
      <c r="V160" s="396"/>
      <c r="W160" s="201"/>
      <c r="X160" s="201"/>
      <c r="Y160" s="201"/>
      <c r="Z160" s="396"/>
      <c r="AA160" s="396"/>
      <c r="AB160" s="396"/>
      <c r="AC160" s="201"/>
      <c r="AD160" s="201"/>
      <c r="AE160" s="201"/>
      <c r="AF160" s="396"/>
      <c r="AG160" s="396"/>
      <c r="AH160" s="396"/>
      <c r="AI160" s="201"/>
      <c r="AJ160" s="201"/>
      <c r="AK160" s="201"/>
      <c r="AL160" s="396"/>
      <c r="AM160" s="396"/>
      <c r="AN160" s="396"/>
      <c r="AO160" s="201"/>
      <c r="AP160" s="201"/>
      <c r="AQ160" s="201"/>
      <c r="AR160" s="396"/>
      <c r="AS160" s="396"/>
      <c r="AT160" s="396"/>
      <c r="AU160" s="201"/>
      <c r="AV160" s="201"/>
      <c r="AW160" s="201"/>
      <c r="AX160" s="396"/>
      <c r="AY160" s="396"/>
      <c r="AZ160" s="396"/>
      <c r="BA160" s="201"/>
      <c r="BB160" s="201"/>
      <c r="BC160" s="201"/>
      <c r="BD160" s="396"/>
      <c r="BE160" s="396"/>
      <c r="BF160" s="396"/>
      <c r="BG160" s="201"/>
      <c r="BH160" s="201"/>
      <c r="BI160" s="201"/>
      <c r="BJ160" s="396"/>
      <c r="BK160" s="396"/>
      <c r="BL160" s="396"/>
      <c r="BM160" s="201"/>
      <c r="BN160" s="201"/>
      <c r="BO160" s="201"/>
      <c r="BP160" s="396"/>
      <c r="BQ160" s="396"/>
      <c r="BR160" s="396"/>
      <c r="BS160" s="201"/>
      <c r="BT160" s="201"/>
      <c r="BU160" s="201"/>
      <c r="BV160" s="396"/>
      <c r="BW160" s="396"/>
      <c r="BX160" s="396"/>
      <c r="BY160" s="201"/>
      <c r="BZ160" s="201"/>
      <c r="CA160" s="201"/>
      <c r="CB160" s="396"/>
      <c r="CC160" s="396"/>
      <c r="CD160" s="396"/>
      <c r="CE160" s="201"/>
      <c r="CF160" s="201"/>
      <c r="CG160" s="201"/>
      <c r="CH160" s="396"/>
      <c r="CI160" s="396"/>
      <c r="CJ160" s="396"/>
      <c r="CK160" s="201"/>
      <c r="CL160" s="201"/>
      <c r="CM160" s="201"/>
      <c r="CN160" s="396"/>
      <c r="CO160" s="396"/>
      <c r="CP160" s="396"/>
      <c r="CQ160" s="201"/>
      <c r="CR160" s="201"/>
      <c r="CS160" s="201"/>
      <c r="CT160" s="396"/>
      <c r="CU160" s="396"/>
      <c r="CV160" s="396"/>
      <c r="CW160" s="201"/>
      <c r="CX160" s="201"/>
      <c r="CY160" s="201"/>
      <c r="CZ160" s="396"/>
      <c r="DA160" s="396"/>
      <c r="DB160" s="396"/>
      <c r="DC160" s="201"/>
      <c r="DD160" s="201"/>
      <c r="DE160" s="201"/>
      <c r="DF160" s="396"/>
      <c r="DG160" s="396"/>
      <c r="DH160" s="396"/>
      <c r="DI160" s="201"/>
      <c r="DJ160" s="201"/>
      <c r="DK160" s="201"/>
      <c r="DL160" s="396"/>
      <c r="DM160" s="396"/>
      <c r="DN160" s="396"/>
    </row>
    <row r="161" spans="2:118" x14ac:dyDescent="0.35">
      <c r="B161" s="201"/>
      <c r="C161" s="13"/>
      <c r="D161" s="201" t="s">
        <v>478</v>
      </c>
      <c r="E161" s="202">
        <v>0</v>
      </c>
      <c r="F161" s="205">
        <f>IF(ISNUMBER(E161),E161*G161,0)</f>
        <v>0</v>
      </c>
      <c r="G161" s="205">
        <v>0.78</v>
      </c>
      <c r="H161" s="396"/>
      <c r="I161" s="396"/>
      <c r="J161" s="396"/>
      <c r="K161" s="202">
        <v>0</v>
      </c>
      <c r="L161" s="205">
        <f>IF(ISNUMBER(K161),K161*M161,0)</f>
        <v>0</v>
      </c>
      <c r="M161" s="205">
        <v>0.78</v>
      </c>
      <c r="N161" s="396"/>
      <c r="O161" s="396"/>
      <c r="P161" s="396"/>
      <c r="Q161" s="202">
        <v>0</v>
      </c>
      <c r="R161" s="205">
        <f>IF(ISNUMBER(Q161),Q161*S161,0)</f>
        <v>0</v>
      </c>
      <c r="S161" s="205">
        <v>0.78</v>
      </c>
      <c r="T161" s="396"/>
      <c r="U161" s="396"/>
      <c r="V161" s="396"/>
      <c r="W161" s="202">
        <v>0</v>
      </c>
      <c r="X161" s="205">
        <f>IF(ISNUMBER(W161),W161*Y161,0)</f>
        <v>0</v>
      </c>
      <c r="Y161" s="205">
        <v>0.78</v>
      </c>
      <c r="Z161" s="396"/>
      <c r="AA161" s="396"/>
      <c r="AB161" s="396"/>
      <c r="AC161" s="202">
        <v>0</v>
      </c>
      <c r="AD161" s="205">
        <f>IF(ISNUMBER(AC161),AC161*AE161,0)</f>
        <v>0</v>
      </c>
      <c r="AE161" s="205">
        <v>0.78</v>
      </c>
      <c r="AF161" s="396"/>
      <c r="AG161" s="396"/>
      <c r="AH161" s="396"/>
      <c r="AI161" s="202">
        <v>0</v>
      </c>
      <c r="AJ161" s="205">
        <f>IF(ISNUMBER(AI161),AI161*AK161,0)</f>
        <v>0</v>
      </c>
      <c r="AK161" s="205">
        <v>0.78</v>
      </c>
      <c r="AL161" s="396"/>
      <c r="AM161" s="396"/>
      <c r="AN161" s="396"/>
      <c r="AO161" s="202">
        <v>0</v>
      </c>
      <c r="AP161" s="205">
        <f>IF(ISNUMBER(AO161),AO161*AQ161,0)</f>
        <v>0</v>
      </c>
      <c r="AQ161" s="205">
        <v>0.78</v>
      </c>
      <c r="AR161" s="396"/>
      <c r="AS161" s="396"/>
      <c r="AT161" s="396"/>
      <c r="AU161" s="202">
        <v>0</v>
      </c>
      <c r="AV161" s="205">
        <f>IF(ISNUMBER(AU161),AU161*AW161,0)</f>
        <v>0</v>
      </c>
      <c r="AW161" s="205">
        <v>0.78</v>
      </c>
      <c r="AX161" s="396"/>
      <c r="AY161" s="396"/>
      <c r="AZ161" s="396"/>
      <c r="BA161" s="202">
        <v>0</v>
      </c>
      <c r="BB161" s="205">
        <f>IF(ISNUMBER(BA161),BA161*BC161,0)</f>
        <v>0</v>
      </c>
      <c r="BC161" s="205">
        <v>0.78</v>
      </c>
      <c r="BD161" s="396"/>
      <c r="BE161" s="396"/>
      <c r="BF161" s="396"/>
      <c r="BG161" s="202">
        <v>0</v>
      </c>
      <c r="BH161" s="205">
        <f>IF(ISNUMBER(BG161),BG161*BI161,0)</f>
        <v>0</v>
      </c>
      <c r="BI161" s="205">
        <v>0.78</v>
      </c>
      <c r="BJ161" s="396"/>
      <c r="BK161" s="396"/>
      <c r="BL161" s="396"/>
      <c r="BM161" s="202">
        <v>0</v>
      </c>
      <c r="BN161" s="205">
        <f>IF(ISNUMBER(BM161),BM161*BO161,0)</f>
        <v>0</v>
      </c>
      <c r="BO161" s="205">
        <v>0.78</v>
      </c>
      <c r="BP161" s="396"/>
      <c r="BQ161" s="396"/>
      <c r="BR161" s="396"/>
      <c r="BS161" s="202">
        <v>0</v>
      </c>
      <c r="BT161" s="205">
        <f>IF(ISNUMBER(BS161),BS161*BU161,0)</f>
        <v>0</v>
      </c>
      <c r="BU161" s="205">
        <v>0.78</v>
      </c>
      <c r="BV161" s="396"/>
      <c r="BW161" s="396"/>
      <c r="BX161" s="396"/>
      <c r="BY161" s="202">
        <v>0</v>
      </c>
      <c r="BZ161" s="205">
        <f>IF(ISNUMBER(BY161),BY161*CA161,0)</f>
        <v>0</v>
      </c>
      <c r="CA161" s="205">
        <v>0.78</v>
      </c>
      <c r="CB161" s="396"/>
      <c r="CC161" s="396"/>
      <c r="CD161" s="396"/>
      <c r="CE161" s="202">
        <v>0</v>
      </c>
      <c r="CF161" s="205">
        <f>IF(ISNUMBER(CE161),CE161*CG161,0)</f>
        <v>0</v>
      </c>
      <c r="CG161" s="205">
        <v>0.78</v>
      </c>
      <c r="CH161" s="396"/>
      <c r="CI161" s="396"/>
      <c r="CJ161" s="396"/>
      <c r="CK161" s="202">
        <v>0</v>
      </c>
      <c r="CL161" s="205">
        <f>IF(ISNUMBER(CK161),CK161*CM161,0)</f>
        <v>0</v>
      </c>
      <c r="CM161" s="205">
        <v>0.78</v>
      </c>
      <c r="CN161" s="396"/>
      <c r="CO161" s="396"/>
      <c r="CP161" s="396"/>
      <c r="CQ161" s="202">
        <v>0</v>
      </c>
      <c r="CR161" s="205">
        <f>IF(ISNUMBER(CQ161),CQ161*CS161,0)</f>
        <v>0</v>
      </c>
      <c r="CS161" s="205">
        <v>0.78</v>
      </c>
      <c r="CT161" s="396"/>
      <c r="CU161" s="396"/>
      <c r="CV161" s="396"/>
      <c r="CW161" s="201"/>
      <c r="CX161" s="201"/>
      <c r="CY161" s="201"/>
      <c r="CZ161" s="396"/>
      <c r="DA161" s="396"/>
      <c r="DB161" s="396"/>
      <c r="DC161" s="202">
        <v>0</v>
      </c>
      <c r="DD161" s="205">
        <f>IF(ISNUMBER(DC161),DC161*DE161,0)</f>
        <v>0</v>
      </c>
      <c r="DE161" s="205">
        <v>0.78</v>
      </c>
      <c r="DF161" s="396"/>
      <c r="DG161" s="396"/>
      <c r="DH161" s="396"/>
      <c r="DI161" s="202">
        <v>0</v>
      </c>
      <c r="DJ161" s="205">
        <f>IF(ISNUMBER(DI161),DI161*DK161,0)</f>
        <v>0</v>
      </c>
      <c r="DK161" s="205">
        <v>0.78</v>
      </c>
      <c r="DL161" s="396"/>
      <c r="DM161" s="396"/>
      <c r="DN161" s="396"/>
    </row>
    <row r="162" spans="2:118" x14ac:dyDescent="0.35">
      <c r="B162" s="201"/>
      <c r="C162" s="13"/>
      <c r="D162" s="13"/>
      <c r="E162" s="201"/>
      <c r="F162" s="201"/>
      <c r="G162" s="201"/>
      <c r="H162" s="396"/>
      <c r="I162" s="396"/>
      <c r="J162" s="396"/>
      <c r="K162" s="201"/>
      <c r="L162" s="201"/>
      <c r="M162" s="201"/>
      <c r="N162" s="396"/>
      <c r="O162" s="396"/>
      <c r="P162" s="396"/>
      <c r="Q162" s="201"/>
      <c r="R162" s="201"/>
      <c r="S162" s="201"/>
      <c r="T162" s="396"/>
      <c r="U162" s="396"/>
      <c r="V162" s="396"/>
      <c r="W162" s="201"/>
      <c r="X162" s="201"/>
      <c r="Y162" s="201"/>
      <c r="Z162" s="396"/>
      <c r="AA162" s="396"/>
      <c r="AB162" s="396"/>
      <c r="AC162" s="201"/>
      <c r="AD162" s="201"/>
      <c r="AE162" s="201"/>
      <c r="AF162" s="396"/>
      <c r="AG162" s="396"/>
      <c r="AH162" s="396"/>
      <c r="AI162" s="201"/>
      <c r="AJ162" s="201"/>
      <c r="AK162" s="201"/>
      <c r="AL162" s="396"/>
      <c r="AM162" s="396"/>
      <c r="AN162" s="396"/>
      <c r="AO162" s="201"/>
      <c r="AP162" s="201"/>
      <c r="AQ162" s="201"/>
      <c r="AR162" s="396"/>
      <c r="AS162" s="396"/>
      <c r="AT162" s="396"/>
      <c r="AU162" s="201"/>
      <c r="AV162" s="201"/>
      <c r="AW162" s="201"/>
      <c r="AX162" s="396"/>
      <c r="AY162" s="396"/>
      <c r="AZ162" s="396"/>
      <c r="BA162" s="201"/>
      <c r="BB162" s="201"/>
      <c r="BC162" s="201"/>
      <c r="BD162" s="396"/>
      <c r="BE162" s="396"/>
      <c r="BF162" s="396"/>
      <c r="BG162" s="201"/>
      <c r="BH162" s="201"/>
      <c r="BI162" s="201"/>
      <c r="BJ162" s="396"/>
      <c r="BK162" s="396"/>
      <c r="BL162" s="396"/>
      <c r="BM162" s="201"/>
      <c r="BN162" s="201"/>
      <c r="BO162" s="201"/>
      <c r="BP162" s="396"/>
      <c r="BQ162" s="396"/>
      <c r="BR162" s="396"/>
      <c r="BS162" s="201"/>
      <c r="BT162" s="201"/>
      <c r="BU162" s="201"/>
      <c r="BV162" s="396"/>
      <c r="BW162" s="396"/>
      <c r="BX162" s="396"/>
      <c r="BY162" s="201"/>
      <c r="BZ162" s="201"/>
      <c r="CA162" s="201"/>
      <c r="CB162" s="396"/>
      <c r="CC162" s="396"/>
      <c r="CD162" s="396"/>
      <c r="CE162" s="201"/>
      <c r="CF162" s="201"/>
      <c r="CG162" s="201"/>
      <c r="CH162" s="396"/>
      <c r="CI162" s="396"/>
      <c r="CJ162" s="396"/>
      <c r="CK162" s="201"/>
      <c r="CL162" s="201"/>
      <c r="CM162" s="201"/>
      <c r="CN162" s="396"/>
      <c r="CO162" s="396"/>
      <c r="CP162" s="396"/>
      <c r="CQ162" s="201"/>
      <c r="CR162" s="201"/>
      <c r="CS162" s="201"/>
      <c r="CT162" s="396"/>
      <c r="CU162" s="396"/>
      <c r="CV162" s="396"/>
      <c r="CW162" s="202">
        <v>0</v>
      </c>
      <c r="CX162" s="205">
        <f>IF(ISNUMBER(CW162),CW162*CY162,0)</f>
        <v>0</v>
      </c>
      <c r="CY162" s="205">
        <v>0.78</v>
      </c>
      <c r="CZ162" s="396"/>
      <c r="DA162" s="396"/>
      <c r="DB162" s="396"/>
      <c r="DC162" s="201"/>
      <c r="DD162" s="201"/>
      <c r="DE162" s="201"/>
      <c r="DF162" s="396"/>
      <c r="DG162" s="396"/>
      <c r="DH162" s="396"/>
      <c r="DI162" s="201"/>
      <c r="DJ162" s="201"/>
      <c r="DK162" s="201"/>
      <c r="DL162" s="396"/>
      <c r="DM162" s="396"/>
      <c r="DN162" s="396"/>
    </row>
    <row r="163" spans="2:118" x14ac:dyDescent="0.35">
      <c r="B163" s="208" t="s">
        <v>495</v>
      </c>
      <c r="C163" s="13"/>
      <c r="D163" s="13"/>
      <c r="E163" s="201"/>
      <c r="F163" s="201"/>
      <c r="G163" s="201"/>
      <c r="H163" s="396"/>
      <c r="I163" s="396"/>
      <c r="J163" s="396"/>
      <c r="K163" s="201"/>
      <c r="L163" s="201"/>
      <c r="M163" s="201"/>
      <c r="N163" s="396"/>
      <c r="O163" s="396"/>
      <c r="P163" s="396"/>
      <c r="Q163" s="201"/>
      <c r="R163" s="201"/>
      <c r="S163" s="201"/>
      <c r="T163" s="396"/>
      <c r="U163" s="396"/>
      <c r="V163" s="396"/>
      <c r="W163" s="201"/>
      <c r="X163" s="201"/>
      <c r="Y163" s="201"/>
      <c r="Z163" s="396"/>
      <c r="AA163" s="396"/>
      <c r="AB163" s="396"/>
      <c r="AC163" s="201"/>
      <c r="AD163" s="201"/>
      <c r="AE163" s="201"/>
      <c r="AF163" s="396"/>
      <c r="AG163" s="396"/>
      <c r="AH163" s="396"/>
      <c r="AI163" s="201"/>
      <c r="AJ163" s="201"/>
      <c r="AK163" s="201"/>
      <c r="AL163" s="396"/>
      <c r="AM163" s="396"/>
      <c r="AN163" s="396"/>
      <c r="AO163" s="201"/>
      <c r="AP163" s="201"/>
      <c r="AQ163" s="201"/>
      <c r="AR163" s="396"/>
      <c r="AS163" s="396"/>
      <c r="AT163" s="396"/>
      <c r="AU163" s="201"/>
      <c r="AV163" s="201"/>
      <c r="AW163" s="201"/>
      <c r="AX163" s="396"/>
      <c r="AY163" s="396"/>
      <c r="AZ163" s="396"/>
      <c r="BA163" s="201"/>
      <c r="BB163" s="201"/>
      <c r="BC163" s="201"/>
      <c r="BD163" s="396"/>
      <c r="BE163" s="396"/>
      <c r="BF163" s="396"/>
      <c r="BG163" s="201"/>
      <c r="BH163" s="201"/>
      <c r="BI163" s="201"/>
      <c r="BJ163" s="396"/>
      <c r="BK163" s="396"/>
      <c r="BL163" s="396"/>
      <c r="BM163" s="201"/>
      <c r="BN163" s="201"/>
      <c r="BO163" s="201"/>
      <c r="BP163" s="396"/>
      <c r="BQ163" s="396"/>
      <c r="BR163" s="396"/>
      <c r="BS163" s="201"/>
      <c r="BT163" s="201"/>
      <c r="BU163" s="201"/>
      <c r="BV163" s="396"/>
      <c r="BW163" s="396"/>
      <c r="BX163" s="396"/>
      <c r="BY163" s="201"/>
      <c r="BZ163" s="201"/>
      <c r="CA163" s="201"/>
      <c r="CB163" s="396"/>
      <c r="CC163" s="396"/>
      <c r="CD163" s="396"/>
      <c r="CE163" s="201"/>
      <c r="CF163" s="201"/>
      <c r="CG163" s="201"/>
      <c r="CH163" s="396"/>
      <c r="CI163" s="396"/>
      <c r="CJ163" s="396"/>
      <c r="CK163" s="201"/>
      <c r="CL163" s="201"/>
      <c r="CM163" s="201"/>
      <c r="CN163" s="396"/>
      <c r="CO163" s="396"/>
      <c r="CP163" s="396"/>
      <c r="CQ163" s="201"/>
      <c r="CR163" s="201"/>
      <c r="CS163" s="201"/>
      <c r="CT163" s="396"/>
      <c r="CU163" s="396"/>
      <c r="CV163" s="396"/>
      <c r="CW163" s="201"/>
      <c r="CX163" s="201"/>
      <c r="CY163" s="201"/>
      <c r="CZ163" s="396"/>
      <c r="DA163" s="396"/>
      <c r="DB163" s="396"/>
      <c r="DC163" s="201"/>
      <c r="DD163" s="201"/>
      <c r="DE163" s="201"/>
      <c r="DF163" s="396"/>
      <c r="DG163" s="396"/>
      <c r="DH163" s="396"/>
      <c r="DI163" s="201"/>
      <c r="DJ163" s="201"/>
      <c r="DK163" s="201"/>
      <c r="DL163" s="396"/>
      <c r="DM163" s="396"/>
      <c r="DN163" s="396"/>
    </row>
    <row r="164" spans="2:118" x14ac:dyDescent="0.35">
      <c r="B164" s="201"/>
      <c r="C164" s="13"/>
      <c r="D164" s="13"/>
      <c r="E164" s="201"/>
      <c r="F164" s="201"/>
      <c r="G164" s="201"/>
      <c r="H164" s="396"/>
      <c r="I164" s="396"/>
      <c r="J164" s="396"/>
      <c r="K164" s="201"/>
      <c r="L164" s="201"/>
      <c r="M164" s="201"/>
      <c r="N164" s="396"/>
      <c r="O164" s="396"/>
      <c r="P164" s="396"/>
      <c r="Q164" s="201"/>
      <c r="R164" s="201"/>
      <c r="S164" s="201"/>
      <c r="T164" s="396"/>
      <c r="U164" s="396"/>
      <c r="V164" s="396"/>
      <c r="W164" s="201"/>
      <c r="X164" s="201"/>
      <c r="Y164" s="201"/>
      <c r="Z164" s="396"/>
      <c r="AA164" s="396"/>
      <c r="AB164" s="396"/>
      <c r="AC164" s="201"/>
      <c r="AD164" s="201"/>
      <c r="AE164" s="201"/>
      <c r="AF164" s="396"/>
      <c r="AG164" s="396"/>
      <c r="AH164" s="396"/>
      <c r="AI164" s="201"/>
      <c r="AJ164" s="201"/>
      <c r="AK164" s="201"/>
      <c r="AL164" s="396"/>
      <c r="AM164" s="396"/>
      <c r="AN164" s="396"/>
      <c r="AO164" s="201"/>
      <c r="AP164" s="201"/>
      <c r="AQ164" s="201"/>
      <c r="AR164" s="396"/>
      <c r="AS164" s="396"/>
      <c r="AT164" s="396"/>
      <c r="AU164" s="201"/>
      <c r="AV164" s="201"/>
      <c r="AW164" s="201"/>
      <c r="AX164" s="396"/>
      <c r="AY164" s="396"/>
      <c r="AZ164" s="396"/>
      <c r="BA164" s="201"/>
      <c r="BB164" s="201"/>
      <c r="BC164" s="201"/>
      <c r="BD164" s="396"/>
      <c r="BE164" s="396"/>
      <c r="BF164" s="396"/>
      <c r="BG164" s="201"/>
      <c r="BH164" s="201"/>
      <c r="BI164" s="201"/>
      <c r="BJ164" s="396"/>
      <c r="BK164" s="396"/>
      <c r="BL164" s="396"/>
      <c r="BM164" s="201"/>
      <c r="BN164" s="201"/>
      <c r="BO164" s="201"/>
      <c r="BP164" s="396"/>
      <c r="BQ164" s="396"/>
      <c r="BR164" s="396"/>
      <c r="BS164" s="201"/>
      <c r="BT164" s="201"/>
      <c r="BU164" s="201"/>
      <c r="BV164" s="396"/>
      <c r="BW164" s="396"/>
      <c r="BX164" s="396"/>
      <c r="BY164" s="201"/>
      <c r="BZ164" s="201"/>
      <c r="CA164" s="201"/>
      <c r="CB164" s="396"/>
      <c r="CC164" s="396"/>
      <c r="CD164" s="396"/>
      <c r="CE164" s="201"/>
      <c r="CF164" s="201"/>
      <c r="CG164" s="201"/>
      <c r="CH164" s="396"/>
      <c r="CI164" s="396"/>
      <c r="CJ164" s="396"/>
      <c r="CK164" s="201"/>
      <c r="CL164" s="201"/>
      <c r="CM164" s="201"/>
      <c r="CN164" s="396"/>
      <c r="CO164" s="396"/>
      <c r="CP164" s="396"/>
      <c r="CQ164" s="201"/>
      <c r="CR164" s="201"/>
      <c r="CS164" s="201"/>
      <c r="CT164" s="396"/>
      <c r="CU164" s="396"/>
      <c r="CV164" s="396"/>
      <c r="CW164" s="201"/>
      <c r="CX164" s="201"/>
      <c r="CY164" s="201"/>
      <c r="CZ164" s="396"/>
      <c r="DA164" s="396"/>
      <c r="DB164" s="396"/>
      <c r="DC164" s="201"/>
      <c r="DD164" s="201"/>
      <c r="DE164" s="201"/>
      <c r="DF164" s="396"/>
      <c r="DG164" s="396"/>
      <c r="DH164" s="396"/>
      <c r="DI164" s="201"/>
      <c r="DJ164" s="201"/>
      <c r="DK164" s="201"/>
      <c r="DL164" s="396"/>
      <c r="DM164" s="396"/>
      <c r="DN164" s="396"/>
    </row>
    <row r="165" spans="2:118" x14ac:dyDescent="0.35">
      <c r="B165" s="201"/>
      <c r="C165" s="13"/>
      <c r="D165" s="201" t="s">
        <v>478</v>
      </c>
      <c r="E165" s="202">
        <v>0</v>
      </c>
      <c r="F165" s="205">
        <f>IF(ISNUMBER(E165),E165*G165,0)</f>
        <v>0</v>
      </c>
      <c r="G165" s="205">
        <v>0.25</v>
      </c>
      <c r="H165" s="396"/>
      <c r="I165" s="396"/>
      <c r="J165" s="396"/>
      <c r="K165" s="202">
        <v>0</v>
      </c>
      <c r="L165" s="205">
        <f>IF(ISNUMBER(K165),K165*M165,0)</f>
        <v>0</v>
      </c>
      <c r="M165" s="205">
        <v>0.25</v>
      </c>
      <c r="N165" s="396"/>
      <c r="O165" s="396"/>
      <c r="P165" s="396"/>
      <c r="Q165" s="202">
        <v>0</v>
      </c>
      <c r="R165" s="205">
        <f>IF(ISNUMBER(Q165),Q165*S165,0)</f>
        <v>0</v>
      </c>
      <c r="S165" s="205">
        <v>0.25</v>
      </c>
      <c r="T165" s="396"/>
      <c r="U165" s="396"/>
      <c r="V165" s="396"/>
      <c r="W165" s="202">
        <v>0</v>
      </c>
      <c r="X165" s="205">
        <f>IF(ISNUMBER(W165),W165*Y165,0)</f>
        <v>0</v>
      </c>
      <c r="Y165" s="205">
        <v>0.25</v>
      </c>
      <c r="Z165" s="396"/>
      <c r="AA165" s="396"/>
      <c r="AB165" s="396"/>
      <c r="AC165" s="202">
        <v>0</v>
      </c>
      <c r="AD165" s="205">
        <f>IF(ISNUMBER(AC165),AC165*AE165,0)</f>
        <v>0</v>
      </c>
      <c r="AE165" s="205">
        <v>0.25</v>
      </c>
      <c r="AF165" s="396"/>
      <c r="AG165" s="396"/>
      <c r="AH165" s="396"/>
      <c r="AI165" s="202">
        <v>0</v>
      </c>
      <c r="AJ165" s="205">
        <f>IF(ISNUMBER(AI165),AI165*AK165,0)</f>
        <v>0</v>
      </c>
      <c r="AK165" s="205">
        <v>0.25</v>
      </c>
      <c r="AL165" s="396"/>
      <c r="AM165" s="396"/>
      <c r="AN165" s="396"/>
      <c r="AO165" s="202">
        <v>0</v>
      </c>
      <c r="AP165" s="205">
        <f>IF(ISNUMBER(AO165),AO165*AQ165,0)</f>
        <v>0</v>
      </c>
      <c r="AQ165" s="205">
        <v>0.25</v>
      </c>
      <c r="AR165" s="396"/>
      <c r="AS165" s="396"/>
      <c r="AT165" s="396"/>
      <c r="AU165" s="202">
        <v>0</v>
      </c>
      <c r="AV165" s="205">
        <f>IF(ISNUMBER(AU165),AU165*AW165,0)</f>
        <v>0</v>
      </c>
      <c r="AW165" s="205">
        <v>0.25</v>
      </c>
      <c r="AX165" s="396"/>
      <c r="AY165" s="396"/>
      <c r="AZ165" s="396"/>
      <c r="BA165" s="202">
        <v>0</v>
      </c>
      <c r="BB165" s="205">
        <f>IF(ISNUMBER(BA165),BA165*BC165,0)</f>
        <v>0</v>
      </c>
      <c r="BC165" s="205">
        <v>0.25</v>
      </c>
      <c r="BD165" s="396"/>
      <c r="BE165" s="396"/>
      <c r="BF165" s="396"/>
      <c r="BG165" s="202">
        <v>0</v>
      </c>
      <c r="BH165" s="205">
        <f>IF(ISNUMBER(BG165),BG165*BI165,0)</f>
        <v>0</v>
      </c>
      <c r="BI165" s="205">
        <v>0.25</v>
      </c>
      <c r="BJ165" s="396"/>
      <c r="BK165" s="396"/>
      <c r="BL165" s="396"/>
      <c r="BM165" s="202">
        <v>0</v>
      </c>
      <c r="BN165" s="205">
        <f>IF(ISNUMBER(BM165),BM165*BO165,0)</f>
        <v>0</v>
      </c>
      <c r="BO165" s="205">
        <v>0.25</v>
      </c>
      <c r="BP165" s="396"/>
      <c r="BQ165" s="396"/>
      <c r="BR165" s="396"/>
      <c r="BS165" s="202">
        <v>0</v>
      </c>
      <c r="BT165" s="205">
        <f>IF(ISNUMBER(BS165),BS165*BU165,0)</f>
        <v>0</v>
      </c>
      <c r="BU165" s="205">
        <v>0.25</v>
      </c>
      <c r="BV165" s="396"/>
      <c r="BW165" s="396"/>
      <c r="BX165" s="396"/>
      <c r="BY165" s="202">
        <v>0</v>
      </c>
      <c r="BZ165" s="205">
        <f>IF(ISNUMBER(BY165),BY165*CA165,0)</f>
        <v>0</v>
      </c>
      <c r="CA165" s="205">
        <v>0.25</v>
      </c>
      <c r="CB165" s="396"/>
      <c r="CC165" s="396"/>
      <c r="CD165" s="396"/>
      <c r="CE165" s="202">
        <v>0</v>
      </c>
      <c r="CF165" s="205">
        <f>IF(ISNUMBER(CE165),CE165*CG165,0)</f>
        <v>0</v>
      </c>
      <c r="CG165" s="205">
        <v>0.25</v>
      </c>
      <c r="CH165" s="396"/>
      <c r="CI165" s="396"/>
      <c r="CJ165" s="396"/>
      <c r="CK165" s="202">
        <v>0</v>
      </c>
      <c r="CL165" s="205">
        <f>IF(ISNUMBER(CK165),CK165*CM165,0)</f>
        <v>0</v>
      </c>
      <c r="CM165" s="205">
        <v>0.25</v>
      </c>
      <c r="CN165" s="396"/>
      <c r="CO165" s="396"/>
      <c r="CP165" s="396"/>
      <c r="CQ165" s="202">
        <v>0</v>
      </c>
      <c r="CR165" s="205">
        <f>IF(ISNUMBER(CQ165),CQ165*CS165,0)</f>
        <v>0</v>
      </c>
      <c r="CS165" s="205">
        <v>0.25</v>
      </c>
      <c r="CT165" s="396"/>
      <c r="CU165" s="396"/>
      <c r="CV165" s="396"/>
      <c r="CW165" s="201"/>
      <c r="CX165" s="201"/>
      <c r="CY165" s="201"/>
      <c r="CZ165" s="396"/>
      <c r="DA165" s="396"/>
      <c r="DB165" s="396"/>
      <c r="DC165" s="202">
        <v>0</v>
      </c>
      <c r="DD165" s="205">
        <f>IF(ISNUMBER(DC165),DC165*DE165,0)</f>
        <v>0</v>
      </c>
      <c r="DE165" s="205">
        <v>0.25</v>
      </c>
      <c r="DF165" s="396"/>
      <c r="DG165" s="396"/>
      <c r="DH165" s="396"/>
      <c r="DI165" s="202">
        <v>0</v>
      </c>
      <c r="DJ165" s="205">
        <f>IF(ISNUMBER(DI165),DI165*DK165,0)</f>
        <v>0</v>
      </c>
      <c r="DK165" s="205">
        <v>0.25</v>
      </c>
      <c r="DL165" s="396"/>
      <c r="DM165" s="396"/>
      <c r="DN165" s="396"/>
    </row>
    <row r="166" spans="2:118" x14ac:dyDescent="0.35">
      <c r="B166" s="201"/>
      <c r="C166" s="201"/>
      <c r="D166" s="201"/>
      <c r="E166" s="201"/>
      <c r="F166" s="201"/>
      <c r="G166" s="201"/>
      <c r="H166" s="396"/>
      <c r="I166" s="396"/>
      <c r="J166" s="396"/>
      <c r="K166" s="201"/>
      <c r="L166" s="201"/>
      <c r="M166" s="201"/>
      <c r="N166" s="396"/>
      <c r="O166" s="396"/>
      <c r="P166" s="396"/>
      <c r="Q166" s="201"/>
      <c r="R166" s="201"/>
      <c r="S166" s="201"/>
      <c r="T166" s="396"/>
      <c r="U166" s="396"/>
      <c r="V166" s="396"/>
      <c r="W166" s="201"/>
      <c r="X166" s="201"/>
      <c r="Y166" s="201"/>
      <c r="Z166" s="396"/>
      <c r="AA166" s="396"/>
      <c r="AB166" s="396"/>
      <c r="AC166" s="201"/>
      <c r="AD166" s="201"/>
      <c r="AE166" s="201"/>
      <c r="AF166" s="396"/>
      <c r="AG166" s="396"/>
      <c r="AH166" s="396"/>
      <c r="AI166" s="201"/>
      <c r="AJ166" s="201"/>
      <c r="AK166" s="201"/>
      <c r="AL166" s="396"/>
      <c r="AM166" s="396"/>
      <c r="AN166" s="396"/>
      <c r="AO166" s="201"/>
      <c r="AP166" s="201"/>
      <c r="AQ166" s="201"/>
      <c r="AR166" s="396"/>
      <c r="AS166" s="396"/>
      <c r="AT166" s="396"/>
      <c r="AU166" s="201"/>
      <c r="AV166" s="201"/>
      <c r="AW166" s="201"/>
      <c r="AX166" s="396"/>
      <c r="AY166" s="396"/>
      <c r="AZ166" s="396"/>
      <c r="BA166" s="201"/>
      <c r="BB166" s="201"/>
      <c r="BC166" s="201"/>
      <c r="BD166" s="396"/>
      <c r="BE166" s="396"/>
      <c r="BF166" s="396"/>
      <c r="BG166" s="201"/>
      <c r="BH166" s="201"/>
      <c r="BI166" s="201"/>
      <c r="BJ166" s="396"/>
      <c r="BK166" s="396"/>
      <c r="BL166" s="396"/>
      <c r="BM166" s="201"/>
      <c r="BN166" s="201"/>
      <c r="BO166" s="201"/>
      <c r="BP166" s="396"/>
      <c r="BQ166" s="396"/>
      <c r="BR166" s="396"/>
      <c r="BS166" s="201"/>
      <c r="BT166" s="201"/>
      <c r="BU166" s="201"/>
      <c r="BV166" s="396"/>
      <c r="BW166" s="396"/>
      <c r="BX166" s="396"/>
      <c r="BY166" s="201"/>
      <c r="BZ166" s="201"/>
      <c r="CA166" s="201"/>
      <c r="CB166" s="396"/>
      <c r="CC166" s="396"/>
      <c r="CD166" s="396"/>
      <c r="CE166" s="201"/>
      <c r="CF166" s="201"/>
      <c r="CG166" s="201"/>
      <c r="CH166" s="396"/>
      <c r="CI166" s="396"/>
      <c r="CJ166" s="396"/>
      <c r="CK166" s="201"/>
      <c r="CL166" s="201"/>
      <c r="CM166" s="201"/>
      <c r="CN166" s="396"/>
      <c r="CO166" s="396"/>
      <c r="CP166" s="396"/>
      <c r="CQ166" s="201"/>
      <c r="CR166" s="201"/>
      <c r="CS166" s="201"/>
      <c r="CT166" s="396"/>
      <c r="CU166" s="396"/>
      <c r="CV166" s="396"/>
      <c r="CW166" s="202">
        <v>0</v>
      </c>
      <c r="CX166" s="205">
        <f>IF(ISNUMBER(CW166),CW166*CY166,0)</f>
        <v>0</v>
      </c>
      <c r="CY166" s="205">
        <v>0.25</v>
      </c>
      <c r="CZ166" s="396"/>
      <c r="DA166" s="396"/>
      <c r="DB166" s="396"/>
      <c r="DC166" s="201"/>
      <c r="DD166" s="201"/>
      <c r="DE166" s="201"/>
      <c r="DF166" s="396"/>
      <c r="DG166" s="396"/>
      <c r="DH166" s="396"/>
      <c r="DI166" s="201"/>
      <c r="DJ166" s="201"/>
      <c r="DK166" s="201"/>
      <c r="DL166" s="396"/>
      <c r="DM166" s="396"/>
      <c r="DN166" s="396"/>
    </row>
    <row r="167" spans="2:118" x14ac:dyDescent="0.35">
      <c r="B167" s="203" t="s">
        <v>496</v>
      </c>
      <c r="C167" s="203"/>
      <c r="D167" s="203"/>
      <c r="E167" s="203"/>
      <c r="F167" s="201"/>
      <c r="G167" s="201"/>
      <c r="H167" s="396"/>
      <c r="I167" s="396"/>
      <c r="J167" s="396"/>
      <c r="K167" s="203"/>
      <c r="L167" s="201"/>
      <c r="M167" s="201"/>
      <c r="N167" s="396"/>
      <c r="O167" s="396"/>
      <c r="P167" s="396"/>
      <c r="Q167" s="203"/>
      <c r="R167" s="201"/>
      <c r="S167" s="201"/>
      <c r="T167" s="396"/>
      <c r="U167" s="396"/>
      <c r="V167" s="396"/>
      <c r="W167" s="203"/>
      <c r="X167" s="201"/>
      <c r="Y167" s="201"/>
      <c r="Z167" s="396"/>
      <c r="AA167" s="396"/>
      <c r="AB167" s="396"/>
      <c r="AC167" s="203"/>
      <c r="AD167" s="201"/>
      <c r="AE167" s="201"/>
      <c r="AF167" s="396"/>
      <c r="AG167" s="396"/>
      <c r="AH167" s="396"/>
      <c r="AI167" s="203"/>
      <c r="AJ167" s="201"/>
      <c r="AK167" s="201"/>
      <c r="AL167" s="396"/>
      <c r="AM167" s="396"/>
      <c r="AN167" s="396"/>
      <c r="AO167" s="203"/>
      <c r="AP167" s="201"/>
      <c r="AQ167" s="201"/>
      <c r="AR167" s="396"/>
      <c r="AS167" s="396"/>
      <c r="AT167" s="396"/>
      <c r="AU167" s="203"/>
      <c r="AV167" s="201"/>
      <c r="AW167" s="201"/>
      <c r="AX167" s="396"/>
      <c r="AY167" s="396"/>
      <c r="AZ167" s="396"/>
      <c r="BA167" s="203"/>
      <c r="BB167" s="201"/>
      <c r="BC167" s="201"/>
      <c r="BD167" s="396"/>
      <c r="BE167" s="396"/>
      <c r="BF167" s="396"/>
      <c r="BG167" s="203"/>
      <c r="BH167" s="201"/>
      <c r="BI167" s="201"/>
      <c r="BJ167" s="396"/>
      <c r="BK167" s="396"/>
      <c r="BL167" s="396"/>
      <c r="BM167" s="203"/>
      <c r="BN167" s="201"/>
      <c r="BO167" s="201"/>
      <c r="BP167" s="396"/>
      <c r="BQ167" s="396"/>
      <c r="BR167" s="396"/>
      <c r="BS167" s="203"/>
      <c r="BT167" s="201"/>
      <c r="BU167" s="201"/>
      <c r="BV167" s="396"/>
      <c r="BW167" s="396"/>
      <c r="BX167" s="396"/>
      <c r="BY167" s="203"/>
      <c r="BZ167" s="201"/>
      <c r="CA167" s="201"/>
      <c r="CB167" s="396"/>
      <c r="CC167" s="396"/>
      <c r="CD167" s="396"/>
      <c r="CE167" s="203"/>
      <c r="CF167" s="201"/>
      <c r="CG167" s="201"/>
      <c r="CH167" s="396"/>
      <c r="CI167" s="396"/>
      <c r="CJ167" s="396"/>
      <c r="CK167" s="203"/>
      <c r="CL167" s="201"/>
      <c r="CM167" s="201"/>
      <c r="CN167" s="396"/>
      <c r="CO167" s="396"/>
      <c r="CP167" s="396"/>
      <c r="CQ167" s="203"/>
      <c r="CR167" s="201"/>
      <c r="CS167" s="201"/>
      <c r="CT167" s="396"/>
      <c r="CU167" s="396"/>
      <c r="CV167" s="396"/>
      <c r="CW167" s="201"/>
      <c r="CX167" s="201"/>
      <c r="CY167" s="201"/>
      <c r="CZ167" s="396"/>
      <c r="DA167" s="396"/>
      <c r="DB167" s="396"/>
      <c r="DC167" s="203"/>
      <c r="DD167" s="201"/>
      <c r="DE167" s="201"/>
      <c r="DF167" s="396"/>
      <c r="DG167" s="396"/>
      <c r="DH167" s="396"/>
      <c r="DI167" s="203"/>
      <c r="DJ167" s="201"/>
      <c r="DK167" s="201"/>
      <c r="DL167" s="396"/>
      <c r="DM167" s="396"/>
      <c r="DN167" s="396"/>
    </row>
    <row r="168" spans="2:118" x14ac:dyDescent="0.35">
      <c r="B168" s="201" t="s">
        <v>497</v>
      </c>
      <c r="C168" s="201"/>
      <c r="D168" s="201" t="s">
        <v>478</v>
      </c>
      <c r="E168" s="202">
        <v>0</v>
      </c>
      <c r="F168" s="205">
        <f>IF(ISNUMBER(E168),E168*G168,0)</f>
        <v>0</v>
      </c>
      <c r="G168" s="205">
        <v>1</v>
      </c>
      <c r="H168" s="396"/>
      <c r="I168" s="396"/>
      <c r="J168" s="396"/>
      <c r="K168" s="202">
        <v>0</v>
      </c>
      <c r="L168" s="205">
        <f>IF(ISNUMBER(K168),K168*M168,0)</f>
        <v>0</v>
      </c>
      <c r="M168" s="205">
        <v>1</v>
      </c>
      <c r="N168" s="396"/>
      <c r="O168" s="396"/>
      <c r="P168" s="396"/>
      <c r="Q168" s="202">
        <v>0</v>
      </c>
      <c r="R168" s="205">
        <f>IF(ISNUMBER(Q168),Q168*S168,0)</f>
        <v>0</v>
      </c>
      <c r="S168" s="205">
        <v>1</v>
      </c>
      <c r="T168" s="396"/>
      <c r="U168" s="396"/>
      <c r="V168" s="396"/>
      <c r="W168" s="202">
        <v>0</v>
      </c>
      <c r="X168" s="205">
        <f>IF(ISNUMBER(W168),W168*Y168,0)</f>
        <v>0</v>
      </c>
      <c r="Y168" s="205">
        <v>1</v>
      </c>
      <c r="Z168" s="396"/>
      <c r="AA168" s="396"/>
      <c r="AB168" s="396"/>
      <c r="AC168" s="202">
        <v>0</v>
      </c>
      <c r="AD168" s="205">
        <f>IF(ISNUMBER(AC168),AC168*AE168,0)</f>
        <v>0</v>
      </c>
      <c r="AE168" s="205">
        <v>1</v>
      </c>
      <c r="AF168" s="396"/>
      <c r="AG168" s="396"/>
      <c r="AH168" s="396"/>
      <c r="AI168" s="202">
        <v>0</v>
      </c>
      <c r="AJ168" s="205">
        <f>IF(ISNUMBER(AI168),AI168*AK168,0)</f>
        <v>0</v>
      </c>
      <c r="AK168" s="205">
        <v>1</v>
      </c>
      <c r="AL168" s="396"/>
      <c r="AM168" s="396"/>
      <c r="AN168" s="396"/>
      <c r="AO168" s="202">
        <v>0</v>
      </c>
      <c r="AP168" s="205">
        <f>IF(ISNUMBER(AO168),AO168*AQ168,0)</f>
        <v>0</v>
      </c>
      <c r="AQ168" s="205">
        <v>1</v>
      </c>
      <c r="AR168" s="396"/>
      <c r="AS168" s="396"/>
      <c r="AT168" s="396"/>
      <c r="AU168" s="202">
        <v>0</v>
      </c>
      <c r="AV168" s="205">
        <f>IF(ISNUMBER(AU168),AU168*AW168,0)</f>
        <v>0</v>
      </c>
      <c r="AW168" s="205">
        <v>1</v>
      </c>
      <c r="AX168" s="396"/>
      <c r="AY168" s="396"/>
      <c r="AZ168" s="396"/>
      <c r="BA168" s="202">
        <v>0</v>
      </c>
      <c r="BB168" s="205">
        <f>IF(ISNUMBER(BA168),BA168*BC168,0)</f>
        <v>0</v>
      </c>
      <c r="BC168" s="205">
        <v>1</v>
      </c>
      <c r="BD168" s="396"/>
      <c r="BE168" s="396"/>
      <c r="BF168" s="396"/>
      <c r="BG168" s="202">
        <v>0</v>
      </c>
      <c r="BH168" s="205">
        <f>IF(ISNUMBER(BG168),BG168*BI168,0)</f>
        <v>0</v>
      </c>
      <c r="BI168" s="205">
        <v>1</v>
      </c>
      <c r="BJ168" s="396"/>
      <c r="BK168" s="396"/>
      <c r="BL168" s="396"/>
      <c r="BM168" s="202">
        <v>0</v>
      </c>
      <c r="BN168" s="205">
        <f>IF(ISNUMBER(BM168),BM168*BO168,0)</f>
        <v>0</v>
      </c>
      <c r="BO168" s="205">
        <v>1</v>
      </c>
      <c r="BP168" s="396"/>
      <c r="BQ168" s="396"/>
      <c r="BR168" s="396"/>
      <c r="BS168" s="202">
        <v>0</v>
      </c>
      <c r="BT168" s="205">
        <f>IF(ISNUMBER(BS168),BS168*BU168,0)</f>
        <v>0</v>
      </c>
      <c r="BU168" s="205">
        <v>1</v>
      </c>
      <c r="BV168" s="396"/>
      <c r="BW168" s="396"/>
      <c r="BX168" s="396"/>
      <c r="BY168" s="202">
        <v>0</v>
      </c>
      <c r="BZ168" s="205">
        <f>IF(ISNUMBER(BY168),BY168*CA168,0)</f>
        <v>0</v>
      </c>
      <c r="CA168" s="205">
        <v>1</v>
      </c>
      <c r="CB168" s="396"/>
      <c r="CC168" s="396"/>
      <c r="CD168" s="396"/>
      <c r="CE168" s="202">
        <v>0</v>
      </c>
      <c r="CF168" s="205">
        <f>IF(ISNUMBER(CE168),CE168*CG168,0)</f>
        <v>0</v>
      </c>
      <c r="CG168" s="205">
        <v>1</v>
      </c>
      <c r="CH168" s="396"/>
      <c r="CI168" s="396"/>
      <c r="CJ168" s="396"/>
      <c r="CK168" s="202">
        <v>0</v>
      </c>
      <c r="CL168" s="205">
        <f>IF(ISNUMBER(CK168),CK168*CM168,0)</f>
        <v>0</v>
      </c>
      <c r="CM168" s="205">
        <v>1</v>
      </c>
      <c r="CN168" s="396"/>
      <c r="CO168" s="396"/>
      <c r="CP168" s="396"/>
      <c r="CQ168" s="202">
        <v>0</v>
      </c>
      <c r="CR168" s="205">
        <f>IF(ISNUMBER(CQ168),CQ168*CS168,0)</f>
        <v>0</v>
      </c>
      <c r="CS168" s="205">
        <v>1</v>
      </c>
      <c r="CT168" s="396"/>
      <c r="CU168" s="396"/>
      <c r="CV168" s="396"/>
      <c r="CW168" s="203"/>
      <c r="CX168" s="201"/>
      <c r="CY168" s="201"/>
      <c r="CZ168" s="396"/>
      <c r="DA168" s="396"/>
      <c r="DB168" s="396"/>
      <c r="DC168" s="202">
        <v>0</v>
      </c>
      <c r="DD168" s="205">
        <f>IF(ISNUMBER(DC168),DC168*DE168,0)</f>
        <v>0</v>
      </c>
      <c r="DE168" s="205">
        <v>1</v>
      </c>
      <c r="DF168" s="396"/>
      <c r="DG168" s="396"/>
      <c r="DH168" s="396"/>
      <c r="DI168" s="202">
        <v>0</v>
      </c>
      <c r="DJ168" s="205">
        <f>IF(ISNUMBER(DI168),DI168*DK168,0)</f>
        <v>0</v>
      </c>
      <c r="DK168" s="205">
        <v>1</v>
      </c>
      <c r="DL168" s="396"/>
      <c r="DM168" s="396"/>
      <c r="DN168" s="396"/>
    </row>
    <row r="169" spans="2:118" x14ac:dyDescent="0.35">
      <c r="B169" s="203" t="s">
        <v>498</v>
      </c>
      <c r="C169" s="203"/>
      <c r="D169" s="203"/>
      <c r="E169" s="214">
        <f>IF(E170,SUM(F70:F169),"")</f>
        <v>4.17686050050761</v>
      </c>
      <c r="F169" s="201"/>
      <c r="G169" s="201"/>
      <c r="H169" s="396"/>
      <c r="I169" s="396"/>
      <c r="J169" s="396"/>
      <c r="K169" s="214">
        <f>IF(K170,SUM(L70:L169),"")</f>
        <v>3.9798320301830858</v>
      </c>
      <c r="L169" s="201"/>
      <c r="M169" s="201"/>
      <c r="N169" s="396"/>
      <c r="O169" s="396"/>
      <c r="P169" s="396"/>
      <c r="Q169" s="214">
        <f>IF(Q170,SUM(R70:R169),"")</f>
        <v>3.9798320301830858</v>
      </c>
      <c r="R169" s="201"/>
      <c r="S169" s="201"/>
      <c r="T169" s="396"/>
      <c r="U169" s="396"/>
      <c r="V169" s="396"/>
      <c r="W169" s="214">
        <f>IF(W170,SUM(X70:X169),"")</f>
        <v>3.9620001342808413</v>
      </c>
      <c r="X169" s="201"/>
      <c r="Y169" s="201"/>
      <c r="Z169" s="396"/>
      <c r="AA169" s="396"/>
      <c r="AB169" s="396"/>
      <c r="AC169" s="214">
        <f>IF(AC170,SUM(AD70:AD169),"")</f>
        <v>4.312409297088494</v>
      </c>
      <c r="AD169" s="201"/>
      <c r="AE169" s="201"/>
      <c r="AF169" s="396"/>
      <c r="AG169" s="396"/>
      <c r="AH169" s="396"/>
      <c r="AI169" s="214">
        <f>IF(AI170,SUM(AJ70:AJ169),"")</f>
        <v>4.312409297088494</v>
      </c>
      <c r="AJ169" s="201"/>
      <c r="AK169" s="201"/>
      <c r="AL169" s="396"/>
      <c r="AM169" s="396"/>
      <c r="AN169" s="396"/>
      <c r="AO169" s="214">
        <f>IF(AO170,SUM(AP70:AP169),"")</f>
        <v>4.312409297088494</v>
      </c>
      <c r="AP169" s="201"/>
      <c r="AQ169" s="201"/>
      <c r="AR169" s="396"/>
      <c r="AS169" s="396"/>
      <c r="AT169" s="396"/>
      <c r="AU169" s="214">
        <f>IF(AU170,SUM(AV70:AV169),"")</f>
        <v>4.3124133946016396</v>
      </c>
      <c r="AV169" s="201"/>
      <c r="AW169" s="201"/>
      <c r="AX169" s="396"/>
      <c r="AY169" s="396"/>
      <c r="AZ169" s="396"/>
      <c r="BA169" s="214">
        <f>IF(BA170,SUM(BB70:BB169),"")</f>
        <v>4.3124133946016396</v>
      </c>
      <c r="BB169" s="201"/>
      <c r="BC169" s="201"/>
      <c r="BD169" s="396"/>
      <c r="BE169" s="396"/>
      <c r="BF169" s="396"/>
      <c r="BG169" s="214">
        <f>IF(BG170,SUM(BH70:BH169),"")</f>
        <v>4.3124133946016396</v>
      </c>
      <c r="BH169" s="201"/>
      <c r="BI169" s="201"/>
      <c r="BJ169" s="396"/>
      <c r="BK169" s="396"/>
      <c r="BL169" s="396"/>
      <c r="BM169" s="214">
        <f>IF(BM170,SUM(BN70:BN169),"")</f>
        <v>3.7934737942980745</v>
      </c>
      <c r="BN169" s="201"/>
      <c r="BO169" s="201"/>
      <c r="BP169" s="396"/>
      <c r="BQ169" s="396"/>
      <c r="BR169" s="396"/>
      <c r="BS169" s="214">
        <f>IF(BS170,SUM(BT70:BT169),"")</f>
        <v>3.7738795312008708</v>
      </c>
      <c r="BT169" s="201"/>
      <c r="BU169" s="201"/>
      <c r="BV169" s="396"/>
      <c r="BW169" s="396"/>
      <c r="BX169" s="396"/>
      <c r="BY169" s="214">
        <f>IF(BY170,SUM(BZ70:BZ169),"")</f>
        <v>4.329419309594468</v>
      </c>
      <c r="BZ169" s="201"/>
      <c r="CA169" s="201"/>
      <c r="CB169" s="396"/>
      <c r="CC169" s="396"/>
      <c r="CD169" s="396"/>
      <c r="CE169" s="214">
        <f>IF(CE170,SUM(CF70:CF169),"")</f>
        <v>4.329419309594468</v>
      </c>
      <c r="CF169" s="201"/>
      <c r="CG169" s="201"/>
      <c r="CH169" s="396"/>
      <c r="CI169" s="396"/>
      <c r="CJ169" s="396"/>
      <c r="CK169" s="214">
        <f>IF(CK170,SUM(CL70:CL169),"")</f>
        <v>4.6308778823308403</v>
      </c>
      <c r="CL169" s="201"/>
      <c r="CM169" s="201"/>
      <c r="CN169" s="396"/>
      <c r="CO169" s="396"/>
      <c r="CP169" s="396"/>
      <c r="CQ169" s="214">
        <f>IF(CQ170,SUM(CR70:CR169),"")</f>
        <v>4.6308778823308403</v>
      </c>
      <c r="CR169" s="201"/>
      <c r="CS169" s="201"/>
      <c r="CT169" s="396"/>
      <c r="CU169" s="396"/>
      <c r="CV169" s="396"/>
      <c r="CW169" s="202">
        <v>0</v>
      </c>
      <c r="CX169" s="205">
        <f>IF(ISNUMBER(CW169),CW169*CY169,0)</f>
        <v>0</v>
      </c>
      <c r="CY169" s="205">
        <v>1</v>
      </c>
      <c r="CZ169" s="396"/>
      <c r="DA169" s="396"/>
      <c r="DB169" s="396"/>
      <c r="DC169" s="214">
        <f>IF(DC170,SUM(DD70:DD169),"")</f>
        <v>4.6308778823308403</v>
      </c>
      <c r="DD169" s="201"/>
      <c r="DE169" s="201"/>
      <c r="DF169" s="396"/>
      <c r="DG169" s="396"/>
      <c r="DH169" s="396"/>
      <c r="DI169" s="214">
        <f>IF(DI170,SUM(DJ70:DJ169),"")</f>
        <v>4.6308778823308403</v>
      </c>
      <c r="DJ169" s="201"/>
      <c r="DK169" s="201"/>
      <c r="DL169" s="396"/>
      <c r="DM169" s="396"/>
      <c r="DN169" s="396"/>
    </row>
    <row r="170" spans="2:118" ht="15.75" customHeight="1" x14ac:dyDescent="0.35">
      <c r="B170" s="201" t="s">
        <v>501</v>
      </c>
      <c r="C170" s="201"/>
      <c r="D170" s="201"/>
      <c r="E170" s="202" t="b">
        <f>IF(AND(E30&lt;&gt;0,ISNUMBER(E39),ISNUMBER(E35),ISNUMBER(E36),ISNUMBER(E52),ISNUMBER(E53) ),TRUE,FALSE)</f>
        <v>1</v>
      </c>
      <c r="F170" s="13"/>
      <c r="G170" s="13"/>
      <c r="H170" s="396"/>
      <c r="I170" s="396"/>
      <c r="J170" s="396"/>
      <c r="K170" s="202" t="b">
        <f>IF(AND(K30&lt;&gt;0,ISNUMBER(K39),ISNUMBER(K35),ISNUMBER(K36),ISNUMBER(K52),ISNUMBER(K53) ),TRUE,FALSE)</f>
        <v>1</v>
      </c>
      <c r="L170" s="13"/>
      <c r="M170" s="13"/>
      <c r="N170" s="396"/>
      <c r="O170" s="396"/>
      <c r="P170" s="396"/>
      <c r="Q170" s="202" t="b">
        <f>IF(AND(Q30&lt;&gt;0,ISNUMBER(Q39),ISNUMBER(Q35),ISNUMBER(Q36),ISNUMBER(Q52),ISNUMBER(Q53) ),TRUE,FALSE)</f>
        <v>1</v>
      </c>
      <c r="R170" s="13"/>
      <c r="S170" s="13"/>
      <c r="T170" s="396"/>
      <c r="U170" s="396"/>
      <c r="V170" s="396"/>
      <c r="W170" s="202" t="b">
        <f>IF(AND(W30&lt;&gt;0,ISNUMBER(W39),ISNUMBER(W35),ISNUMBER(W36),ISNUMBER(W52),ISNUMBER(W53) ),TRUE,FALSE)</f>
        <v>1</v>
      </c>
      <c r="X170" s="13"/>
      <c r="Y170" s="13"/>
      <c r="Z170" s="396"/>
      <c r="AA170" s="396"/>
      <c r="AB170" s="396"/>
      <c r="AC170" s="202" t="b">
        <f>IF(AND(AC30&lt;&gt;0,ISNUMBER(AC39),ISNUMBER(AC35),ISNUMBER(AC36),ISNUMBER(AC52),ISNUMBER(AC53) ),TRUE,FALSE)</f>
        <v>1</v>
      </c>
      <c r="AD170" s="13"/>
      <c r="AE170" s="13"/>
      <c r="AF170" s="396"/>
      <c r="AG170" s="396"/>
      <c r="AH170" s="396"/>
      <c r="AI170" s="202" t="b">
        <f>IF(AND(AI30&lt;&gt;0,ISNUMBER(AI39),ISNUMBER(AI35),ISNUMBER(AI36),ISNUMBER(AI52),ISNUMBER(AI53) ),TRUE,FALSE)</f>
        <v>1</v>
      </c>
      <c r="AJ170" s="13"/>
      <c r="AK170" s="13"/>
      <c r="AL170" s="396"/>
      <c r="AM170" s="396"/>
      <c r="AN170" s="396"/>
      <c r="AO170" s="202" t="b">
        <f>IF(AND(AO30&lt;&gt;0,ISNUMBER(AO39),ISNUMBER(AO35),ISNUMBER(AO36),ISNUMBER(AO52),ISNUMBER(AO53) ),TRUE,FALSE)</f>
        <v>1</v>
      </c>
      <c r="AP170" s="13"/>
      <c r="AQ170" s="13"/>
      <c r="AR170" s="396"/>
      <c r="AS170" s="396"/>
      <c r="AT170" s="396"/>
      <c r="AU170" s="202" t="b">
        <f>IF(AND(AU30&lt;&gt;0,ISNUMBER(AU39),ISNUMBER(AU35),ISNUMBER(AU36),ISNUMBER(AU52),ISNUMBER(AU53) ),TRUE,FALSE)</f>
        <v>1</v>
      </c>
      <c r="AV170" s="13"/>
      <c r="AW170" s="13"/>
      <c r="AX170" s="396"/>
      <c r="AY170" s="396"/>
      <c r="AZ170" s="396"/>
      <c r="BA170" s="202" t="b">
        <f>IF(AND(BA30&lt;&gt;0,ISNUMBER(BA39),ISNUMBER(BA35),ISNUMBER(BA36),ISNUMBER(BA52),ISNUMBER(BA53) ),TRUE,FALSE)</f>
        <v>1</v>
      </c>
      <c r="BB170" s="13"/>
      <c r="BC170" s="13"/>
      <c r="BD170" s="396"/>
      <c r="BE170" s="396"/>
      <c r="BF170" s="396"/>
      <c r="BG170" s="202" t="b">
        <f>IF(AND(BG30&lt;&gt;0,ISNUMBER(BG39),ISNUMBER(BG35),ISNUMBER(BG36),ISNUMBER(BG52),ISNUMBER(BG53) ),TRUE,FALSE)</f>
        <v>1</v>
      </c>
      <c r="BH170" s="13"/>
      <c r="BI170" s="13"/>
      <c r="BJ170" s="396"/>
      <c r="BK170" s="396"/>
      <c r="BL170" s="396"/>
      <c r="BM170" s="202" t="b">
        <f>IF(AND(BM30&lt;&gt;0,ISNUMBER(BM39),ISNUMBER(BM35),ISNUMBER(BM36),ISNUMBER(BM52),ISNUMBER(BM53) ),TRUE,FALSE)</f>
        <v>1</v>
      </c>
      <c r="BN170" s="13"/>
      <c r="BO170" s="13"/>
      <c r="BP170" s="396"/>
      <c r="BQ170" s="396"/>
      <c r="BR170" s="396"/>
      <c r="BS170" s="202" t="b">
        <f>IF(AND(BS30&lt;&gt;0,ISNUMBER(BS39),ISNUMBER(BS35),ISNUMBER(BS36),ISNUMBER(BS52),ISNUMBER(BS53) ),TRUE,FALSE)</f>
        <v>1</v>
      </c>
      <c r="BT170" s="13"/>
      <c r="BU170" s="13"/>
      <c r="BV170" s="396"/>
      <c r="BW170" s="396"/>
      <c r="BX170" s="396"/>
      <c r="BY170" s="202" t="b">
        <f>IF(AND(BY30&lt;&gt;0,ISNUMBER(BY39),ISNUMBER(BY35),ISNUMBER(BY36),ISNUMBER(BY52),ISNUMBER(BY53) ),TRUE,FALSE)</f>
        <v>1</v>
      </c>
      <c r="BZ170" s="13"/>
      <c r="CA170" s="13"/>
      <c r="CB170" s="396"/>
      <c r="CC170" s="396"/>
      <c r="CD170" s="396"/>
      <c r="CE170" s="202" t="b">
        <f>IF(AND(CE30&lt;&gt;0,ISNUMBER(CE39),ISNUMBER(CE35),ISNUMBER(CE36),ISNUMBER(CE52),ISNUMBER(CE53) ),TRUE,FALSE)</f>
        <v>1</v>
      </c>
      <c r="CF170" s="13"/>
      <c r="CG170" s="13"/>
      <c r="CH170" s="396"/>
      <c r="CI170" s="396"/>
      <c r="CJ170" s="396"/>
      <c r="CK170" s="202" t="b">
        <f>IF(AND(CK30&lt;&gt;0,ISNUMBER(CK39),ISNUMBER(CK35),ISNUMBER(CK36),ISNUMBER(CK52),ISNUMBER(CK53) ),TRUE,FALSE)</f>
        <v>1</v>
      </c>
      <c r="CL170" s="13"/>
      <c r="CM170" s="13"/>
      <c r="CN170" s="396"/>
      <c r="CO170" s="396"/>
      <c r="CP170" s="396"/>
      <c r="CQ170" s="202" t="b">
        <f>IF(AND(CQ30&lt;&gt;0,ISNUMBER(CQ39),ISNUMBER(CQ35),ISNUMBER(CQ36),ISNUMBER(CQ52),ISNUMBER(CQ53) ),TRUE,FALSE)</f>
        <v>1</v>
      </c>
      <c r="CR170" s="13"/>
      <c r="CS170" s="13"/>
      <c r="CT170" s="396"/>
      <c r="CU170" s="396"/>
      <c r="CV170" s="396"/>
      <c r="CW170" s="214" t="str">
        <f>IF(CW171,SUM(CX71:CX170),"")</f>
        <v/>
      </c>
      <c r="CX170" s="201"/>
      <c r="CY170" s="201"/>
      <c r="CZ170" s="396"/>
      <c r="DA170" s="396"/>
      <c r="DB170" s="396"/>
      <c r="DC170" s="202" t="b">
        <f>IF(AND(DC30&lt;&gt;0,ISNUMBER(DC39),ISNUMBER(DC35),ISNUMBER(DC36),ISNUMBER(DC52),ISNUMBER(DC53) ),TRUE,FALSE)</f>
        <v>1</v>
      </c>
      <c r="DD170" s="13"/>
      <c r="DE170" s="13"/>
      <c r="DF170" s="396"/>
      <c r="DG170" s="396"/>
      <c r="DH170" s="396"/>
      <c r="DI170" s="202" t="b">
        <f>IF(AND(DI30&lt;&gt;0,ISNUMBER(DI39),ISNUMBER(DI35),ISNUMBER(DI36),ISNUMBER(DI52),ISNUMBER(DI53) ),TRUE,FALSE)</f>
        <v>1</v>
      </c>
      <c r="DJ170" s="13"/>
      <c r="DK170" s="13"/>
      <c r="DL170" s="396"/>
      <c r="DM170" s="396"/>
      <c r="DN170" s="396"/>
    </row>
    <row r="171" spans="2:118" x14ac:dyDescent="0.35">
      <c r="B171" s="177"/>
      <c r="C171" s="176"/>
      <c r="D171" s="176"/>
      <c r="E171" s="176"/>
      <c r="H171"/>
      <c r="I171"/>
      <c r="K171"/>
      <c r="L171"/>
      <c r="M171"/>
      <c r="N171"/>
      <c r="O171"/>
      <c r="Q171"/>
      <c r="R171"/>
      <c r="S171"/>
      <c r="T171"/>
      <c r="U171"/>
      <c r="W171"/>
      <c r="X171"/>
      <c r="Y171"/>
      <c r="Z171"/>
      <c r="AA171"/>
      <c r="AC171"/>
      <c r="AD171"/>
      <c r="AE171"/>
      <c r="AF171"/>
      <c r="AG171"/>
      <c r="AI171"/>
      <c r="AJ171"/>
      <c r="AK171"/>
      <c r="AL171"/>
      <c r="AM171"/>
      <c r="AO171"/>
      <c r="AP171"/>
      <c r="AQ171"/>
      <c r="AR171"/>
      <c r="AS171"/>
      <c r="AU171"/>
      <c r="AV171"/>
      <c r="AW171"/>
      <c r="AX171"/>
      <c r="AY171"/>
      <c r="BA171"/>
      <c r="BB171"/>
      <c r="BC171"/>
      <c r="BD171"/>
      <c r="BE171"/>
      <c r="BG171"/>
      <c r="BH171"/>
      <c r="BI171"/>
      <c r="BJ171"/>
      <c r="BK171"/>
      <c r="BM171"/>
      <c r="BN171"/>
      <c r="BO171"/>
      <c r="BP171"/>
      <c r="BQ171"/>
      <c r="BS171"/>
      <c r="BT171"/>
      <c r="BU171"/>
      <c r="BV171"/>
      <c r="BW171"/>
      <c r="BY171"/>
      <c r="BZ171"/>
      <c r="CA171"/>
      <c r="CB171"/>
      <c r="CC171"/>
      <c r="CE171"/>
      <c r="CF171"/>
      <c r="CG171"/>
      <c r="CH171"/>
      <c r="CI171"/>
      <c r="CK171"/>
      <c r="CL171"/>
      <c r="CM171"/>
      <c r="CN171"/>
      <c r="CO171"/>
      <c r="CQ171"/>
      <c r="CR171"/>
      <c r="CS171"/>
      <c r="CT171"/>
      <c r="CU171"/>
      <c r="CW171" s="175" t="b">
        <f>IF(AND(CW31&lt;&gt;0,ISNUMBER(CW40),ISNUMBER(CW36),ISNUMBER(CW37),ISNUMBER(CW53),ISNUMBER(CW54) ),TRUE,FALSE)</f>
        <v>0</v>
      </c>
      <c r="CX171"/>
      <c r="CY171"/>
      <c r="DB171" s="406"/>
      <c r="DC171"/>
      <c r="DD171"/>
      <c r="DE171"/>
      <c r="DF171"/>
      <c r="DG171"/>
      <c r="DI171"/>
      <c r="DJ171"/>
      <c r="DK171"/>
      <c r="DL171"/>
      <c r="DM171"/>
    </row>
    <row r="172" spans="2:118" x14ac:dyDescent="0.35">
      <c r="B172" s="177"/>
      <c r="C172" s="176"/>
      <c r="D172" s="176"/>
      <c r="E172" s="176"/>
      <c r="H172"/>
      <c r="I172"/>
      <c r="K172"/>
      <c r="L172"/>
      <c r="M172"/>
      <c r="N172"/>
      <c r="O172"/>
      <c r="Q172"/>
      <c r="R172"/>
      <c r="S172"/>
      <c r="T172"/>
      <c r="U172"/>
      <c r="W172"/>
      <c r="X172"/>
      <c r="Y172"/>
      <c r="Z172"/>
      <c r="AA172"/>
      <c r="AC172"/>
      <c r="AD172"/>
      <c r="AE172"/>
      <c r="AF172"/>
      <c r="AG172"/>
      <c r="AI172"/>
      <c r="AJ172"/>
      <c r="AK172"/>
      <c r="AL172"/>
      <c r="AM172"/>
      <c r="AO172"/>
      <c r="AP172"/>
      <c r="AQ172"/>
      <c r="AR172"/>
      <c r="AS172"/>
      <c r="AU172"/>
      <c r="AV172"/>
      <c r="AW172"/>
      <c r="AX172"/>
      <c r="AY172"/>
      <c r="BA172"/>
      <c r="BB172"/>
      <c r="BC172"/>
      <c r="BD172"/>
      <c r="BE172"/>
      <c r="BG172"/>
      <c r="BH172"/>
      <c r="BI172"/>
      <c r="BJ172"/>
      <c r="BK172"/>
      <c r="BM172"/>
      <c r="BN172"/>
      <c r="BO172"/>
      <c r="BP172"/>
      <c r="BQ172"/>
      <c r="BS172"/>
      <c r="BT172"/>
      <c r="BU172"/>
      <c r="BV172"/>
      <c r="BW172"/>
      <c r="BY172"/>
      <c r="BZ172"/>
      <c r="CA172"/>
      <c r="CB172"/>
      <c r="CC172"/>
      <c r="CE172"/>
      <c r="CF172"/>
      <c r="CG172"/>
      <c r="CH172"/>
      <c r="CI172"/>
      <c r="CK172"/>
      <c r="CL172"/>
      <c r="CM172"/>
      <c r="CN172"/>
      <c r="CO172"/>
      <c r="CQ172"/>
      <c r="CR172"/>
      <c r="CS172"/>
      <c r="CT172"/>
      <c r="CU172"/>
      <c r="CW172"/>
      <c r="CX172"/>
      <c r="CY172"/>
      <c r="CZ172"/>
      <c r="DA172"/>
      <c r="DC172"/>
      <c r="DD172"/>
      <c r="DE172"/>
      <c r="DF172"/>
      <c r="DG172"/>
      <c r="DI172"/>
      <c r="DJ172"/>
      <c r="DK172"/>
      <c r="DL172"/>
      <c r="DM172"/>
    </row>
    <row r="173" spans="2:118" x14ac:dyDescent="0.35">
      <c r="B173"/>
      <c r="C173"/>
      <c r="D173"/>
      <c r="E173"/>
      <c r="H173"/>
      <c r="I173"/>
      <c r="K173"/>
      <c r="L173"/>
      <c r="M173"/>
      <c r="N173"/>
      <c r="O173"/>
      <c r="Q173"/>
      <c r="R173"/>
      <c r="S173"/>
      <c r="T173"/>
      <c r="U173"/>
      <c r="W173"/>
      <c r="X173"/>
      <c r="Y173"/>
      <c r="Z173"/>
      <c r="AA173"/>
      <c r="AC173"/>
      <c r="AD173"/>
      <c r="AE173"/>
      <c r="AF173"/>
      <c r="AG173"/>
      <c r="AI173"/>
      <c r="AJ173"/>
      <c r="AK173"/>
      <c r="AL173"/>
      <c r="AM173"/>
      <c r="AO173"/>
      <c r="AP173"/>
      <c r="AQ173"/>
      <c r="AR173"/>
      <c r="AS173"/>
      <c r="AU173"/>
      <c r="AV173"/>
      <c r="AW173"/>
      <c r="AX173"/>
      <c r="AY173"/>
      <c r="BA173"/>
      <c r="BB173"/>
      <c r="BC173"/>
      <c r="BD173"/>
      <c r="BE173"/>
      <c r="BG173"/>
      <c r="BH173"/>
      <c r="BI173"/>
      <c r="BJ173"/>
      <c r="BK173"/>
      <c r="BM173"/>
      <c r="BN173"/>
      <c r="BO173"/>
      <c r="BP173"/>
      <c r="BQ173"/>
      <c r="BS173"/>
      <c r="BT173"/>
      <c r="BU173"/>
      <c r="BV173"/>
      <c r="BW173"/>
      <c r="BY173"/>
      <c r="BZ173"/>
      <c r="CA173"/>
      <c r="CB173"/>
      <c r="CC173"/>
      <c r="CE173"/>
      <c r="CF173"/>
      <c r="CG173"/>
      <c r="CH173"/>
      <c r="CI173"/>
      <c r="CK173"/>
      <c r="CL173"/>
      <c r="CM173"/>
      <c r="CN173"/>
      <c r="CO173"/>
      <c r="CQ173"/>
      <c r="CR173"/>
      <c r="CS173"/>
      <c r="CT173"/>
      <c r="CU173"/>
      <c r="CW173"/>
      <c r="CX173"/>
      <c r="CY173"/>
      <c r="CZ173"/>
      <c r="DA173"/>
      <c r="DC173"/>
      <c r="DD173"/>
      <c r="DE173"/>
      <c r="DF173"/>
      <c r="DG173"/>
      <c r="DI173"/>
      <c r="DJ173"/>
      <c r="DK173"/>
      <c r="DL173"/>
      <c r="DM173"/>
    </row>
    <row r="174" spans="2:118" x14ac:dyDescent="0.35">
      <c r="I174"/>
      <c r="K174"/>
      <c r="L174"/>
      <c r="M174"/>
      <c r="N174"/>
      <c r="O174"/>
      <c r="Q174"/>
      <c r="R174"/>
      <c r="S174"/>
      <c r="T174"/>
      <c r="U174"/>
      <c r="W174"/>
      <c r="X174"/>
      <c r="Y174"/>
      <c r="Z174"/>
      <c r="AA174"/>
      <c r="AC174"/>
      <c r="AD174"/>
      <c r="AE174"/>
      <c r="AF174"/>
      <c r="AG174"/>
      <c r="AI174"/>
      <c r="AJ174"/>
      <c r="AK174"/>
      <c r="AL174"/>
      <c r="AM174"/>
      <c r="AO174"/>
      <c r="AP174"/>
      <c r="AQ174"/>
      <c r="AR174"/>
      <c r="AS174"/>
      <c r="AU174"/>
      <c r="AV174"/>
      <c r="AW174"/>
      <c r="AX174"/>
      <c r="AY174"/>
      <c r="BA174"/>
      <c r="BB174"/>
      <c r="BC174"/>
      <c r="BD174"/>
      <c r="BE174"/>
      <c r="BG174"/>
      <c r="BH174"/>
      <c r="BI174"/>
      <c r="BJ174"/>
      <c r="BK174"/>
      <c r="BM174"/>
      <c r="BN174"/>
      <c r="BO174"/>
      <c r="BP174"/>
      <c r="BQ174"/>
      <c r="BS174"/>
      <c r="BT174"/>
      <c r="BU174"/>
      <c r="BV174"/>
      <c r="BW174"/>
      <c r="BY174"/>
      <c r="BZ174"/>
      <c r="CA174"/>
      <c r="CB174"/>
      <c r="CC174"/>
      <c r="CE174"/>
      <c r="CF174"/>
      <c r="CG174"/>
      <c r="CH174"/>
      <c r="CI174"/>
      <c r="CK174"/>
      <c r="CL174"/>
      <c r="CM174"/>
      <c r="CN174"/>
      <c r="CO174"/>
      <c r="CQ174"/>
      <c r="CR174"/>
      <c r="CS174"/>
      <c r="CT174"/>
      <c r="CU174"/>
      <c r="CW174"/>
      <c r="CX174"/>
      <c r="CY174"/>
      <c r="CZ174"/>
      <c r="DA174"/>
      <c r="DC174"/>
      <c r="DD174"/>
      <c r="DE174"/>
      <c r="DF174"/>
      <c r="DG174"/>
      <c r="DI174"/>
      <c r="DJ174"/>
      <c r="DK174"/>
      <c r="DL174"/>
      <c r="DM174"/>
    </row>
    <row r="175" spans="2:118" x14ac:dyDescent="0.35">
      <c r="B175"/>
      <c r="C175"/>
      <c r="D175"/>
      <c r="E175"/>
      <c r="H175"/>
      <c r="I175"/>
      <c r="K175"/>
      <c r="L175"/>
      <c r="M175"/>
      <c r="N175"/>
      <c r="O175"/>
      <c r="Q175"/>
      <c r="R175"/>
      <c r="S175"/>
      <c r="T175"/>
      <c r="U175"/>
      <c r="W175"/>
      <c r="X175"/>
      <c r="Y175"/>
      <c r="Z175"/>
      <c r="AA175"/>
      <c r="AC175"/>
      <c r="AD175"/>
      <c r="AE175"/>
      <c r="AF175"/>
      <c r="AG175"/>
      <c r="AI175"/>
      <c r="AJ175"/>
      <c r="AK175"/>
      <c r="AL175"/>
      <c r="AM175"/>
      <c r="AO175"/>
      <c r="AP175"/>
      <c r="AQ175"/>
      <c r="AR175"/>
      <c r="AS175"/>
      <c r="AU175"/>
      <c r="AV175"/>
      <c r="AW175"/>
      <c r="AX175"/>
      <c r="AY175"/>
      <c r="BA175"/>
      <c r="BB175"/>
      <c r="BC175"/>
      <c r="BD175"/>
      <c r="BE175"/>
      <c r="BG175"/>
      <c r="BH175"/>
      <c r="BI175"/>
      <c r="BJ175"/>
      <c r="BK175"/>
      <c r="BM175"/>
      <c r="BN175"/>
      <c r="BO175"/>
      <c r="BP175"/>
      <c r="BQ175"/>
      <c r="BS175"/>
      <c r="BT175"/>
      <c r="BU175"/>
      <c r="BV175"/>
      <c r="BW175"/>
      <c r="BY175"/>
      <c r="BZ175"/>
      <c r="CA175"/>
      <c r="CB175"/>
      <c r="CC175"/>
      <c r="CE175"/>
      <c r="CF175"/>
      <c r="CG175"/>
      <c r="CH175"/>
      <c r="CI175"/>
      <c r="CK175"/>
      <c r="CL175"/>
      <c r="CM175"/>
      <c r="CN175"/>
      <c r="CO175"/>
      <c r="CQ175"/>
      <c r="CR175"/>
      <c r="CS175"/>
      <c r="CT175"/>
      <c r="CU175"/>
      <c r="CW175"/>
      <c r="CX175"/>
      <c r="CY175"/>
      <c r="CZ175"/>
      <c r="DA175"/>
      <c r="DC175"/>
      <c r="DD175"/>
      <c r="DE175"/>
      <c r="DF175"/>
      <c r="DG175"/>
      <c r="DI175"/>
      <c r="DJ175"/>
      <c r="DK175"/>
      <c r="DL175"/>
      <c r="DM175"/>
    </row>
    <row r="176" spans="2:118" x14ac:dyDescent="0.35">
      <c r="B176"/>
      <c r="C176" s="406"/>
      <c r="D176" s="11"/>
      <c r="J176" s="406"/>
      <c r="M176"/>
      <c r="DC176"/>
      <c r="DD176"/>
      <c r="DE176"/>
      <c r="DF176"/>
      <c r="DG176"/>
      <c r="DI176"/>
      <c r="DJ176"/>
      <c r="DK176"/>
      <c r="DL176"/>
      <c r="DM176"/>
    </row>
    <row r="177" spans="2:118" x14ac:dyDescent="0.35">
      <c r="B177"/>
      <c r="C177" s="406"/>
      <c r="D177" s="11"/>
      <c r="G177"/>
      <c r="J177" s="406"/>
      <c r="M177"/>
      <c r="DC177"/>
      <c r="DD177"/>
      <c r="DE177"/>
      <c r="DF177"/>
      <c r="DG177"/>
      <c r="DI177"/>
      <c r="DJ177"/>
      <c r="DK177"/>
      <c r="DL177"/>
      <c r="DM177"/>
    </row>
    <row r="178" spans="2:118" x14ac:dyDescent="0.35">
      <c r="B178"/>
      <c r="C178" s="406"/>
      <c r="D178" s="11"/>
      <c r="G178"/>
      <c r="J178" s="406"/>
      <c r="M178"/>
      <c r="DC178"/>
      <c r="DD178"/>
      <c r="DE178"/>
      <c r="DF178"/>
      <c r="DG178"/>
      <c r="DI178"/>
      <c r="DJ178"/>
      <c r="DK178"/>
      <c r="DL178"/>
      <c r="DM178"/>
    </row>
    <row r="179" spans="2:118" x14ac:dyDescent="0.35">
      <c r="B179"/>
      <c r="C179" s="406"/>
      <c r="D179" s="11"/>
      <c r="G179"/>
      <c r="J179" s="406"/>
      <c r="M179"/>
      <c r="DC179"/>
      <c r="DD179"/>
      <c r="DE179"/>
      <c r="DF179"/>
      <c r="DG179"/>
      <c r="DI179"/>
      <c r="DJ179"/>
      <c r="DK179"/>
      <c r="DL179"/>
      <c r="DM179"/>
    </row>
    <row r="180" spans="2:118" x14ac:dyDescent="0.35">
      <c r="B180"/>
      <c r="C180" s="406"/>
      <c r="D180" s="11"/>
      <c r="G180"/>
      <c r="J180" s="406"/>
      <c r="M180"/>
      <c r="DC180"/>
      <c r="DD180"/>
      <c r="DE180"/>
      <c r="DF180"/>
      <c r="DG180"/>
      <c r="DI180"/>
      <c r="DJ180"/>
      <c r="DK180"/>
      <c r="DL180"/>
      <c r="DM180"/>
    </row>
    <row r="181" spans="2:118" x14ac:dyDescent="0.35">
      <c r="B181"/>
      <c r="C181" s="406"/>
      <c r="D181" s="11"/>
      <c r="G181"/>
      <c r="J181" s="406"/>
      <c r="M181"/>
      <c r="DC181"/>
      <c r="DD181"/>
      <c r="DE181"/>
      <c r="DF181"/>
      <c r="DG181"/>
      <c r="DI181"/>
      <c r="DJ181"/>
      <c r="DK181"/>
      <c r="DL181"/>
      <c r="DM181"/>
    </row>
    <row r="182" spans="2:118" x14ac:dyDescent="0.35">
      <c r="B182"/>
      <c r="C182" s="406"/>
      <c r="D182" s="11"/>
      <c r="G182"/>
      <c r="J182" s="406"/>
      <c r="M182"/>
      <c r="DC182"/>
      <c r="DD182"/>
      <c r="DE182"/>
      <c r="DF182"/>
      <c r="DG182"/>
      <c r="DI182"/>
      <c r="DJ182"/>
      <c r="DK182"/>
      <c r="DL182"/>
      <c r="DM182"/>
    </row>
    <row r="183" spans="2:118" x14ac:dyDescent="0.35">
      <c r="B183"/>
      <c r="C183" s="406"/>
      <c r="D183" s="11"/>
      <c r="G183"/>
      <c r="J183" s="406"/>
      <c r="M183"/>
      <c r="DC183"/>
      <c r="DD183"/>
      <c r="DE183"/>
      <c r="DF183"/>
      <c r="DG183"/>
      <c r="DI183"/>
      <c r="DJ183"/>
      <c r="DK183"/>
      <c r="DL183"/>
      <c r="DM183"/>
    </row>
    <row r="184" spans="2:118" x14ac:dyDescent="0.35">
      <c r="B184"/>
      <c r="C184" s="406"/>
      <c r="D184" s="11"/>
      <c r="G184"/>
      <c r="J184" s="406"/>
      <c r="M184"/>
      <c r="DC184"/>
      <c r="DD184"/>
      <c r="DE184"/>
      <c r="DF184"/>
      <c r="DG184"/>
      <c r="DI184"/>
      <c r="DJ184"/>
      <c r="DK184"/>
      <c r="DL184"/>
      <c r="DM184"/>
    </row>
    <row r="185" spans="2:118" x14ac:dyDescent="0.35">
      <c r="F185"/>
      <c r="J185" s="406"/>
      <c r="L185"/>
      <c r="DC185"/>
      <c r="DD185"/>
      <c r="DE185"/>
      <c r="DF185"/>
      <c r="DG185"/>
      <c r="DI185"/>
      <c r="DJ185"/>
      <c r="DK185"/>
      <c r="DL185"/>
      <c r="DM185"/>
    </row>
    <row r="186" spans="2:118" x14ac:dyDescent="0.35">
      <c r="F186"/>
      <c r="J186" s="406"/>
      <c r="L186"/>
      <c r="DC186"/>
      <c r="DD186"/>
      <c r="DE186"/>
      <c r="DF186"/>
      <c r="DG186"/>
      <c r="DI186"/>
      <c r="DJ186"/>
      <c r="DK186"/>
      <c r="DL186"/>
      <c r="DM186"/>
    </row>
    <row r="187" spans="2:118" x14ac:dyDescent="0.35">
      <c r="E187" s="549" t="s">
        <v>206</v>
      </c>
      <c r="F187" s="549"/>
      <c r="G187" s="549"/>
      <c r="H187" s="549"/>
      <c r="I187" s="549"/>
      <c r="J187" s="549"/>
      <c r="K187" s="549" t="s">
        <v>160</v>
      </c>
      <c r="L187" s="549"/>
      <c r="M187" s="549"/>
      <c r="N187" s="549"/>
      <c r="O187" s="549"/>
      <c r="P187" s="549"/>
      <c r="Q187" s="549" t="s">
        <v>272</v>
      </c>
      <c r="R187" s="549"/>
      <c r="S187" s="549"/>
      <c r="T187" s="549"/>
      <c r="U187" s="549"/>
      <c r="V187" s="549"/>
      <c r="W187" s="548" t="s">
        <v>150</v>
      </c>
      <c r="X187" s="548"/>
      <c r="Y187" s="548"/>
      <c r="Z187" s="548"/>
      <c r="AA187" s="548"/>
      <c r="AB187" s="548"/>
      <c r="AC187" s="548" t="s">
        <v>711</v>
      </c>
      <c r="AD187" s="548"/>
      <c r="AE187" s="548"/>
      <c r="AF187" s="548"/>
      <c r="AG187" s="548"/>
      <c r="AH187" s="548"/>
      <c r="AI187" s="549" t="s">
        <v>273</v>
      </c>
      <c r="AJ187" s="549"/>
      <c r="AK187" s="549"/>
      <c r="AL187" s="549"/>
      <c r="AM187" s="549"/>
      <c r="AN187" s="549"/>
      <c r="AO187" s="549" t="s">
        <v>153</v>
      </c>
      <c r="AP187" s="549"/>
      <c r="AQ187" s="549"/>
      <c r="AR187" s="549"/>
      <c r="AS187" s="549"/>
      <c r="AT187" s="549"/>
      <c r="AU187" s="549" t="s">
        <v>203</v>
      </c>
      <c r="AV187" s="549"/>
      <c r="AW187" s="549"/>
      <c r="AX187" s="549"/>
      <c r="AY187" s="549"/>
      <c r="AZ187" s="549"/>
      <c r="BA187" s="549" t="s">
        <v>204</v>
      </c>
      <c r="BB187" s="549"/>
      <c r="BC187" s="549"/>
      <c r="BD187" s="549"/>
      <c r="BE187" s="549"/>
      <c r="BF187" s="549"/>
      <c r="BG187" s="549" t="s">
        <v>157</v>
      </c>
      <c r="BH187" s="549"/>
      <c r="BI187" s="549"/>
      <c r="BJ187" s="549"/>
      <c r="BK187" s="549"/>
      <c r="BL187" s="549"/>
      <c r="BM187" s="549" t="s">
        <v>724</v>
      </c>
      <c r="BN187" s="549"/>
      <c r="BO187" s="549"/>
      <c r="BP187" s="549"/>
      <c r="BQ187" s="549"/>
      <c r="BR187" s="549"/>
      <c r="BS187" s="549" t="s">
        <v>205</v>
      </c>
      <c r="BT187" s="549"/>
      <c r="BU187" s="549"/>
      <c r="BV187" s="549"/>
      <c r="BW187" s="549"/>
      <c r="BX187" s="549"/>
      <c r="BY187" s="548" t="s">
        <v>380</v>
      </c>
      <c r="BZ187" s="548"/>
      <c r="CA187" s="548"/>
      <c r="CB187" s="548"/>
      <c r="CC187" s="548"/>
      <c r="CD187" s="548"/>
      <c r="CE187" s="548" t="s">
        <v>381</v>
      </c>
      <c r="CF187" s="548"/>
      <c r="CG187" s="548"/>
      <c r="CH187" s="548"/>
      <c r="CI187" s="548"/>
      <c r="CJ187" s="548"/>
      <c r="CK187" s="549" t="s">
        <v>764</v>
      </c>
      <c r="CL187" s="549"/>
      <c r="CM187" s="549"/>
      <c r="CN187" s="549"/>
      <c r="CO187" s="549"/>
      <c r="CP187" s="549"/>
      <c r="CQ187" s="549" t="s">
        <v>207</v>
      </c>
      <c r="CR187" s="549"/>
      <c r="CS187" s="549"/>
      <c r="CT187" s="549"/>
      <c r="CU187" s="549"/>
      <c r="CV187" s="549"/>
      <c r="CW187" s="549" t="s">
        <v>208</v>
      </c>
      <c r="CX187" s="549"/>
      <c r="CY187" s="549"/>
      <c r="CZ187" s="549"/>
      <c r="DA187" s="549"/>
      <c r="DB187" s="549"/>
      <c r="DC187" s="549" t="s">
        <v>763</v>
      </c>
      <c r="DD187" s="549"/>
      <c r="DE187" s="549"/>
      <c r="DF187" s="549"/>
      <c r="DG187" s="549"/>
      <c r="DH187" s="549"/>
      <c r="DI187" s="549" t="s">
        <v>765</v>
      </c>
      <c r="DJ187" s="549"/>
      <c r="DK187" s="549"/>
      <c r="DL187" s="549"/>
      <c r="DM187" s="549"/>
      <c r="DN187" s="549"/>
    </row>
    <row r="188" spans="2:118" ht="14.5" customHeight="1" x14ac:dyDescent="0.35">
      <c r="E188" s="549" t="str">
        <f>UPPER(E187)</f>
        <v>RAW GAS TO H2S GUARD BEDS</v>
      </c>
      <c r="F188" s="549"/>
      <c r="G188" s="549"/>
      <c r="H188" s="549"/>
      <c r="I188" s="549"/>
      <c r="J188" s="549"/>
      <c r="K188" s="549" t="str">
        <f t="shared" ref="K188" si="238">UPPER(K187)</f>
        <v xml:space="preserve">RAW FEED TO LOW PRESSURE SEPARATOR </v>
      </c>
      <c r="L188" s="549"/>
      <c r="M188" s="549"/>
      <c r="N188" s="549"/>
      <c r="O188" s="549"/>
      <c r="P188" s="549"/>
      <c r="Q188" s="549" t="str">
        <f t="shared" ref="Q188" si="239">UPPER(Q187)</f>
        <v>SEPERATOR TO FEED GAS COMPRESSOR</v>
      </c>
      <c r="R188" s="549"/>
      <c r="S188" s="549"/>
      <c r="T188" s="549"/>
      <c r="U188" s="549"/>
      <c r="V188" s="549"/>
      <c r="W188" s="549" t="str">
        <f t="shared" ref="W188" si="240">UPPER(W187)</f>
        <v>FEED+RECYCLE TO COMPRESSOR</v>
      </c>
      <c r="X188" s="549"/>
      <c r="Y188" s="549"/>
      <c r="Z188" s="549"/>
      <c r="AA188" s="549"/>
      <c r="AB188" s="549"/>
      <c r="AC188" s="549" t="str">
        <f t="shared" ref="AC188" si="241">UPPER(AC187)</f>
        <v>COMPRESSOR DISCHARGE TO AFTERCOOLER</v>
      </c>
      <c r="AD188" s="549"/>
      <c r="AE188" s="549"/>
      <c r="AF188" s="549"/>
      <c r="AG188" s="549"/>
      <c r="AH188" s="549"/>
      <c r="AI188" s="549" t="str">
        <f t="shared" ref="AI188" si="242">UPPER(AI187)</f>
        <v>COMPRESSED GAS FROM AIR COOLER TO RE-HEATER</v>
      </c>
      <c r="AJ188" s="549"/>
      <c r="AK188" s="549"/>
      <c r="AL188" s="549"/>
      <c r="AM188" s="549"/>
      <c r="AN188" s="549"/>
      <c r="AO188" s="549" t="str">
        <f t="shared" ref="AO188" si="243">UPPER(AO187)</f>
        <v>COMPRESSED GAS TO CHILLER</v>
      </c>
      <c r="AP188" s="549"/>
      <c r="AQ188" s="549"/>
      <c r="AR188" s="549"/>
      <c r="AS188" s="549"/>
      <c r="AT188" s="549"/>
      <c r="AU188" s="549" t="str">
        <f t="shared" ref="AU188" si="244">UPPER(AU187)</f>
        <v>COOLED COMPRESSED GAS TO RE-HEATER</v>
      </c>
      <c r="AV188" s="549"/>
      <c r="AW188" s="549"/>
      <c r="AX188" s="549"/>
      <c r="AY188" s="549"/>
      <c r="AZ188" s="549"/>
      <c r="BA188" s="549" t="str">
        <f t="shared" ref="BA188" si="245">UPPER(BA187)</f>
        <v>RE-HEATED COMPRESSED GAS TO ACTIVATED CARBON FILTER</v>
      </c>
      <c r="BB188" s="549"/>
      <c r="BC188" s="549"/>
      <c r="BD188" s="549"/>
      <c r="BE188" s="549"/>
      <c r="BF188" s="549"/>
      <c r="BG188" s="549" t="str">
        <f t="shared" ref="BG188" si="246">UPPER(BG187)</f>
        <v>TO AL SKID</v>
      </c>
      <c r="BH188" s="549"/>
      <c r="BI188" s="549"/>
      <c r="BJ188" s="549"/>
      <c r="BK188" s="549"/>
      <c r="BL188" s="549"/>
      <c r="BM188" s="549" t="str">
        <f t="shared" ref="BM188" si="247">UPPER(BM187)</f>
        <v>WASTE GAS TO THERMAL OXIDIZER (EXISTING)</v>
      </c>
      <c r="BN188" s="549"/>
      <c r="BO188" s="549"/>
      <c r="BP188" s="549"/>
      <c r="BQ188" s="549"/>
      <c r="BR188" s="549"/>
      <c r="BS188" s="549" t="str">
        <f t="shared" ref="BS188" si="248">UPPER(BS187)</f>
        <v>RECYCLE GAS TO RECYCLE GAS COMPRESSOR</v>
      </c>
      <c r="BT188" s="549"/>
      <c r="BU188" s="549"/>
      <c r="BV188" s="549"/>
      <c r="BW188" s="549"/>
      <c r="BX188" s="549"/>
      <c r="BY188" s="549" t="str">
        <f t="shared" ref="BY188" si="249">UPPER(BY187)</f>
        <v>COMPRESSED RECYCLE GAS TO RECYCLE GAS AIR COOLED  AFTER COOLER</v>
      </c>
      <c r="BZ188" s="549"/>
      <c r="CA188" s="549"/>
      <c r="CB188" s="549"/>
      <c r="CC188" s="549"/>
      <c r="CD188" s="549"/>
      <c r="CE188" s="549" t="str">
        <f t="shared" ref="CE188" si="250">UPPER(CE187)</f>
        <v>COMPRESSED COOLED RECYCLE GAS TO FEED COMPRESSOR</v>
      </c>
      <c r="CF188" s="549"/>
      <c r="CG188" s="549"/>
      <c r="CH188" s="549"/>
      <c r="CI188" s="549"/>
      <c r="CJ188" s="549"/>
      <c r="CK188" s="549" t="str">
        <f t="shared" ref="CK188" si="251">UPPER(CK187)</f>
        <v>PRODUCT GAS TO PRODUCT GAS COMPRESSOR AND BOILERS</v>
      </c>
      <c r="CL188" s="549"/>
      <c r="CM188" s="549"/>
      <c r="CN188" s="549"/>
      <c r="CO188" s="549"/>
      <c r="CP188" s="549"/>
      <c r="CQ188" s="549" t="str">
        <f t="shared" ref="CQ188" si="252">UPPER(CQ187)</f>
        <v>COMPRESSED PRODUCT GAS TO AIR COOLED AFTERCOOLER</v>
      </c>
      <c r="CR188" s="549"/>
      <c r="CS188" s="549"/>
      <c r="CT188" s="549"/>
      <c r="CU188" s="549"/>
      <c r="CV188" s="549"/>
      <c r="CW188" s="549" t="str">
        <f t="shared" ref="CW188" si="253">UPPER(CW187)</f>
        <v>PRODUCT GAS TO CHILLED WATER COOLER</v>
      </c>
      <c r="CX188" s="549"/>
      <c r="CY188" s="549"/>
      <c r="CZ188" s="549"/>
      <c r="DA188" s="549"/>
      <c r="DB188" s="549"/>
      <c r="DC188" s="549" t="str">
        <f t="shared" ref="DC188" si="254">UPPER(DC187)</f>
        <v>PRODUCT GAS TO POLISHING VESSELS</v>
      </c>
      <c r="DD188" s="549"/>
      <c r="DE188" s="549"/>
      <c r="DF188" s="549"/>
      <c r="DG188" s="549"/>
      <c r="DH188" s="549"/>
      <c r="DI188" s="549" t="str">
        <f t="shared" ref="DI188" si="255">UPPER(DI187)</f>
        <v>COMPRESSED PRODUCT GAS TO B/L (PG&amp;E SKID)</v>
      </c>
      <c r="DJ188" s="549"/>
      <c r="DK188" s="549"/>
      <c r="DL188" s="549"/>
      <c r="DM188" s="549"/>
      <c r="DN188" s="549"/>
    </row>
    <row r="189" spans="2:118" x14ac:dyDescent="0.35">
      <c r="P189" s="406"/>
      <c r="T189"/>
      <c r="V189" s="406"/>
      <c r="Z189"/>
      <c r="AB189" s="406"/>
      <c r="AF189"/>
      <c r="AH189" s="406"/>
      <c r="AL189"/>
      <c r="AN189" s="406"/>
      <c r="AR189"/>
      <c r="AT189" s="406"/>
      <c r="AX189"/>
      <c r="AZ189" s="406"/>
      <c r="BD189"/>
      <c r="BF189" s="406"/>
      <c r="BJ189"/>
      <c r="BL189" s="406"/>
      <c r="BP189"/>
      <c r="BR189" s="406"/>
      <c r="BV189"/>
      <c r="BX189" s="406"/>
      <c r="CB189"/>
      <c r="CD189" s="406"/>
      <c r="CH189"/>
      <c r="CJ189" s="406"/>
      <c r="CN189"/>
      <c r="CP189" s="406"/>
      <c r="CT189"/>
      <c r="CV189" s="406"/>
      <c r="CZ189"/>
      <c r="DB189" s="406"/>
      <c r="DF189"/>
      <c r="DG189"/>
      <c r="DI189"/>
      <c r="DJ189"/>
      <c r="DK189"/>
      <c r="DL189"/>
      <c r="DM189"/>
    </row>
    <row r="190" spans="2:118" x14ac:dyDescent="0.35">
      <c r="P190" s="406"/>
      <c r="T190"/>
      <c r="V190" s="406"/>
      <c r="Z190"/>
      <c r="AB190" s="406"/>
      <c r="AF190"/>
      <c r="AH190" s="406"/>
      <c r="AL190"/>
      <c r="AN190" s="406"/>
      <c r="AR190"/>
      <c r="AT190" s="406"/>
      <c r="AX190"/>
      <c r="AZ190" s="406"/>
      <c r="BD190"/>
      <c r="BF190" s="406"/>
      <c r="BJ190"/>
      <c r="BL190" s="406"/>
      <c r="BP190"/>
      <c r="BR190" s="406"/>
      <c r="BV190"/>
      <c r="BX190" s="406"/>
      <c r="CB190"/>
      <c r="CD190" s="406"/>
      <c r="CH190"/>
      <c r="CJ190" s="406"/>
      <c r="CN190"/>
      <c r="CP190" s="406"/>
      <c r="CT190"/>
      <c r="CV190" s="406"/>
      <c r="CZ190"/>
      <c r="DB190" s="406"/>
      <c r="DF190"/>
      <c r="DG190"/>
      <c r="DI190"/>
      <c r="DJ190"/>
      <c r="DK190"/>
      <c r="DL190"/>
      <c r="DM190"/>
    </row>
  </sheetData>
  <mergeCells count="933">
    <mergeCell ref="CK188:CP188"/>
    <mergeCell ref="CQ188:CV188"/>
    <mergeCell ref="CW188:DB188"/>
    <mergeCell ref="DC188:DH188"/>
    <mergeCell ref="DI188:DN188"/>
    <mergeCell ref="BA188:BF188"/>
    <mergeCell ref="BG188:BL188"/>
    <mergeCell ref="BM188:BR188"/>
    <mergeCell ref="BS188:BX188"/>
    <mergeCell ref="BY188:CD188"/>
    <mergeCell ref="CE188:CJ188"/>
    <mergeCell ref="E188:J188"/>
    <mergeCell ref="K188:P188"/>
    <mergeCell ref="Q188:V188"/>
    <mergeCell ref="W188:AB188"/>
    <mergeCell ref="AC188:AH188"/>
    <mergeCell ref="AI188:AN188"/>
    <mergeCell ref="AO188:AT188"/>
    <mergeCell ref="AU188:AZ188"/>
    <mergeCell ref="BS187:BX187"/>
    <mergeCell ref="AI187:AN187"/>
    <mergeCell ref="AO187:AT187"/>
    <mergeCell ref="AU187:AZ187"/>
    <mergeCell ref="BA187:BF187"/>
    <mergeCell ref="BG187:BL187"/>
    <mergeCell ref="BM187:BR187"/>
    <mergeCell ref="DI67:DN67"/>
    <mergeCell ref="CW68:DB68"/>
    <mergeCell ref="E187:J187"/>
    <mergeCell ref="K187:P187"/>
    <mergeCell ref="Q187:V187"/>
    <mergeCell ref="W187:AB187"/>
    <mergeCell ref="AC187:AH187"/>
    <mergeCell ref="BG67:BL67"/>
    <mergeCell ref="BM67:BR67"/>
    <mergeCell ref="BS67:BX67"/>
    <mergeCell ref="BY67:CD67"/>
    <mergeCell ref="CE67:CJ67"/>
    <mergeCell ref="CK67:CP67"/>
    <mergeCell ref="DC187:DH187"/>
    <mergeCell ref="DI187:DN187"/>
    <mergeCell ref="BY187:CD187"/>
    <mergeCell ref="CE187:CJ187"/>
    <mergeCell ref="CK187:CP187"/>
    <mergeCell ref="CQ187:CV187"/>
    <mergeCell ref="CW187:DB187"/>
    <mergeCell ref="E67:J67"/>
    <mergeCell ref="K67:P67"/>
    <mergeCell ref="Q67:V67"/>
    <mergeCell ref="W67:AB67"/>
    <mergeCell ref="DC65:DH65"/>
    <mergeCell ref="AO65:AT65"/>
    <mergeCell ref="AU65:AZ65"/>
    <mergeCell ref="BA65:BF65"/>
    <mergeCell ref="BG65:BL65"/>
    <mergeCell ref="BM65:BR65"/>
    <mergeCell ref="BS65:BX65"/>
    <mergeCell ref="CQ67:CV67"/>
    <mergeCell ref="CW67:DB67"/>
    <mergeCell ref="DC67:DH67"/>
    <mergeCell ref="AC67:AH67"/>
    <mergeCell ref="AI67:AN67"/>
    <mergeCell ref="AO67:AT67"/>
    <mergeCell ref="AU67:AZ67"/>
    <mergeCell ref="BA67:BF67"/>
    <mergeCell ref="BM63:BR63"/>
    <mergeCell ref="BS63:BX63"/>
    <mergeCell ref="CQ64:CV64"/>
    <mergeCell ref="CW64:DB64"/>
    <mergeCell ref="AC64:AH64"/>
    <mergeCell ref="AI64:AN64"/>
    <mergeCell ref="AO64:AT64"/>
    <mergeCell ref="AU64:AZ64"/>
    <mergeCell ref="BA64:BF64"/>
    <mergeCell ref="DC64:DH64"/>
    <mergeCell ref="DI64:DN64"/>
    <mergeCell ref="E65:J65"/>
    <mergeCell ref="K65:P65"/>
    <mergeCell ref="Q65:V65"/>
    <mergeCell ref="W65:AB65"/>
    <mergeCell ref="AC65:AH65"/>
    <mergeCell ref="AI65:AN65"/>
    <mergeCell ref="BG64:BL64"/>
    <mergeCell ref="BM64:BR64"/>
    <mergeCell ref="BS64:BX64"/>
    <mergeCell ref="BY64:CD64"/>
    <mergeCell ref="CE64:CJ64"/>
    <mergeCell ref="CK64:CP64"/>
    <mergeCell ref="DI65:DN65"/>
    <mergeCell ref="BY65:CD65"/>
    <mergeCell ref="CE65:CJ65"/>
    <mergeCell ref="CK65:CP65"/>
    <mergeCell ref="CQ65:CV65"/>
    <mergeCell ref="CW65:DB65"/>
    <mergeCell ref="E64:J64"/>
    <mergeCell ref="K64:P64"/>
    <mergeCell ref="Q64:V64"/>
    <mergeCell ref="W64:AB64"/>
    <mergeCell ref="DI62:DN62"/>
    <mergeCell ref="E63:J63"/>
    <mergeCell ref="K63:P63"/>
    <mergeCell ref="Q63:V63"/>
    <mergeCell ref="W63:AB63"/>
    <mergeCell ref="AC63:AH63"/>
    <mergeCell ref="AI63:AN63"/>
    <mergeCell ref="BG62:BL62"/>
    <mergeCell ref="BM62:BR62"/>
    <mergeCell ref="BS62:BX62"/>
    <mergeCell ref="BY62:CD62"/>
    <mergeCell ref="CE62:CJ62"/>
    <mergeCell ref="CK62:CP62"/>
    <mergeCell ref="DI63:DN63"/>
    <mergeCell ref="BY63:CD63"/>
    <mergeCell ref="CE63:CJ63"/>
    <mergeCell ref="CK63:CP63"/>
    <mergeCell ref="CQ63:CV63"/>
    <mergeCell ref="CW63:DB63"/>
    <mergeCell ref="DC63:DH63"/>
    <mergeCell ref="AO63:AT63"/>
    <mergeCell ref="AU63:AZ63"/>
    <mergeCell ref="BA63:BF63"/>
    <mergeCell ref="BG63:BL63"/>
    <mergeCell ref="CW60:DB60"/>
    <mergeCell ref="DC60:DH60"/>
    <mergeCell ref="AO60:AT60"/>
    <mergeCell ref="AU60:AZ60"/>
    <mergeCell ref="BA60:BF60"/>
    <mergeCell ref="BG60:BL60"/>
    <mergeCell ref="BM60:BR60"/>
    <mergeCell ref="BS60:BX60"/>
    <mergeCell ref="CQ62:CV62"/>
    <mergeCell ref="CW62:DB62"/>
    <mergeCell ref="DC62:DH62"/>
    <mergeCell ref="E62:J62"/>
    <mergeCell ref="K62:P62"/>
    <mergeCell ref="Q62:V62"/>
    <mergeCell ref="W62:AB62"/>
    <mergeCell ref="AC62:AH62"/>
    <mergeCell ref="AI62:AN62"/>
    <mergeCell ref="AO62:AT62"/>
    <mergeCell ref="AU62:AZ62"/>
    <mergeCell ref="BA62:BF62"/>
    <mergeCell ref="BG58:BL58"/>
    <mergeCell ref="BM58:BR58"/>
    <mergeCell ref="BS58:BX58"/>
    <mergeCell ref="CQ59:CV59"/>
    <mergeCell ref="CW59:DB59"/>
    <mergeCell ref="DC59:DH59"/>
    <mergeCell ref="DI59:DN59"/>
    <mergeCell ref="E60:J60"/>
    <mergeCell ref="K60:P60"/>
    <mergeCell ref="Q60:V60"/>
    <mergeCell ref="W60:AB60"/>
    <mergeCell ref="AC60:AH60"/>
    <mergeCell ref="AI60:AN60"/>
    <mergeCell ref="BG59:BL59"/>
    <mergeCell ref="BM59:BR59"/>
    <mergeCell ref="BS59:BX59"/>
    <mergeCell ref="BY59:CD59"/>
    <mergeCell ref="CE59:CJ59"/>
    <mergeCell ref="CK59:CP59"/>
    <mergeCell ref="DI60:DN60"/>
    <mergeCell ref="BY60:CD60"/>
    <mergeCell ref="CE60:CJ60"/>
    <mergeCell ref="CK60:CP60"/>
    <mergeCell ref="CQ60:CV60"/>
    <mergeCell ref="E59:J59"/>
    <mergeCell ref="K59:P59"/>
    <mergeCell ref="Q59:V59"/>
    <mergeCell ref="W59:AB59"/>
    <mergeCell ref="AC59:AH59"/>
    <mergeCell ref="AI59:AN59"/>
    <mergeCell ref="AO59:AT59"/>
    <mergeCell ref="AU59:AZ59"/>
    <mergeCell ref="BA59:BF59"/>
    <mergeCell ref="DC57:DH57"/>
    <mergeCell ref="DI57:DN57"/>
    <mergeCell ref="E58:J58"/>
    <mergeCell ref="K58:P58"/>
    <mergeCell ref="Q58:V58"/>
    <mergeCell ref="W58:AB58"/>
    <mergeCell ref="AC58:AH58"/>
    <mergeCell ref="AI58:AN58"/>
    <mergeCell ref="BG57:BL57"/>
    <mergeCell ref="BM57:BR57"/>
    <mergeCell ref="BS57:BX57"/>
    <mergeCell ref="BY57:CD57"/>
    <mergeCell ref="CE57:CJ57"/>
    <mergeCell ref="CK57:CP57"/>
    <mergeCell ref="DI58:DN58"/>
    <mergeCell ref="BY58:CD58"/>
    <mergeCell ref="CE58:CJ58"/>
    <mergeCell ref="CK58:CP58"/>
    <mergeCell ref="CQ58:CV58"/>
    <mergeCell ref="CW58:DB58"/>
    <mergeCell ref="DC58:DH58"/>
    <mergeCell ref="AO58:AT58"/>
    <mergeCell ref="AU58:AZ58"/>
    <mergeCell ref="BA58:BF58"/>
    <mergeCell ref="DI56:DN56"/>
    <mergeCell ref="E57:J57"/>
    <mergeCell ref="K57:P57"/>
    <mergeCell ref="Q57:V57"/>
    <mergeCell ref="W57:AB57"/>
    <mergeCell ref="AC57:AH57"/>
    <mergeCell ref="AI57:AN57"/>
    <mergeCell ref="AO57:AT57"/>
    <mergeCell ref="AU57:AZ57"/>
    <mergeCell ref="BA57:BF57"/>
    <mergeCell ref="BY56:CD56"/>
    <mergeCell ref="CE56:CJ56"/>
    <mergeCell ref="CK56:CP56"/>
    <mergeCell ref="CQ56:CV56"/>
    <mergeCell ref="CW56:DB56"/>
    <mergeCell ref="DC56:DH56"/>
    <mergeCell ref="AO56:AT56"/>
    <mergeCell ref="AU56:AZ56"/>
    <mergeCell ref="BA56:BF56"/>
    <mergeCell ref="BG56:BL56"/>
    <mergeCell ref="BM56:BR56"/>
    <mergeCell ref="BS56:BX56"/>
    <mergeCell ref="CQ57:CV57"/>
    <mergeCell ref="CW57:DB57"/>
    <mergeCell ref="E56:J56"/>
    <mergeCell ref="K56:P56"/>
    <mergeCell ref="Q56:V56"/>
    <mergeCell ref="W56:AB56"/>
    <mergeCell ref="AC56:AH56"/>
    <mergeCell ref="AI56:AN56"/>
    <mergeCell ref="BG54:BL54"/>
    <mergeCell ref="BM54:BR54"/>
    <mergeCell ref="BS54:BX54"/>
    <mergeCell ref="E54:J54"/>
    <mergeCell ref="K54:P54"/>
    <mergeCell ref="Q54:V54"/>
    <mergeCell ref="W54:AB54"/>
    <mergeCell ref="AC54:AH54"/>
    <mergeCell ref="AI54:AN54"/>
    <mergeCell ref="AO54:AT54"/>
    <mergeCell ref="AU53:AZ53"/>
    <mergeCell ref="BA53:BF53"/>
    <mergeCell ref="BG53:BL53"/>
    <mergeCell ref="BM53:BR53"/>
    <mergeCell ref="BS53:BX53"/>
    <mergeCell ref="CQ54:CV54"/>
    <mergeCell ref="CW54:DB54"/>
    <mergeCell ref="DC54:DH54"/>
    <mergeCell ref="DI54:DN54"/>
    <mergeCell ref="BY54:CD54"/>
    <mergeCell ref="CE54:CJ54"/>
    <mergeCell ref="CK54:CP54"/>
    <mergeCell ref="AU54:AZ54"/>
    <mergeCell ref="BA54:BF54"/>
    <mergeCell ref="CQ52:CV52"/>
    <mergeCell ref="CW52:DB52"/>
    <mergeCell ref="DC52:DH52"/>
    <mergeCell ref="DI52:DN52"/>
    <mergeCell ref="E53:J53"/>
    <mergeCell ref="K53:P53"/>
    <mergeCell ref="Q53:V53"/>
    <mergeCell ref="W53:AB53"/>
    <mergeCell ref="AC53:AH53"/>
    <mergeCell ref="AI53:AN53"/>
    <mergeCell ref="BG52:BL52"/>
    <mergeCell ref="BM52:BR52"/>
    <mergeCell ref="BS52:BX52"/>
    <mergeCell ref="BY52:CD52"/>
    <mergeCell ref="CE52:CJ52"/>
    <mergeCell ref="CK52:CP52"/>
    <mergeCell ref="DI53:DN53"/>
    <mergeCell ref="BY53:CD53"/>
    <mergeCell ref="CE53:CJ53"/>
    <mergeCell ref="CK53:CP53"/>
    <mergeCell ref="CQ53:CV53"/>
    <mergeCell ref="CW53:DB53"/>
    <mergeCell ref="DC53:DH53"/>
    <mergeCell ref="AO53:AT53"/>
    <mergeCell ref="DI50:DN50"/>
    <mergeCell ref="E52:J52"/>
    <mergeCell ref="K52:P52"/>
    <mergeCell ref="Q52:V52"/>
    <mergeCell ref="W52:AB52"/>
    <mergeCell ref="AC52:AH52"/>
    <mergeCell ref="AI52:AN52"/>
    <mergeCell ref="AO52:AT52"/>
    <mergeCell ref="AU52:AZ52"/>
    <mergeCell ref="BA52:BF52"/>
    <mergeCell ref="BY50:CD50"/>
    <mergeCell ref="CE50:CJ50"/>
    <mergeCell ref="CK50:CP50"/>
    <mergeCell ref="CQ50:CV50"/>
    <mergeCell ref="CW50:DB50"/>
    <mergeCell ref="DC50:DH50"/>
    <mergeCell ref="AO50:AT50"/>
    <mergeCell ref="AU50:AZ50"/>
    <mergeCell ref="BA50:BF50"/>
    <mergeCell ref="BG50:BL50"/>
    <mergeCell ref="BM50:BR50"/>
    <mergeCell ref="BS50:BX50"/>
    <mergeCell ref="E50:J50"/>
    <mergeCell ref="K50:P50"/>
    <mergeCell ref="Q50:V50"/>
    <mergeCell ref="W50:AB50"/>
    <mergeCell ref="AC50:AH50"/>
    <mergeCell ref="AI50:AN50"/>
    <mergeCell ref="CE49:CJ49"/>
    <mergeCell ref="CK49:CP49"/>
    <mergeCell ref="CQ49:CV49"/>
    <mergeCell ref="CW49:DB49"/>
    <mergeCell ref="DC49:DH49"/>
    <mergeCell ref="DI49:DN49"/>
    <mergeCell ref="AU49:AZ49"/>
    <mergeCell ref="BA49:BF49"/>
    <mergeCell ref="BG49:BL49"/>
    <mergeCell ref="BM49:BR49"/>
    <mergeCell ref="BS49:BX49"/>
    <mergeCell ref="BY49:CD49"/>
    <mergeCell ref="CW47:DB47"/>
    <mergeCell ref="DC47:DH47"/>
    <mergeCell ref="DI47:DN47"/>
    <mergeCell ref="BY47:CD47"/>
    <mergeCell ref="CE47:CJ47"/>
    <mergeCell ref="CK47:CP47"/>
    <mergeCell ref="CQ47:CV47"/>
    <mergeCell ref="E49:J49"/>
    <mergeCell ref="K49:P49"/>
    <mergeCell ref="Q49:V49"/>
    <mergeCell ref="W49:AB49"/>
    <mergeCell ref="AC49:AH49"/>
    <mergeCell ref="AI49:AN49"/>
    <mergeCell ref="AO49:AT49"/>
    <mergeCell ref="BM47:BR47"/>
    <mergeCell ref="BS47:BX47"/>
    <mergeCell ref="AC47:AH47"/>
    <mergeCell ref="AI47:AN47"/>
    <mergeCell ref="AO47:AT47"/>
    <mergeCell ref="AU47:AZ47"/>
    <mergeCell ref="BA47:BF47"/>
    <mergeCell ref="BG47:BL47"/>
    <mergeCell ref="CK46:CP46"/>
    <mergeCell ref="CQ46:CV46"/>
    <mergeCell ref="CW46:DB46"/>
    <mergeCell ref="DC46:DH46"/>
    <mergeCell ref="DI46:DN46"/>
    <mergeCell ref="C47:D47"/>
    <mergeCell ref="E47:J47"/>
    <mergeCell ref="K47:P47"/>
    <mergeCell ref="Q47:V47"/>
    <mergeCell ref="W47:AB47"/>
    <mergeCell ref="BA46:BF46"/>
    <mergeCell ref="BG46:BL46"/>
    <mergeCell ref="BM46:BR46"/>
    <mergeCell ref="BS46:BX46"/>
    <mergeCell ref="BY46:CD46"/>
    <mergeCell ref="CE46:CJ46"/>
    <mergeCell ref="E46:J46"/>
    <mergeCell ref="K46:P46"/>
    <mergeCell ref="Q46:V46"/>
    <mergeCell ref="W46:AB46"/>
    <mergeCell ref="AC46:AH46"/>
    <mergeCell ref="AI46:AN46"/>
    <mergeCell ref="AO46:AT46"/>
    <mergeCell ref="AU46:AZ46"/>
    <mergeCell ref="AI45:AN45"/>
    <mergeCell ref="AO45:AT45"/>
    <mergeCell ref="AU45:AZ45"/>
    <mergeCell ref="BA45:BF45"/>
    <mergeCell ref="BG45:BL45"/>
    <mergeCell ref="BM45:BR45"/>
    <mergeCell ref="DI44:DN44"/>
    <mergeCell ref="E45:J45"/>
    <mergeCell ref="K45:P45"/>
    <mergeCell ref="Q45:V45"/>
    <mergeCell ref="W45:AB45"/>
    <mergeCell ref="AC45:AH45"/>
    <mergeCell ref="BA44:BF44"/>
    <mergeCell ref="BG44:BL44"/>
    <mergeCell ref="BM44:BR44"/>
    <mergeCell ref="BS44:BX44"/>
    <mergeCell ref="BY44:CD44"/>
    <mergeCell ref="CE44:CJ44"/>
    <mergeCell ref="DC45:DH45"/>
    <mergeCell ref="DI45:DN45"/>
    <mergeCell ref="BY45:CD45"/>
    <mergeCell ref="CE45:CJ45"/>
    <mergeCell ref="CK45:CP45"/>
    <mergeCell ref="CQ45:CV45"/>
    <mergeCell ref="CW45:DB45"/>
    <mergeCell ref="DC43:DH43"/>
    <mergeCell ref="AO43:AT43"/>
    <mergeCell ref="AU43:AZ43"/>
    <mergeCell ref="BA43:BF43"/>
    <mergeCell ref="BG43:BL43"/>
    <mergeCell ref="BM43:BR43"/>
    <mergeCell ref="BS43:BX43"/>
    <mergeCell ref="CK44:CP44"/>
    <mergeCell ref="CQ44:CV44"/>
    <mergeCell ref="CW44:DB44"/>
    <mergeCell ref="DC44:DH44"/>
    <mergeCell ref="BS45:BX45"/>
    <mergeCell ref="C44:D44"/>
    <mergeCell ref="E44:J44"/>
    <mergeCell ref="K44:P44"/>
    <mergeCell ref="Q44:V44"/>
    <mergeCell ref="W44:AB44"/>
    <mergeCell ref="AC44:AH44"/>
    <mergeCell ref="AI44:AN44"/>
    <mergeCell ref="AO44:AT44"/>
    <mergeCell ref="AU44:AZ44"/>
    <mergeCell ref="BM40:BR40"/>
    <mergeCell ref="BS40:BX40"/>
    <mergeCell ref="CQ41:CV41"/>
    <mergeCell ref="CW41:DB41"/>
    <mergeCell ref="DC41:DH41"/>
    <mergeCell ref="DI41:DN41"/>
    <mergeCell ref="E43:J43"/>
    <mergeCell ref="K43:P43"/>
    <mergeCell ref="Q43:V43"/>
    <mergeCell ref="W43:AB43"/>
    <mergeCell ref="AC43:AH43"/>
    <mergeCell ref="AI43:AN43"/>
    <mergeCell ref="BG41:BL41"/>
    <mergeCell ref="BM41:BR41"/>
    <mergeCell ref="BS41:BX41"/>
    <mergeCell ref="BY41:CD41"/>
    <mergeCell ref="CE41:CJ41"/>
    <mergeCell ref="CK41:CP41"/>
    <mergeCell ref="DI43:DN43"/>
    <mergeCell ref="BY43:CD43"/>
    <mergeCell ref="CE43:CJ43"/>
    <mergeCell ref="CK43:CP43"/>
    <mergeCell ref="CQ43:CV43"/>
    <mergeCell ref="CW43:DB43"/>
    <mergeCell ref="E41:J41"/>
    <mergeCell ref="K41:P41"/>
    <mergeCell ref="Q41:V41"/>
    <mergeCell ref="W41:AB41"/>
    <mergeCell ref="AC41:AH41"/>
    <mergeCell ref="AI41:AN41"/>
    <mergeCell ref="AO41:AT41"/>
    <mergeCell ref="AU41:AZ41"/>
    <mergeCell ref="BA41:BF41"/>
    <mergeCell ref="DI39:DN39"/>
    <mergeCell ref="E40:J40"/>
    <mergeCell ref="K40:P40"/>
    <mergeCell ref="Q40:V40"/>
    <mergeCell ref="W40:AB40"/>
    <mergeCell ref="AC40:AH40"/>
    <mergeCell ref="AI40:AN40"/>
    <mergeCell ref="BG39:BL39"/>
    <mergeCell ref="BM39:BR39"/>
    <mergeCell ref="BS39:BX39"/>
    <mergeCell ref="BY39:CD39"/>
    <mergeCell ref="CE39:CJ39"/>
    <mergeCell ref="CK39:CP39"/>
    <mergeCell ref="DI40:DN40"/>
    <mergeCell ref="BY40:CD40"/>
    <mergeCell ref="CE40:CJ40"/>
    <mergeCell ref="CK40:CP40"/>
    <mergeCell ref="CQ40:CV40"/>
    <mergeCell ref="CW40:DB40"/>
    <mergeCell ref="DC40:DH40"/>
    <mergeCell ref="AO40:AT40"/>
    <mergeCell ref="AU40:AZ40"/>
    <mergeCell ref="BA40:BF40"/>
    <mergeCell ref="BG40:BL40"/>
    <mergeCell ref="CW38:DB38"/>
    <mergeCell ref="DC38:DH38"/>
    <mergeCell ref="AO38:AT38"/>
    <mergeCell ref="AU38:AZ38"/>
    <mergeCell ref="BA38:BF38"/>
    <mergeCell ref="BG38:BL38"/>
    <mergeCell ref="BM38:BR38"/>
    <mergeCell ref="BS38:BX38"/>
    <mergeCell ref="CQ39:CV39"/>
    <mergeCell ref="CW39:DB39"/>
    <mergeCell ref="DC39:DH39"/>
    <mergeCell ref="E39:J39"/>
    <mergeCell ref="K39:P39"/>
    <mergeCell ref="Q39:V39"/>
    <mergeCell ref="W39:AB39"/>
    <mergeCell ref="AC39:AH39"/>
    <mergeCell ref="AI39:AN39"/>
    <mergeCell ref="AO39:AT39"/>
    <mergeCell ref="AU39:AZ39"/>
    <mergeCell ref="BA39:BF39"/>
    <mergeCell ref="BG35:BL35"/>
    <mergeCell ref="BM35:BR35"/>
    <mergeCell ref="BS35:BX35"/>
    <mergeCell ref="CQ36:CV36"/>
    <mergeCell ref="CW36:DB36"/>
    <mergeCell ref="DC36:DH36"/>
    <mergeCell ref="DI36:DN36"/>
    <mergeCell ref="E38:J38"/>
    <mergeCell ref="K38:P38"/>
    <mergeCell ref="Q38:V38"/>
    <mergeCell ref="W38:AB38"/>
    <mergeCell ref="AC38:AH38"/>
    <mergeCell ref="AI38:AN38"/>
    <mergeCell ref="BG36:BL36"/>
    <mergeCell ref="BM36:BR36"/>
    <mergeCell ref="BS36:BX36"/>
    <mergeCell ref="BY36:CD36"/>
    <mergeCell ref="CE36:CJ36"/>
    <mergeCell ref="CK36:CP36"/>
    <mergeCell ref="DI38:DN38"/>
    <mergeCell ref="BY38:CD38"/>
    <mergeCell ref="CE38:CJ38"/>
    <mergeCell ref="CK38:CP38"/>
    <mergeCell ref="CQ38:CV38"/>
    <mergeCell ref="E36:J36"/>
    <mergeCell ref="K36:P36"/>
    <mergeCell ref="Q36:V36"/>
    <mergeCell ref="W36:AB36"/>
    <mergeCell ref="AC36:AH36"/>
    <mergeCell ref="AI36:AN36"/>
    <mergeCell ref="AO36:AT36"/>
    <mergeCell ref="AU36:AZ36"/>
    <mergeCell ref="BA36:BF36"/>
    <mergeCell ref="DC34:DH34"/>
    <mergeCell ref="DI34:DN34"/>
    <mergeCell ref="E35:J35"/>
    <mergeCell ref="K35:P35"/>
    <mergeCell ref="Q35:V35"/>
    <mergeCell ref="W35:AB35"/>
    <mergeCell ref="AC35:AH35"/>
    <mergeCell ref="AI35:AN35"/>
    <mergeCell ref="BG34:BL34"/>
    <mergeCell ref="BM34:BR34"/>
    <mergeCell ref="BS34:BX34"/>
    <mergeCell ref="BY34:CD34"/>
    <mergeCell ref="CE34:CJ34"/>
    <mergeCell ref="CK34:CP34"/>
    <mergeCell ref="DI35:DN35"/>
    <mergeCell ref="BY35:CD35"/>
    <mergeCell ref="CE35:CJ35"/>
    <mergeCell ref="CK35:CP35"/>
    <mergeCell ref="CQ35:CV35"/>
    <mergeCell ref="CW35:DB35"/>
    <mergeCell ref="DC35:DH35"/>
    <mergeCell ref="AO35:AT35"/>
    <mergeCell ref="AU35:AZ35"/>
    <mergeCell ref="BA35:BF35"/>
    <mergeCell ref="DI32:DN32"/>
    <mergeCell ref="E34:J34"/>
    <mergeCell ref="K34:P34"/>
    <mergeCell ref="Q34:V34"/>
    <mergeCell ref="W34:AB34"/>
    <mergeCell ref="AC34:AH34"/>
    <mergeCell ref="AI34:AN34"/>
    <mergeCell ref="AO34:AT34"/>
    <mergeCell ref="AU34:AZ34"/>
    <mergeCell ref="BA34:BF34"/>
    <mergeCell ref="BY32:CD32"/>
    <mergeCell ref="CE32:CJ32"/>
    <mergeCell ref="CK32:CP32"/>
    <mergeCell ref="CQ32:CV32"/>
    <mergeCell ref="CW32:DB32"/>
    <mergeCell ref="DC32:DH32"/>
    <mergeCell ref="AO32:AT32"/>
    <mergeCell ref="AU32:AZ32"/>
    <mergeCell ref="BA32:BF32"/>
    <mergeCell ref="BG32:BL32"/>
    <mergeCell ref="BM32:BR32"/>
    <mergeCell ref="BS32:BX32"/>
    <mergeCell ref="CQ34:CV34"/>
    <mergeCell ref="CW34:DB34"/>
    <mergeCell ref="E32:J32"/>
    <mergeCell ref="K32:P32"/>
    <mergeCell ref="Q32:V32"/>
    <mergeCell ref="W32:AB32"/>
    <mergeCell ref="AC32:AH32"/>
    <mergeCell ref="AI32:AN32"/>
    <mergeCell ref="BG31:BL31"/>
    <mergeCell ref="BM31:BR31"/>
    <mergeCell ref="BS31:BX31"/>
    <mergeCell ref="E31:J31"/>
    <mergeCell ref="K31:P31"/>
    <mergeCell ref="Q31:V31"/>
    <mergeCell ref="W31:AB31"/>
    <mergeCell ref="AC31:AH31"/>
    <mergeCell ref="AI31:AN31"/>
    <mergeCell ref="AO31:AT31"/>
    <mergeCell ref="AU30:AZ30"/>
    <mergeCell ref="BA30:BF30"/>
    <mergeCell ref="BG30:BL30"/>
    <mergeCell ref="BM30:BR30"/>
    <mergeCell ref="BS30:BX30"/>
    <mergeCell ref="CQ31:CV31"/>
    <mergeCell ref="CW31:DB31"/>
    <mergeCell ref="DC31:DH31"/>
    <mergeCell ref="DI31:DN31"/>
    <mergeCell ref="BY31:CD31"/>
    <mergeCell ref="CE31:CJ31"/>
    <mergeCell ref="CK31:CP31"/>
    <mergeCell ref="AU31:AZ31"/>
    <mergeCell ref="BA31:BF31"/>
    <mergeCell ref="CQ29:CV29"/>
    <mergeCell ref="CW29:DB29"/>
    <mergeCell ref="DC29:DH29"/>
    <mergeCell ref="DI29:DN29"/>
    <mergeCell ref="E30:J30"/>
    <mergeCell ref="K30:P30"/>
    <mergeCell ref="Q30:V30"/>
    <mergeCell ref="W30:AB30"/>
    <mergeCell ref="AC30:AH30"/>
    <mergeCell ref="AI30:AN30"/>
    <mergeCell ref="BG29:BL29"/>
    <mergeCell ref="BM29:BR29"/>
    <mergeCell ref="BS29:BX29"/>
    <mergeCell ref="BY29:CD29"/>
    <mergeCell ref="CE29:CJ29"/>
    <mergeCell ref="CK29:CP29"/>
    <mergeCell ref="DI30:DN30"/>
    <mergeCell ref="BY30:CD30"/>
    <mergeCell ref="CE30:CJ30"/>
    <mergeCell ref="CK30:CP30"/>
    <mergeCell ref="CQ30:CV30"/>
    <mergeCell ref="CW30:DB30"/>
    <mergeCell ref="DC30:DH30"/>
    <mergeCell ref="AO30:AT30"/>
    <mergeCell ref="DI28:DN28"/>
    <mergeCell ref="E29:J29"/>
    <mergeCell ref="K29:P29"/>
    <mergeCell ref="Q29:V29"/>
    <mergeCell ref="W29:AB29"/>
    <mergeCell ref="AC29:AH29"/>
    <mergeCell ref="AI29:AN29"/>
    <mergeCell ref="AO29:AT29"/>
    <mergeCell ref="AU29:AZ29"/>
    <mergeCell ref="BA29:BF29"/>
    <mergeCell ref="BY28:CD28"/>
    <mergeCell ref="CE28:CJ28"/>
    <mergeCell ref="CK28:CP28"/>
    <mergeCell ref="CQ28:CV28"/>
    <mergeCell ref="CW28:DB28"/>
    <mergeCell ref="DC28:DH28"/>
    <mergeCell ref="AO28:AT28"/>
    <mergeCell ref="AU28:AZ28"/>
    <mergeCell ref="BA28:BF28"/>
    <mergeCell ref="BG28:BL28"/>
    <mergeCell ref="BM28:BR28"/>
    <mergeCell ref="BS28:BX28"/>
    <mergeCell ref="E28:J28"/>
    <mergeCell ref="K28:P28"/>
    <mergeCell ref="Q28:V28"/>
    <mergeCell ref="W28:AB28"/>
    <mergeCell ref="AC28:AH28"/>
    <mergeCell ref="AI28:AN28"/>
    <mergeCell ref="CE16:CF16"/>
    <mergeCell ref="CK16:CL16"/>
    <mergeCell ref="CQ16:CR16"/>
    <mergeCell ref="CW16:CX16"/>
    <mergeCell ref="DC16:DD16"/>
    <mergeCell ref="DI16:DJ16"/>
    <mergeCell ref="AU16:AV16"/>
    <mergeCell ref="BA16:BB16"/>
    <mergeCell ref="BG16:BH16"/>
    <mergeCell ref="BM16:BN16"/>
    <mergeCell ref="BS16:BT16"/>
    <mergeCell ref="BY16:BZ16"/>
    <mergeCell ref="CQ15:CV15"/>
    <mergeCell ref="CW15:DB15"/>
    <mergeCell ref="DC15:DH15"/>
    <mergeCell ref="DI15:DN15"/>
    <mergeCell ref="BY15:CD15"/>
    <mergeCell ref="CE15:CJ15"/>
    <mergeCell ref="CK15:CP15"/>
    <mergeCell ref="BM14:BR14"/>
    <mergeCell ref="BS14:BX14"/>
    <mergeCell ref="K16:M16"/>
    <mergeCell ref="Q16:S16"/>
    <mergeCell ref="W16:Y16"/>
    <mergeCell ref="AC16:AE16"/>
    <mergeCell ref="AI16:AJ16"/>
    <mergeCell ref="AO16:AP16"/>
    <mergeCell ref="BG15:BL15"/>
    <mergeCell ref="BM15:BR15"/>
    <mergeCell ref="BS15:BX15"/>
    <mergeCell ref="E15:J15"/>
    <mergeCell ref="K15:P15"/>
    <mergeCell ref="Q15:V15"/>
    <mergeCell ref="W15:AB15"/>
    <mergeCell ref="AC15:AH15"/>
    <mergeCell ref="AI15:AN15"/>
    <mergeCell ref="AO15:AT15"/>
    <mergeCell ref="AU15:AZ15"/>
    <mergeCell ref="BA15:BF15"/>
    <mergeCell ref="DI13:DN13"/>
    <mergeCell ref="E14:J14"/>
    <mergeCell ref="K14:P14"/>
    <mergeCell ref="Q14:V14"/>
    <mergeCell ref="W14:AB14"/>
    <mergeCell ref="AC14:AH14"/>
    <mergeCell ref="AI14:AN14"/>
    <mergeCell ref="BG13:BL13"/>
    <mergeCell ref="BM13:BR13"/>
    <mergeCell ref="BS13:BX13"/>
    <mergeCell ref="BY13:CD13"/>
    <mergeCell ref="CE13:CJ13"/>
    <mergeCell ref="CK13:CP13"/>
    <mergeCell ref="DI14:DN14"/>
    <mergeCell ref="BY14:CD14"/>
    <mergeCell ref="CE14:CJ14"/>
    <mergeCell ref="CK14:CP14"/>
    <mergeCell ref="CQ14:CV14"/>
    <mergeCell ref="CW14:DB14"/>
    <mergeCell ref="DC14:DH14"/>
    <mergeCell ref="AO14:AT14"/>
    <mergeCell ref="AU14:AZ14"/>
    <mergeCell ref="BA14:BF14"/>
    <mergeCell ref="BG14:BL14"/>
    <mergeCell ref="CW12:DB12"/>
    <mergeCell ref="DC12:DH12"/>
    <mergeCell ref="AO12:AT12"/>
    <mergeCell ref="AU12:AZ12"/>
    <mergeCell ref="BA12:BF12"/>
    <mergeCell ref="BG12:BL12"/>
    <mergeCell ref="BM12:BR12"/>
    <mergeCell ref="BS12:BX12"/>
    <mergeCell ref="CQ13:CV13"/>
    <mergeCell ref="CW13:DB13"/>
    <mergeCell ref="DC13:DH13"/>
    <mergeCell ref="E13:J13"/>
    <mergeCell ref="K13:P13"/>
    <mergeCell ref="Q13:V13"/>
    <mergeCell ref="W13:AB13"/>
    <mergeCell ref="AC13:AH13"/>
    <mergeCell ref="AI13:AN13"/>
    <mergeCell ref="AO13:AT13"/>
    <mergeCell ref="AU13:AZ13"/>
    <mergeCell ref="BA13:BF13"/>
    <mergeCell ref="BG10:BL10"/>
    <mergeCell ref="BM10:BR10"/>
    <mergeCell ref="BS10:BX10"/>
    <mergeCell ref="CQ11:CV11"/>
    <mergeCell ref="CW11:DB11"/>
    <mergeCell ref="DC11:DH11"/>
    <mergeCell ref="DI11:DN11"/>
    <mergeCell ref="E12:J12"/>
    <mergeCell ref="K12:P12"/>
    <mergeCell ref="Q12:V12"/>
    <mergeCell ref="W12:AB12"/>
    <mergeCell ref="AC12:AH12"/>
    <mergeCell ref="AI12:AN12"/>
    <mergeCell ref="BG11:BL11"/>
    <mergeCell ref="BM11:BR11"/>
    <mergeCell ref="BS11:BX11"/>
    <mergeCell ref="BY11:CD11"/>
    <mergeCell ref="CE11:CJ11"/>
    <mergeCell ref="CK11:CP11"/>
    <mergeCell ref="DI12:DN12"/>
    <mergeCell ref="BY12:CD12"/>
    <mergeCell ref="CE12:CJ12"/>
    <mergeCell ref="CK12:CP12"/>
    <mergeCell ref="CQ12:CV12"/>
    <mergeCell ref="E11:J11"/>
    <mergeCell ref="K11:P11"/>
    <mergeCell ref="Q11:V11"/>
    <mergeCell ref="W11:AB11"/>
    <mergeCell ref="AC11:AH11"/>
    <mergeCell ref="AI11:AN11"/>
    <mergeCell ref="AO11:AT11"/>
    <mergeCell ref="AU11:AZ11"/>
    <mergeCell ref="BA11:BF11"/>
    <mergeCell ref="DC9:DH9"/>
    <mergeCell ref="DI9:DN9"/>
    <mergeCell ref="E10:J10"/>
    <mergeCell ref="K10:P10"/>
    <mergeCell ref="Q10:V10"/>
    <mergeCell ref="W10:AB10"/>
    <mergeCell ref="AC10:AH10"/>
    <mergeCell ref="AI10:AN10"/>
    <mergeCell ref="BG9:BL9"/>
    <mergeCell ref="BM9:BR9"/>
    <mergeCell ref="BS9:BX9"/>
    <mergeCell ref="BY9:CD9"/>
    <mergeCell ref="CE9:CJ9"/>
    <mergeCell ref="CK9:CP9"/>
    <mergeCell ref="DI10:DN10"/>
    <mergeCell ref="BY10:CD10"/>
    <mergeCell ref="CE10:CJ10"/>
    <mergeCell ref="CK10:CP10"/>
    <mergeCell ref="CQ10:CV10"/>
    <mergeCell ref="CW10:DB10"/>
    <mergeCell ref="DC10:DH10"/>
    <mergeCell ref="AO10:AT10"/>
    <mergeCell ref="AU10:AZ10"/>
    <mergeCell ref="BA10:BF10"/>
    <mergeCell ref="DI8:DN8"/>
    <mergeCell ref="E9:J9"/>
    <mergeCell ref="K9:P9"/>
    <mergeCell ref="Q9:V9"/>
    <mergeCell ref="W9:AB9"/>
    <mergeCell ref="AC9:AH9"/>
    <mergeCell ref="AI9:AN9"/>
    <mergeCell ref="AO9:AT9"/>
    <mergeCell ref="AU9:AZ9"/>
    <mergeCell ref="BA9:BF9"/>
    <mergeCell ref="BY8:CD8"/>
    <mergeCell ref="CE8:CJ8"/>
    <mergeCell ref="CK8:CP8"/>
    <mergeCell ref="CQ8:CV8"/>
    <mergeCell ref="CW8:DB8"/>
    <mergeCell ref="DC8:DH8"/>
    <mergeCell ref="AO8:AT8"/>
    <mergeCell ref="AU8:AZ8"/>
    <mergeCell ref="BA8:BF8"/>
    <mergeCell ref="BG8:BL8"/>
    <mergeCell ref="BM8:BR8"/>
    <mergeCell ref="BS8:BX8"/>
    <mergeCell ref="CQ9:CV9"/>
    <mergeCell ref="CW9:DB9"/>
    <mergeCell ref="E8:J8"/>
    <mergeCell ref="K8:P8"/>
    <mergeCell ref="Q8:V8"/>
    <mergeCell ref="W8:AB8"/>
    <mergeCell ref="AC8:AH8"/>
    <mergeCell ref="AI8:AN8"/>
    <mergeCell ref="BG7:BL7"/>
    <mergeCell ref="BM7:BR7"/>
    <mergeCell ref="BS7:BX7"/>
    <mergeCell ref="E7:J7"/>
    <mergeCell ref="K7:P7"/>
    <mergeCell ref="Q7:V7"/>
    <mergeCell ref="W7:AB7"/>
    <mergeCell ref="AC7:AH7"/>
    <mergeCell ref="AI7:AN7"/>
    <mergeCell ref="AO7:AT7"/>
    <mergeCell ref="AU6:AZ6"/>
    <mergeCell ref="BA6:BF6"/>
    <mergeCell ref="BG6:BL6"/>
    <mergeCell ref="BM6:BR6"/>
    <mergeCell ref="BS6:BX6"/>
    <mergeCell ref="CQ7:CV7"/>
    <mergeCell ref="CW7:DB7"/>
    <mergeCell ref="DC7:DH7"/>
    <mergeCell ref="DI7:DN7"/>
    <mergeCell ref="BY7:CD7"/>
    <mergeCell ref="CE7:CJ7"/>
    <mergeCell ref="CK7:CP7"/>
    <mergeCell ref="AU7:AZ7"/>
    <mergeCell ref="BA7:BF7"/>
    <mergeCell ref="CQ5:CV5"/>
    <mergeCell ref="CW5:DB5"/>
    <mergeCell ref="DC5:DH5"/>
    <mergeCell ref="DI5:DN5"/>
    <mergeCell ref="E6:J6"/>
    <mergeCell ref="K6:P6"/>
    <mergeCell ref="Q6:V6"/>
    <mergeCell ref="W6:AB6"/>
    <mergeCell ref="AC6:AH6"/>
    <mergeCell ref="AI6:AN6"/>
    <mergeCell ref="BG5:BL5"/>
    <mergeCell ref="BM5:BR5"/>
    <mergeCell ref="BS5:BX5"/>
    <mergeCell ref="BY5:CD5"/>
    <mergeCell ref="CE5:CJ5"/>
    <mergeCell ref="CK5:CP5"/>
    <mergeCell ref="DI6:DN6"/>
    <mergeCell ref="BY6:CD6"/>
    <mergeCell ref="CE6:CJ6"/>
    <mergeCell ref="CK6:CP6"/>
    <mergeCell ref="CQ6:CV6"/>
    <mergeCell ref="CW6:DB6"/>
    <mergeCell ref="DC6:DH6"/>
    <mergeCell ref="AO6:AT6"/>
    <mergeCell ref="CQ4:CV4"/>
    <mergeCell ref="CW4:DB4"/>
    <mergeCell ref="DC4:DH4"/>
    <mergeCell ref="AO4:AT4"/>
    <mergeCell ref="AU4:AZ4"/>
    <mergeCell ref="BA4:BF4"/>
    <mergeCell ref="BG4:BL4"/>
    <mergeCell ref="BM4:BR4"/>
    <mergeCell ref="BS4:BX4"/>
    <mergeCell ref="E5:J5"/>
    <mergeCell ref="K5:P5"/>
    <mergeCell ref="Q5:V5"/>
    <mergeCell ref="W5:AB5"/>
    <mergeCell ref="AC5:AH5"/>
    <mergeCell ref="AI5:AN5"/>
    <mergeCell ref="AO5:AT5"/>
    <mergeCell ref="AU5:AZ5"/>
    <mergeCell ref="BA5:BF5"/>
    <mergeCell ref="BM2:BR2"/>
    <mergeCell ref="BS2:BX2"/>
    <mergeCell ref="E2:J2"/>
    <mergeCell ref="K2:P2"/>
    <mergeCell ref="CQ3:CV3"/>
    <mergeCell ref="CW3:DB3"/>
    <mergeCell ref="DC3:DH3"/>
    <mergeCell ref="DI3:DN3"/>
    <mergeCell ref="E4:J4"/>
    <mergeCell ref="K4:P4"/>
    <mergeCell ref="Q4:V4"/>
    <mergeCell ref="W4:AB4"/>
    <mergeCell ref="AC4:AH4"/>
    <mergeCell ref="AI4:AN4"/>
    <mergeCell ref="BG3:BL3"/>
    <mergeCell ref="BM3:BR3"/>
    <mergeCell ref="BS3:BX3"/>
    <mergeCell ref="BY3:CD3"/>
    <mergeCell ref="CE3:CJ3"/>
    <mergeCell ref="CK3:CP3"/>
    <mergeCell ref="DI4:DN4"/>
    <mergeCell ref="BY4:CD4"/>
    <mergeCell ref="CE4:CJ4"/>
    <mergeCell ref="CK4:CP4"/>
    <mergeCell ref="Q2:V2"/>
    <mergeCell ref="W2:AB2"/>
    <mergeCell ref="AC2:AH2"/>
    <mergeCell ref="AI2:AN2"/>
    <mergeCell ref="DI2:DN2"/>
    <mergeCell ref="E3:J3"/>
    <mergeCell ref="K3:P3"/>
    <mergeCell ref="Q3:V3"/>
    <mergeCell ref="W3:AB3"/>
    <mergeCell ref="AC3:AH3"/>
    <mergeCell ref="AI3:AN3"/>
    <mergeCell ref="AO3:AT3"/>
    <mergeCell ref="AU3:AZ3"/>
    <mergeCell ref="BA3:BF3"/>
    <mergeCell ref="BY2:CD2"/>
    <mergeCell ref="CE2:CJ2"/>
    <mergeCell ref="CK2:CP2"/>
    <mergeCell ref="CQ2:CV2"/>
    <mergeCell ref="CW2:DB2"/>
    <mergeCell ref="DC2:DH2"/>
    <mergeCell ref="AO2:AT2"/>
    <mergeCell ref="AU2:AZ2"/>
    <mergeCell ref="BA2:BF2"/>
    <mergeCell ref="BG2:BL2"/>
  </mergeCells>
  <dataValidations count="3">
    <dataValidation type="list" allowBlank="1" showInputMessage="1" showErrorMessage="1" sqref="E63:DN63" xr:uid="{D304C968-9332-49AD-9A53-497139BBEE50}">
      <formula1>INDIRECT(E62)</formula1>
    </dataValidation>
    <dataValidation type="list" allowBlank="1" showInputMessage="1" showErrorMessage="1" sqref="E62:DN62" xr:uid="{E087F029-F04E-44DF-A371-ADA54CB05BCD}">
      <formula1>Fluid</formula1>
    </dataValidation>
    <dataValidation type="list" allowBlank="1" sqref="E156 K156 CW157 Q156 AC156 AI156 AU156 BG156 BS156 CE156 CQ156 DC156 W156 AO156 BA156 BM156 BY156 CK156 DI156" xr:uid="{73BFCC4B-96FD-4F83-B0B1-333D8C6EB71A}">
      <formula1>$H$154:$H$158</formula1>
    </dataValidation>
  </dataValidations>
  <pageMargins left="0.7" right="0.7" top="0.75" bottom="0.75" header="0.3" footer="0.3"/>
  <pageSetup paperSize="8" scale="10" fitToHeight="3" orientation="portrait" horizontalDpi="4294967293" verticalDpi="1200" r:id="rId1"/>
  <headerFooter>
    <oddHeader>&amp;LBIOGAS ENGINEERING&amp;CDIGESTER GAS UPGRADING FACILITY&amp;R&amp;D</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1374452-1C66-4014-9F10-DD82E99780FB}">
          <x14:formula1>
            <xm:f>'Calculation Basis'!$X$4:$X$9</xm:f>
          </x14:formula1>
          <xm:sqref>E31:DN31</xm:sqref>
        </x14:dataValidation>
        <x14:dataValidation type="list" allowBlank="1" showInputMessage="1" showErrorMessage="1" xr:uid="{F3E98BB1-FF6B-425F-B928-A5179137B9C9}">
          <x14:formula1>
            <xm:f>'Calculation Basis'!$G$3:$T$3</xm:f>
          </x14:formula1>
          <xm:sqref>E29:DN29</xm:sqref>
        </x14:dataValidation>
        <x14:dataValidation type="list" allowBlank="1" showInputMessage="1" showErrorMessage="1" xr:uid="{3B64A69C-80BB-4E55-81A7-C5CD86C120D4}">
          <x14:formula1>
            <xm:f>'Calculation Basis'!$F$4:$F$47</xm:f>
          </x14:formula1>
          <xm:sqref>E28:DN28</xm:sqref>
        </x14:dataValidation>
        <x14:dataValidation type="list" allowBlank="1" showInputMessage="1" showErrorMessage="1" xr:uid="{80D14748-E73D-40A3-8334-02B9A9B14A98}">
          <x14:formula1>
            <xm:f>Sheet1!$C$2:$C$6</xm:f>
          </x14:formula1>
          <xm:sqref>F17 L17 X17 AJ17 AP17 AV17 BB17 BH17 CL17 BT17 BN17 CR17 R17 BZ17 DJ17 CX17 DD17 AD17 CF17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3320-C066-489C-B69F-7A681BE21242}">
  <sheetPr>
    <pageSetUpPr fitToPage="1"/>
  </sheetPr>
  <dimension ref="A2:W114"/>
  <sheetViews>
    <sheetView zoomScale="55" zoomScaleNormal="55" zoomScaleSheetLayoutView="40" workbookViewId="0">
      <selection activeCell="N7" sqref="N7"/>
    </sheetView>
  </sheetViews>
  <sheetFormatPr defaultColWidth="8.81640625" defaultRowHeight="14.5" x14ac:dyDescent="0.35"/>
  <cols>
    <col min="1" max="1" width="4.1796875" style="415" customWidth="1"/>
    <col min="2" max="2" width="28.81640625" customWidth="1"/>
    <col min="3" max="3" width="14.453125" bestFit="1" customWidth="1"/>
    <col min="4" max="4" width="12.81640625" style="415" customWidth="1"/>
    <col min="5" max="22" width="12.81640625" customWidth="1"/>
    <col min="23" max="23" width="12.81640625" hidden="1" customWidth="1"/>
  </cols>
  <sheetData>
    <row r="2" spans="1:23" ht="24" customHeight="1" x14ac:dyDescent="0.35">
      <c r="B2" s="594"/>
      <c r="C2" s="595"/>
      <c r="D2" s="596"/>
      <c r="E2" s="417" t="s">
        <v>219</v>
      </c>
      <c r="F2" s="602" t="s">
        <v>524</v>
      </c>
      <c r="G2" s="602"/>
      <c r="H2" s="602"/>
      <c r="I2" s="602"/>
      <c r="J2" s="603" t="s">
        <v>969</v>
      </c>
      <c r="K2" s="604"/>
      <c r="L2" s="604"/>
      <c r="M2" s="604"/>
      <c r="N2" s="604"/>
      <c r="O2" s="604"/>
      <c r="P2" s="604"/>
      <c r="Q2" s="604"/>
      <c r="R2" s="605"/>
      <c r="S2" s="593" t="s">
        <v>966</v>
      </c>
      <c r="T2" s="593"/>
      <c r="U2" s="593"/>
      <c r="V2" s="593"/>
    </row>
    <row r="3" spans="1:23" ht="24" customHeight="1" x14ac:dyDescent="0.35">
      <c r="B3" s="597"/>
      <c r="C3" s="433"/>
      <c r="D3" s="598"/>
      <c r="E3" s="417" t="s">
        <v>210</v>
      </c>
      <c r="F3" s="602" t="s">
        <v>332</v>
      </c>
      <c r="G3" s="602"/>
      <c r="H3" s="602"/>
      <c r="I3" s="602"/>
      <c r="J3" s="606"/>
      <c r="K3" s="607"/>
      <c r="L3" s="607"/>
      <c r="M3" s="607"/>
      <c r="N3" s="607"/>
      <c r="O3" s="607"/>
      <c r="P3" s="607"/>
      <c r="Q3" s="607"/>
      <c r="R3" s="608"/>
      <c r="S3" s="593" t="s">
        <v>223</v>
      </c>
      <c r="T3" s="593"/>
      <c r="U3" s="593"/>
      <c r="V3" s="593"/>
    </row>
    <row r="4" spans="1:23" ht="24" customHeight="1" x14ac:dyDescent="0.35">
      <c r="B4" s="597"/>
      <c r="C4" s="433"/>
      <c r="D4" s="598"/>
      <c r="E4" s="417" t="s">
        <v>212</v>
      </c>
      <c r="F4" s="602" t="s">
        <v>525</v>
      </c>
      <c r="G4" s="602"/>
      <c r="H4" s="602"/>
      <c r="I4" s="602"/>
      <c r="J4" s="606"/>
      <c r="K4" s="607"/>
      <c r="L4" s="607"/>
      <c r="M4" s="607"/>
      <c r="N4" s="607"/>
      <c r="O4" s="607"/>
      <c r="P4" s="607"/>
      <c r="Q4" s="607"/>
      <c r="R4" s="608"/>
      <c r="S4" s="105" t="s">
        <v>231</v>
      </c>
      <c r="T4" s="105" t="s">
        <v>229</v>
      </c>
      <c r="U4" s="105" t="s">
        <v>230</v>
      </c>
      <c r="V4" s="105" t="s">
        <v>235</v>
      </c>
    </row>
    <row r="5" spans="1:23" ht="24" customHeight="1" x14ac:dyDescent="0.35">
      <c r="B5" s="599"/>
      <c r="C5" s="600"/>
      <c r="D5" s="601"/>
      <c r="E5" s="417" t="s">
        <v>526</v>
      </c>
      <c r="F5" s="602" t="s">
        <v>228</v>
      </c>
      <c r="G5" s="602"/>
      <c r="H5" s="602"/>
      <c r="I5" s="602"/>
      <c r="J5" s="609"/>
      <c r="K5" s="610"/>
      <c r="L5" s="610"/>
      <c r="M5" s="610"/>
      <c r="N5" s="610"/>
      <c r="O5" s="610"/>
      <c r="P5" s="610"/>
      <c r="Q5" s="610"/>
      <c r="R5" s="611"/>
      <c r="S5" s="105" t="s">
        <v>232</v>
      </c>
      <c r="T5" s="105" t="s">
        <v>234</v>
      </c>
      <c r="U5" s="105" t="s">
        <v>233</v>
      </c>
      <c r="V5" s="105" t="s">
        <v>46</v>
      </c>
    </row>
    <row r="6" spans="1:23" ht="23.5" customHeight="1" x14ac:dyDescent="0.35">
      <c r="B6" s="317" t="s">
        <v>6</v>
      </c>
      <c r="C6" s="318"/>
      <c r="D6" s="319">
        <v>1</v>
      </c>
      <c r="E6" s="319">
        <v>2</v>
      </c>
      <c r="F6" s="319">
        <v>3</v>
      </c>
      <c r="G6" s="319">
        <v>4</v>
      </c>
      <c r="H6" s="319">
        <v>5</v>
      </c>
      <c r="I6" s="319">
        <v>6</v>
      </c>
      <c r="J6" s="319">
        <v>7</v>
      </c>
      <c r="K6" s="319">
        <v>8</v>
      </c>
      <c r="L6" s="319">
        <v>9</v>
      </c>
      <c r="M6" s="319">
        <v>10</v>
      </c>
      <c r="N6" s="319">
        <v>11</v>
      </c>
      <c r="O6" s="319">
        <v>12</v>
      </c>
      <c r="P6" s="319">
        <v>13</v>
      </c>
      <c r="Q6" s="319">
        <v>14</v>
      </c>
      <c r="R6" s="319">
        <v>15</v>
      </c>
      <c r="S6" s="319">
        <v>16</v>
      </c>
      <c r="T6" s="319">
        <v>17</v>
      </c>
      <c r="U6" s="319">
        <v>18</v>
      </c>
      <c r="V6" s="319">
        <v>19</v>
      </c>
      <c r="W6" s="412">
        <v>20</v>
      </c>
    </row>
    <row r="7" spans="1:23" s="5" customFormat="1" ht="123" customHeight="1" x14ac:dyDescent="0.35">
      <c r="A7" s="415"/>
      <c r="B7" s="16" t="s">
        <v>14</v>
      </c>
      <c r="C7" s="17"/>
      <c r="D7" s="18" t="str">
        <f>HLOOKUP(D6,'Property Calc_Min. Flow'!$E$2:$ED$3,2,FALSE)</f>
        <v>RAW GAS TO H2S GUARD BEDS</v>
      </c>
      <c r="E7" s="18" t="str">
        <f>HLOOKUP(E6,'Property Calc_Min. Flow'!$E$2:$ED$3,2,FALSE)</f>
        <v xml:space="preserve">RAW FEED TO LOW PRESSURE SEPARATOR </v>
      </c>
      <c r="F7" s="18" t="str">
        <f>HLOOKUP(F6,'Property Calc_Min. Flow'!$E$2:$ED$3,2,FALSE)</f>
        <v>SEPERATOR TO FEED GAS COMPRESSOR</v>
      </c>
      <c r="G7" s="18" t="str">
        <f>HLOOKUP(G6,'Property Calc_Min. Flow'!$E$2:$ED$3,2,FALSE)</f>
        <v>FEED+RECYCLE TO COMPRESSOR</v>
      </c>
      <c r="H7" s="18" t="str">
        <f>HLOOKUP(H6,'Property Calc_Min. Flow'!$E$2:$ED$3,2,FALSE)</f>
        <v>COMPRESSOR DISCHARGE TO AFTERCOOLER</v>
      </c>
      <c r="I7" s="18" t="str">
        <f>HLOOKUP(I6,'Property Calc_Min. Flow'!$E$2:$ED$3,2,FALSE)</f>
        <v>COMPRESSED GAS FROM AIR COOLER TO RE-HEATER</v>
      </c>
      <c r="J7" s="18" t="str">
        <f>HLOOKUP(J6,'Property Calc_Min. Flow'!$E$2:$ED$3,2,FALSE)</f>
        <v>COMPRESSED GAS TO CHILLER</v>
      </c>
      <c r="K7" s="18" t="str">
        <f>HLOOKUP(K6,'Property Calc_Min. Flow'!$E$2:$ED$3,2,FALSE)</f>
        <v>COOLED COMPRESSED GAS TO RE-HEATER</v>
      </c>
      <c r="L7" s="18" t="str">
        <f>HLOOKUP(L6,'Property Calc_Min. Flow'!$E$2:$ED$3,2,FALSE)</f>
        <v>RE-HEATED COMPRESSED GAS TO ACTIVATED CARBON FILTER</v>
      </c>
      <c r="M7" s="18" t="str">
        <f>HLOOKUP(M6,'Property Calc_Min. Flow'!$E$2:$ED$3,2,FALSE)</f>
        <v>TO AL SKID</v>
      </c>
      <c r="N7" s="18" t="str">
        <f>HLOOKUP(N6,'Property Calc_Min. Flow'!$E$2:$ED$3,2,FALSE)</f>
        <v>WASTE GAS TO ATMOSPHERE</v>
      </c>
      <c r="O7" s="18" t="str">
        <f>HLOOKUP(O6,'Property Calc_Min. Flow'!$E$2:$ED$3,2,FALSE)</f>
        <v>RECYCLE GAS TO RECYCLE GAS COMPRESSOR</v>
      </c>
      <c r="P7" s="18" t="str">
        <f>HLOOKUP(P6,'Property Calc_Min. Flow'!$E$2:$ED$3,2,FALSE)</f>
        <v>COMPRESSED RECYCLE GAS TO RECYCLE GAS AIR COOLED  AFTER COOLER</v>
      </c>
      <c r="Q7" s="18" t="str">
        <f>HLOOKUP(Q6,'Property Calc_Min. Flow'!$E$2:$ED$3,2,FALSE)</f>
        <v>COMPRESSED COOLED RECYCLE GAS TO FEED COMPRESSOR</v>
      </c>
      <c r="R7" s="18" t="str">
        <f>HLOOKUP(R6,'Property Calc_Min. Flow'!$E$2:$ED$3,2,FALSE)</f>
        <v>PRODUCT GAS TO PRODUCT GAS COMPRESSOR AND BOILERS</v>
      </c>
      <c r="S7" s="18" t="str">
        <f>HLOOKUP(S6,'Property Calc_Min. Flow'!$E$2:$ED$3,2,FALSE)</f>
        <v>COMPRESSED PRODUCT GAS TO AIR COOLED AFTERCOOLER</v>
      </c>
      <c r="T7" s="18" t="str">
        <f>HLOOKUP(T6,'Property Calc_Min. Flow'!$E$2:$ED$3,2,FALSE)</f>
        <v>PRODUCT GAS TO CHILLED WATER COOLER</v>
      </c>
      <c r="U7" s="18" t="str">
        <f>HLOOKUP(U6,'Property Calc_Min. Flow'!$E$2:$ED$3,2,FALSE)</f>
        <v>PRODUCT GAS TO POLISHING VESSELS</v>
      </c>
      <c r="V7" s="18" t="str">
        <f>HLOOKUP(V6,'Property Calc_Min. Flow'!$E$2:$ED$3,2,FALSE)</f>
        <v>COMPRESSED PRODUCT GAS TO B/L (PG&amp;E SKID)</v>
      </c>
      <c r="W7" s="18" t="str">
        <f>HLOOKUP(W6,'Property Calc_Design Flow'!$E$2:$ED$3,2,FALSE)</f>
        <v>Condensnate Line Hydraulics</v>
      </c>
    </row>
    <row r="8" spans="1:23" x14ac:dyDescent="0.35">
      <c r="B8" s="19" t="s">
        <v>1</v>
      </c>
      <c r="C8" s="410" t="s">
        <v>5</v>
      </c>
      <c r="D8" s="410">
        <f>HLOOKUP(D$7,'Property Calc_Min. Flow'!$E$3:$EJ$25,MATCH('HMB_Min Op. Case'!$B8,'Property Calc_Min. Flow'!$C$3:$C$24,0),FALSE)</f>
        <v>65</v>
      </c>
      <c r="E8" s="410">
        <f>HLOOKUP(E$7,'Property Calc_Min. Flow'!$E$3:$EJ$25,MATCH('HMB_Min Op. Case'!$B8,'Property Calc_Min. Flow'!$C$3:$C$24,0),FALSE)</f>
        <v>63</v>
      </c>
      <c r="F8" s="410">
        <f>HLOOKUP(F$7,'Property Calc_Min. Flow'!$E$3:$EJ$25,MATCH('HMB_Min Op. Case'!$B8,'Property Calc_Min. Flow'!$C$3:$C$24,0),FALSE)</f>
        <v>62.5</v>
      </c>
      <c r="G8" s="410">
        <f>HLOOKUP(G$7,'Property Calc_Min. Flow'!$E$3:$EJ$25,MATCH('HMB_Min Op. Case'!$B8,'Property Calc_Min. Flow'!$C$3:$C$24,0),FALSE)</f>
        <v>62.5</v>
      </c>
      <c r="H8" s="410">
        <f>HLOOKUP(H$7,'Property Calc_Min. Flow'!$E$3:$EJ$25,MATCH('HMB_Min Op. Case'!$B8,'Property Calc_Min. Flow'!$C$3:$C$24,0),FALSE)</f>
        <v>200</v>
      </c>
      <c r="I8" s="410">
        <f>HLOOKUP(I$7,'Property Calc_Min. Flow'!$E$3:$EJ$25,MATCH('HMB_Min Op. Case'!$B8,'Property Calc_Min. Flow'!$C$3:$C$24,0),FALSE)</f>
        <v>199</v>
      </c>
      <c r="J8" s="410">
        <f>HLOOKUP(J$7,'Property Calc_Min. Flow'!$E$3:$EJ$25,MATCH('HMB_Min Op. Case'!$B8,'Property Calc_Min. Flow'!$C$3:$C$24,0),FALSE)</f>
        <v>198</v>
      </c>
      <c r="K8" s="410">
        <f>HLOOKUP(K$7,'Property Calc_Min. Flow'!$E$3:$EJ$25,MATCH('HMB_Min Op. Case'!$B8,'Property Calc_Min. Flow'!$C$3:$C$24,0),FALSE)</f>
        <v>197</v>
      </c>
      <c r="L8" s="410">
        <f>HLOOKUP(L$7,'Property Calc_Min. Flow'!$E$3:$EJ$25,MATCH('HMB_Min Op. Case'!$B8,'Property Calc_Min. Flow'!$C$3:$C$24,0),FALSE)</f>
        <v>196</v>
      </c>
      <c r="M8" s="410">
        <f>HLOOKUP(M$7,'Property Calc_Min. Flow'!$E$3:$EJ$25,MATCH('HMB_Min Op. Case'!$B8,'Property Calc_Min. Flow'!$C$3:$C$24,0),FALSE)</f>
        <v>195</v>
      </c>
      <c r="N8" s="410">
        <f>HLOOKUP(N$7,'Property Calc_Min. Flow'!$E$3:$EJ$25,MATCH('HMB_Min Op. Case'!$B8,'Property Calc_Min. Flow'!$C$3:$C$24,0),FALSE)</f>
        <v>1</v>
      </c>
      <c r="O8" s="410">
        <f>HLOOKUP(O$7,'Property Calc_Min. Flow'!$E$3:$EJ$25,MATCH('HMB_Min Op. Case'!$B8,'Property Calc_Min. Flow'!$C$3:$C$24,0),FALSE)</f>
        <v>2</v>
      </c>
      <c r="P8" s="410">
        <f>HLOOKUP(P$7,'Property Calc_Min. Flow'!$E$3:$EJ$25,MATCH('HMB_Min Op. Case'!$B8,'Property Calc_Min. Flow'!$C$3:$C$24,0),FALSE)</f>
        <v>65</v>
      </c>
      <c r="Q8" s="410">
        <f>HLOOKUP(Q$7,'Property Calc_Min. Flow'!$E$3:$EJ$25,MATCH('HMB_Min Op. Case'!$B8,'Property Calc_Min. Flow'!$C$3:$C$24,0),FALSE)</f>
        <v>63</v>
      </c>
      <c r="R8" s="410">
        <f>HLOOKUP(R$7,'Property Calc_Min. Flow'!$E$3:$EJ$25,MATCH('HMB_Min Op. Case'!$B8,'Property Calc_Min. Flow'!$C$3:$C$24,0),FALSE)</f>
        <v>150</v>
      </c>
      <c r="S8" s="410">
        <f>HLOOKUP(S$7,'Property Calc_Min. Flow'!$E$3:$EJ$25,MATCH('HMB_Min Op. Case'!$B8,'Property Calc_Min. Flow'!$C$3:$C$24,0),FALSE)</f>
        <v>270</v>
      </c>
      <c r="T8" s="410">
        <f>HLOOKUP(T$7,'Property Calc_Min. Flow'!$E$3:$EJ$25,MATCH('HMB_Min Op. Case'!$B8,'Property Calc_Min. Flow'!$C$3:$C$24,0),FALSE)</f>
        <v>268</v>
      </c>
      <c r="U8" s="410">
        <f>HLOOKUP(U$7,'Property Calc_Min. Flow'!$E$3:$EJ$25,MATCH('HMB_Min Op. Case'!$B8,'Property Calc_Min. Flow'!$C$3:$C$24,0),FALSE)</f>
        <v>266</v>
      </c>
      <c r="V8" s="410">
        <f>HLOOKUP(V$7,'Property Calc_Min. Flow'!$E$3:$EJ$25,MATCH('HMB_Min Op. Case'!$B8,'Property Calc_Min. Flow'!$C$3:$C$24,0),FALSE)</f>
        <v>265</v>
      </c>
      <c r="W8" s="410">
        <f>HLOOKUP(W$7,'Property Calc_Design Flow'!$E$3:$EJ$25,MATCH('HMB_Min Op. Case'!$B8,'Property Calc_Design Flow'!$C$3:$C$24,0),FALSE)</f>
        <v>120</v>
      </c>
    </row>
    <row r="9" spans="1:23" x14ac:dyDescent="0.35">
      <c r="B9" s="19" t="s">
        <v>0</v>
      </c>
      <c r="C9" s="410" t="s">
        <v>4</v>
      </c>
      <c r="D9" s="410">
        <f>HLOOKUP(D$7,'Property Calc_Min. Flow'!$E$3:$EJ$25,MATCH('HMB_Min Op. Case'!$B9,'Property Calc_Min. Flow'!$C$3:$C$24,0),FALSE)</f>
        <v>70</v>
      </c>
      <c r="E9" s="410">
        <f>HLOOKUP(E$7,'Property Calc_Min. Flow'!$E$3:$EJ$25,MATCH('HMB_Min Op. Case'!$B9,'Property Calc_Min. Flow'!$C$3:$C$24,0),FALSE)</f>
        <v>70</v>
      </c>
      <c r="F9" s="410">
        <f>HLOOKUP(F$7,'Property Calc_Min. Flow'!$E$3:$EJ$25,MATCH('HMB_Min Op. Case'!$B9,'Property Calc_Min. Flow'!$C$3:$C$24,0),FALSE)</f>
        <v>70</v>
      </c>
      <c r="G9" s="410">
        <f>HLOOKUP(G$7,'Property Calc_Min. Flow'!$E$3:$EJ$25,MATCH('HMB_Min Op. Case'!$B9,'Property Calc_Min. Flow'!$C$3:$C$24,0),FALSE)</f>
        <v>92.740094703881937</v>
      </c>
      <c r="H9" s="410">
        <f>HLOOKUP(H$7,'Property Calc_Min. Flow'!$E$3:$EJ$25,MATCH('HMB_Min Op. Case'!$B9,'Property Calc_Min. Flow'!$C$3:$C$24,0),FALSE)</f>
        <v>245</v>
      </c>
      <c r="I9" s="410">
        <f>HLOOKUP(I$7,'Property Calc_Min. Flow'!$E$3:$EJ$25,MATCH('HMB_Min Op. Case'!$B9,'Property Calc_Min. Flow'!$C$3:$C$24,0),FALSE)</f>
        <v>111</v>
      </c>
      <c r="J9" s="410">
        <f>HLOOKUP(J$7,'Property Calc_Min. Flow'!$E$3:$EJ$25,MATCH('HMB_Min Op. Case'!$B9,'Property Calc_Min. Flow'!$C$3:$C$24,0),FALSE)</f>
        <v>102</v>
      </c>
      <c r="K9" s="410">
        <f>HLOOKUP(K$7,'Property Calc_Min. Flow'!$E$3:$EJ$25,MATCH('HMB_Min Op. Case'!$B9,'Property Calc_Min. Flow'!$C$3:$C$24,0),FALSE)</f>
        <v>40</v>
      </c>
      <c r="L9" s="410">
        <f>HLOOKUP(L$7,'Property Calc_Min. Flow'!$E$3:$EJ$25,MATCH('HMB_Min Op. Case'!$B9,'Property Calc_Min. Flow'!$C$3:$C$24,0),FALSE)</f>
        <v>50</v>
      </c>
      <c r="M9" s="410">
        <f>HLOOKUP(M$7,'Property Calc_Min. Flow'!$E$3:$EJ$25,MATCH('HMB_Min Op. Case'!$B9,'Property Calc_Min. Flow'!$C$3:$C$24,0),FALSE)</f>
        <v>50</v>
      </c>
      <c r="N9" s="410">
        <f>HLOOKUP(N$7,'Property Calc_Min. Flow'!$E$3:$EJ$25,MATCH('HMB_Min Op. Case'!$B9,'Property Calc_Min. Flow'!$C$3:$C$24,0),FALSE)</f>
        <v>50</v>
      </c>
      <c r="O9" s="410">
        <f>HLOOKUP(O$7,'Property Calc_Min. Flow'!$E$3:$EJ$25,MATCH('HMB_Min Op. Case'!$B9,'Property Calc_Min. Flow'!$C$3:$C$24,0),FALSE)</f>
        <v>62.4</v>
      </c>
      <c r="P9" s="410">
        <f>HLOOKUP(P$7,'Property Calc_Min. Flow'!$E$3:$EJ$25,MATCH('HMB_Min Op. Case'!$B9,'Property Calc_Min. Flow'!$C$3:$C$24,0),FALSE)</f>
        <v>250</v>
      </c>
      <c r="Q9" s="410">
        <f>HLOOKUP(Q$7,'Property Calc_Min. Flow'!$E$3:$EJ$25,MATCH('HMB_Min Op. Case'!$B9,'Property Calc_Min. Flow'!$C$3:$C$24,0),FALSE)</f>
        <v>120</v>
      </c>
      <c r="R9" s="410">
        <f>HLOOKUP(R$7,'Property Calc_Min. Flow'!$E$3:$EJ$25,MATCH('HMB_Min Op. Case'!$B9,'Property Calc_Min. Flow'!$C$3:$C$24,0),FALSE)</f>
        <v>51.7</v>
      </c>
      <c r="S9" s="410">
        <f>HLOOKUP(S$7,'Property Calc_Min. Flow'!$E$3:$EJ$25,MATCH('HMB_Min Op. Case'!$B9,'Property Calc_Min. Flow'!$C$3:$C$24,0),FALSE)</f>
        <v>208</v>
      </c>
      <c r="T9" s="410">
        <f>HLOOKUP(T$7,'Property Calc_Min. Flow'!$E$3:$EJ$25,MATCH('HMB_Min Op. Case'!$B9,'Property Calc_Min. Flow'!$C$3:$C$24,0),FALSE)</f>
        <v>111</v>
      </c>
      <c r="U9" s="410">
        <f>HLOOKUP(U$7,'Property Calc_Min. Flow'!$E$3:$EJ$25,MATCH('HMB_Min Op. Case'!$B9,'Property Calc_Min. Flow'!$C$3:$C$24,0),FALSE)</f>
        <v>95</v>
      </c>
      <c r="V9" s="410">
        <f>HLOOKUP(V$7,'Property Calc_Min. Flow'!$E$3:$EJ$25,MATCH('HMB_Min Op. Case'!$B9,'Property Calc_Min. Flow'!$C$3:$C$24,0),FALSE)</f>
        <v>95</v>
      </c>
      <c r="W9" s="410">
        <f>HLOOKUP(W$7,'Property Calc_Design Flow'!$E$3:$EJ$25,MATCH('HMB_Min Op. Case'!$B9,'Property Calc_Design Flow'!$C$3:$C$24,0),FALSE)</f>
        <v>40</v>
      </c>
    </row>
    <row r="10" spans="1:23" x14ac:dyDescent="0.35">
      <c r="B10" s="19" t="s">
        <v>26</v>
      </c>
      <c r="C10" s="410" t="s">
        <v>27</v>
      </c>
      <c r="D10" s="410">
        <f>HLOOKUP(D$7,'Property Calc_Min. Flow'!$E$3:$EJ$25,MATCH('HMB_Min Op. Case'!$B10,'Property Calc_Min. Flow'!$C$3:$C$24,0),FALSE)</f>
        <v>250.02999999999997</v>
      </c>
      <c r="E10" s="410">
        <f>HLOOKUP(E$7,'Property Calc_Min. Flow'!$E$3:$EJ$25,MATCH('HMB_Min Op. Case'!$B10,'Property Calc_Min. Flow'!$C$3:$C$24,0),FALSE)</f>
        <v>250.01850011999997</v>
      </c>
      <c r="F10" s="410">
        <f>HLOOKUP(F$7,'Property Calc_Min. Flow'!$E$3:$EJ$25,MATCH('HMB_Min Op. Case'!$B10,'Property Calc_Min. Flow'!$C$3:$C$24,0),FALSE)</f>
        <v>250.01850011999997</v>
      </c>
      <c r="G10" s="410">
        <f>HLOOKUP(G$7,'Property Calc_Min. Flow'!$E$3:$EJ$25,MATCH('HMB_Min Op. Case'!$B10,'Property Calc_Min. Flow'!$C$3:$C$24,0),FALSE)</f>
        <v>442.99302895311899</v>
      </c>
      <c r="H10" s="410">
        <f>HLOOKUP(H$7,'Property Calc_Min. Flow'!$E$3:$EJ$25,MATCH('HMB_Min Op. Case'!$B10,'Property Calc_Min. Flow'!$C$3:$C$24,0),FALSE)</f>
        <v>442.99302895311899</v>
      </c>
      <c r="I10" s="410">
        <f>HLOOKUP(I$7,'Property Calc_Min. Flow'!$E$3:$EJ$25,MATCH('HMB_Min Op. Case'!$B10,'Property Calc_Min. Flow'!$C$3:$C$24,0),FALSE)</f>
        <v>442.99302895311899</v>
      </c>
      <c r="J10" s="410">
        <f>HLOOKUP(J$7,'Property Calc_Min. Flow'!$E$3:$EJ$25,MATCH('HMB_Min Op. Case'!$B10,'Property Calc_Min. Flow'!$C$3:$C$24,0),FALSE)</f>
        <v>442.99302895311899</v>
      </c>
      <c r="K10" s="410">
        <f>HLOOKUP(K$7,'Property Calc_Min. Flow'!$E$3:$EJ$25,MATCH('HMB_Min Op. Case'!$B10,'Property Calc_Min. Flow'!$C$3:$C$24,0),FALSE)</f>
        <v>442.79502788053554</v>
      </c>
      <c r="L10" s="410">
        <f>HLOOKUP(L$7,'Property Calc_Min. Flow'!$E$3:$EJ$25,MATCH('HMB_Min Op. Case'!$B10,'Property Calc_Min. Flow'!$C$3:$C$24,0),FALSE)</f>
        <v>442.79502788053554</v>
      </c>
      <c r="M10" s="410">
        <f>HLOOKUP(M$7,'Property Calc_Min. Flow'!$E$3:$EJ$25,MATCH('HMB_Min Op. Case'!$B10,'Property Calc_Min. Flow'!$C$3:$C$24,0),FALSE)</f>
        <v>442.79502788053554</v>
      </c>
      <c r="N10" s="410">
        <f>HLOOKUP(N$7,'Property Calc_Min. Flow'!$E$3:$EJ$25,MATCH('HMB_Min Op. Case'!$B10,'Property Calc_Min. Flow'!$C$3:$C$24,0),FALSE)</f>
        <v>98.313427671655774</v>
      </c>
      <c r="O10" s="410">
        <f>HLOOKUP(O$7,'Property Calc_Min. Flow'!$E$3:$EJ$25,MATCH('HMB_Min Op. Case'!$B10,'Property Calc_Min. Flow'!$C$3:$C$24,0),FALSE)</f>
        <v>192.97452883311902</v>
      </c>
      <c r="P10" s="410">
        <f>HLOOKUP(P$7,'Property Calc_Min. Flow'!$E$3:$EJ$25,MATCH('HMB_Min Op. Case'!$B10,'Property Calc_Min. Flow'!$C$3:$C$24,0),FALSE)</f>
        <v>192.97452883311902</v>
      </c>
      <c r="Q10" s="410">
        <f>HLOOKUP(Q$7,'Property Calc_Min. Flow'!$E$3:$EJ$25,MATCH('HMB_Min Op. Case'!$B10,'Property Calc_Min. Flow'!$C$3:$C$24,0),FALSE)</f>
        <v>192.97452883311902</v>
      </c>
      <c r="R10" s="410">
        <f>HLOOKUP(R$7,'Property Calc_Min. Flow'!$E$3:$EJ$25,MATCH('HMB_Min Op. Case'!$B10,'Property Calc_Min. Flow'!$C$3:$C$24,0),FALSE)</f>
        <v>151.50707137576077</v>
      </c>
      <c r="S10" s="410">
        <f>HLOOKUP(S$7,'Property Calc_Min. Flow'!$E$3:$EJ$25,MATCH('HMB_Min Op. Case'!$B10,'Property Calc_Min. Flow'!$C$3:$C$24,0),FALSE)</f>
        <v>151.50707137576077</v>
      </c>
      <c r="T10" s="410">
        <f>HLOOKUP(T$7,'Property Calc_Min. Flow'!$E$3:$EJ$25,MATCH('HMB_Min Op. Case'!$B10,'Property Calc_Min. Flow'!$C$3:$C$24,0),FALSE)</f>
        <v>151.50707137576077</v>
      </c>
      <c r="U10" s="410">
        <f>HLOOKUP(U$7,'Property Calc_Min. Flow'!$E$3:$EJ$25,MATCH('HMB_Min Op. Case'!$B10,'Property Calc_Min. Flow'!$C$3:$C$24,0),FALSE)</f>
        <v>151.50707137576077</v>
      </c>
      <c r="V10" s="410">
        <f>HLOOKUP(V$7,'Property Calc_Min. Flow'!$E$3:$EJ$25,MATCH('HMB_Min Op. Case'!$B10,'Property Calc_Min. Flow'!$C$3:$C$24,0),FALSE)</f>
        <v>151.50707137576077</v>
      </c>
      <c r="W10" s="410">
        <f>HLOOKUP(W$7,'Property Calc_Design Flow'!$E$3:$EJ$25,MATCH('HMB_Min Op. Case'!$B10,'Property Calc_Design Flow'!$C$3:$C$24,0),FALSE)</f>
        <v>1.8216379120248329</v>
      </c>
    </row>
    <row r="11" spans="1:23" x14ac:dyDescent="0.35">
      <c r="B11" s="19" t="s">
        <v>28</v>
      </c>
      <c r="C11" s="410" t="s">
        <v>29</v>
      </c>
      <c r="D11" s="410">
        <f>HLOOKUP(D$7,'Property Calc_Min. Flow'!$E$3:$EJ$25,MATCH('HMB_Min Op. Case'!$B11,'Property Calc_Min. Flow'!$C$3:$C$24,0),FALSE)</f>
        <v>47.002792442814403</v>
      </c>
      <c r="E11" s="410">
        <f>HLOOKUP(E$7,'Property Calc_Min. Flow'!$E$3:$EJ$25,MATCH('HMB_Min Op. Case'!$B11,'Property Calc_Min. Flow'!$C$3:$C$24,0),FALSE)</f>
        <v>48.210428037692317</v>
      </c>
      <c r="F11" s="410">
        <f>HLOOKUP(F$7,'Property Calc_Min. Flow'!$E$3:$EJ$25,MATCH('HMB_Min Op. Case'!$B11,'Property Calc_Min. Flow'!$C$3:$C$24,0),FALSE)</f>
        <v>48.522671742599655</v>
      </c>
      <c r="G11" s="410">
        <f>HLOOKUP(G$7,'Property Calc_Min. Flow'!$E$3:$EJ$25,MATCH('HMB_Min Op. Case'!$B11,'Property Calc_Min. Flow'!$C$3:$C$24,0),FALSE)</f>
        <v>89.663265469748552</v>
      </c>
      <c r="H11" s="410">
        <f>HLOOKUP(H$7,'Property Calc_Min. Flow'!$E$3:$EJ$25,MATCH('HMB_Min Op. Case'!$B11,'Property Calc_Min. Flow'!$C$3:$C$24,0),FALSE)</f>
        <v>41.12140603664907</v>
      </c>
      <c r="I11" s="410">
        <f>HLOOKUP(I$7,'Property Calc_Min. Flow'!$E$3:$EJ$25,MATCH('HMB_Min Op. Case'!$B11,'Property Calc_Min. Flow'!$C$3:$C$24,0),FALSE)</f>
        <v>33.461273776356101</v>
      </c>
      <c r="J11" s="410">
        <f>HLOOKUP(J$7,'Property Calc_Min. Flow'!$E$3:$EJ$25,MATCH('HMB_Min Op. Case'!$B11,'Property Calc_Min. Flow'!$C$3:$C$24,0),FALSE)</f>
        <v>33.088700312767145</v>
      </c>
      <c r="K11" s="410">
        <f>HLOOKUP(K$7,'Property Calc_Min. Flow'!$E$3:$EJ$25,MATCH('HMB_Min Op. Case'!$B11,'Property Calc_Min. Flow'!$C$3:$C$24,0),FALSE)</f>
        <v>29.564182396369468</v>
      </c>
      <c r="L11" s="410">
        <f>HLOOKUP(L$7,'Property Calc_Min. Flow'!$E$3:$EJ$25,MATCH('HMB_Min Op. Case'!$B11,'Property Calc_Min. Flow'!$C$3:$C$24,0),FALSE)</f>
        <v>30.298586433686019</v>
      </c>
      <c r="M11" s="410">
        <f>HLOOKUP(M$7,'Property Calc_Min. Flow'!$E$3:$EJ$25,MATCH('HMB_Min Op. Case'!$B11,'Property Calc_Min. Flow'!$C$3:$C$24,0),FALSE)</f>
        <v>30.443071824404601</v>
      </c>
      <c r="N11" s="410">
        <f>HLOOKUP(N$7,'Property Calc_Min. Flow'!$E$3:$EJ$25,MATCH('HMB_Min Op. Case'!$B11,'Property Calc_Min. Flow'!$C$3:$C$24,0),FALSE)</f>
        <v>90.281206180108171</v>
      </c>
      <c r="O11" s="410">
        <f>HLOOKUP(O$7,'Property Calc_Min. Flow'!$E$3:$EJ$25,MATCH('HMB_Min Op. Case'!$B11,'Property Calc_Min. Flow'!$C$3:$C$24,0),FALSE)</f>
        <v>170.64779361787129</v>
      </c>
      <c r="P11" s="410">
        <f>HLOOKUP(P$7,'Property Calc_Min. Flow'!$E$3:$EJ$25,MATCH('HMB_Min Op. Case'!$B11,'Property Calc_Min. Flow'!$C$3:$C$24,0),FALSE)</f>
        <v>48.597508865728777</v>
      </c>
      <c r="Q11" s="410">
        <f>HLOOKUP(Q$7,'Property Calc_Min. Flow'!$E$3:$EJ$25,MATCH('HMB_Min Op. Case'!$B11,'Property Calc_Min. Flow'!$C$3:$C$24,0),FALSE)</f>
        <v>40.721236333807873</v>
      </c>
      <c r="R11" s="410">
        <f>HLOOKUP(R$7,'Property Calc_Min. Flow'!$E$3:$EJ$25,MATCH('HMB_Min Op. Case'!$B11,'Property Calc_Min. Flow'!$C$3:$C$24,0),FALSE)</f>
        <v>13.306649336996855</v>
      </c>
      <c r="S11" s="410">
        <f>HLOOKUP(S$7,'Property Calc_Min. Flow'!$E$3:$EJ$25,MATCH('HMB_Min Op. Case'!$B11,'Property Calc_Min. Flow'!$C$3:$C$24,0),FALSE)</f>
        <v>10.049301816226395</v>
      </c>
      <c r="T11" s="410">
        <f>HLOOKUP(T$7,'Property Calc_Min. Flow'!$E$3:$EJ$25,MATCH('HMB_Min Op. Case'!$B11,'Property Calc_Min. Flow'!$C$3:$C$24,0),FALSE)</f>
        <v>8.6508183791374584</v>
      </c>
      <c r="U11" s="410">
        <f>HLOOKUP(U$7,'Property Calc_Min. Flow'!$E$3:$EJ$25,MATCH('HMB_Min Op. Case'!$B11,'Property Calc_Min. Flow'!$C$3:$C$24,0),FALSE)</f>
        <v>8.468323982757008</v>
      </c>
      <c r="V11" s="410">
        <f>HLOOKUP(V$7,'Property Calc_Min. Flow'!$E$3:$EJ$25,MATCH('HMB_Min Op. Case'!$B11,'Property Calc_Min. Flow'!$C$3:$C$24,0),FALSE)</f>
        <v>8.498600436038231</v>
      </c>
      <c r="W11" s="410">
        <f>HLOOKUP(W$7,'Property Calc_Design Flow'!$E$3:$EJ$25,MATCH('HMB_Min Op. Case'!$B11,'Property Calc_Design Flow'!$C$3:$C$24,0),FALSE)</f>
        <v>0.19115182818489121</v>
      </c>
    </row>
    <row r="12" spans="1:23" x14ac:dyDescent="0.35">
      <c r="B12" s="19" t="s">
        <v>2</v>
      </c>
      <c r="C12" s="410" t="s">
        <v>3</v>
      </c>
      <c r="D12" s="410">
        <f>HLOOKUP(D$7,'Property Calc_Min. Flow'!$E$3:$EJ$25,MATCH('HMB_Min Op. Case'!$B12,'Property Calc_Min. Flow'!$C$3:$C$24,0),FALSE)</f>
        <v>1065.4435294737675</v>
      </c>
      <c r="E12" s="410">
        <f>HLOOKUP(E$7,'Property Calc_Min. Flow'!$E$3:$EJ$25,MATCH('HMB_Min Op. Case'!$B12,'Property Calc_Min. Flow'!$C$3:$C$24,0),FALSE)</f>
        <v>1065.3815648511845</v>
      </c>
      <c r="F12" s="410">
        <f>HLOOKUP(F$7,'Property Calc_Min. Flow'!$E$3:$EJ$25,MATCH('HMB_Min Op. Case'!$B12,'Property Calc_Min. Flow'!$C$3:$C$24,0),FALSE)</f>
        <v>1065.3815648511845</v>
      </c>
      <c r="G12" s="410">
        <f>HLOOKUP(G$7,'Property Calc_Min. Flow'!$E$3:$EJ$25,MATCH('HMB_Min Op. Case'!$B12,'Property Calc_Min. Flow'!$C$3:$C$24,0),FALSE)</f>
        <v>1954.1182430353122</v>
      </c>
      <c r="H12" s="410">
        <f>HLOOKUP(H$7,'Property Calc_Min. Flow'!$E$3:$EJ$25,MATCH('HMB_Min Op. Case'!$B12,'Property Calc_Min. Flow'!$C$3:$C$24,0),FALSE)</f>
        <v>1954.1182430353122</v>
      </c>
      <c r="I12" s="410">
        <f>HLOOKUP(I$7,'Property Calc_Min. Flow'!$E$3:$EJ$25,MATCH('HMB_Min Op. Case'!$B12,'Property Calc_Min. Flow'!$C$3:$C$24,0),FALSE)</f>
        <v>1954.1182430353122</v>
      </c>
      <c r="J12" s="410">
        <f>HLOOKUP(J$7,'Property Calc_Min. Flow'!$E$3:$EJ$25,MATCH('HMB_Min Op. Case'!$B12,'Property Calc_Min. Flow'!$C$3:$C$24,0),FALSE)</f>
        <v>1954.1182430353122</v>
      </c>
      <c r="K12" s="410">
        <f>HLOOKUP(K$7,'Property Calc_Min. Flow'!$E$3:$EJ$25,MATCH('HMB_Min Op. Case'!$B12,'Property Calc_Min. Flow'!$C$3:$C$24,0),FALSE)</f>
        <v>1953.5541207668011</v>
      </c>
      <c r="L12" s="410">
        <f>HLOOKUP(L$7,'Property Calc_Min. Flow'!$E$3:$EJ$25,MATCH('HMB_Min Op. Case'!$B12,'Property Calc_Min. Flow'!$C$3:$C$24,0),FALSE)</f>
        <v>1953.5541207668011</v>
      </c>
      <c r="M12" s="410">
        <f>HLOOKUP(M$7,'Property Calc_Min. Flow'!$E$3:$EJ$25,MATCH('HMB_Min Op. Case'!$B12,'Property Calc_Min. Flow'!$C$3:$C$24,0),FALSE)</f>
        <v>1953.5541207668011</v>
      </c>
      <c r="N12" s="410">
        <f>HLOOKUP(N$7,'Property Calc_Min. Flow'!$E$3:$EJ$25,MATCH('HMB_Min Op. Case'!$B12,'Property Calc_Min. Flow'!$C$3:$C$24,0),FALSE)</f>
        <v>674.91782397316604</v>
      </c>
      <c r="O12" s="410">
        <f>HLOOKUP(O$7,'Property Calc_Min. Flow'!$E$3:$EJ$25,MATCH('HMB_Min Op. Case'!$B12,'Property Calc_Min. Flow'!$C$3:$C$24,0),FALSE)</f>
        <v>888.73667818412753</v>
      </c>
      <c r="P12" s="410">
        <f>HLOOKUP(P$7,'Property Calc_Min. Flow'!$E$3:$EJ$25,MATCH('HMB_Min Op. Case'!$B12,'Property Calc_Min. Flow'!$C$3:$C$24,0),FALSE)</f>
        <v>888.73667818412753</v>
      </c>
      <c r="Q12" s="410">
        <f>HLOOKUP(Q$7,'Property Calc_Min. Flow'!$E$3:$EJ$25,MATCH('HMB_Min Op. Case'!$B12,'Property Calc_Min. Flow'!$C$3:$C$24,0),FALSE)</f>
        <v>888.73667818412753</v>
      </c>
      <c r="R12" s="410">
        <f>HLOOKUP(R$7,'Property Calc_Min. Flow'!$E$3:$EJ$25,MATCH('HMB_Min Op. Case'!$B12,'Property Calc_Min. Flow'!$C$3:$C$24,0),FALSE)</f>
        <v>389.89961860950757</v>
      </c>
      <c r="S12" s="410">
        <f>HLOOKUP(S$7,'Property Calc_Min. Flow'!$E$3:$EJ$25,MATCH('HMB_Min Op. Case'!$B12,'Property Calc_Min. Flow'!$C$3:$C$24,0),FALSE)</f>
        <v>389.89961860950757</v>
      </c>
      <c r="T12" s="410">
        <f>HLOOKUP(T$7,'Property Calc_Min. Flow'!$E$3:$EJ$25,MATCH('HMB_Min Op. Case'!$B12,'Property Calc_Min. Flow'!$C$3:$C$24,0),FALSE)</f>
        <v>389.89961860950757</v>
      </c>
      <c r="U12" s="410">
        <f>HLOOKUP(U$7,'Property Calc_Min. Flow'!$E$3:$EJ$25,MATCH('HMB_Min Op. Case'!$B12,'Property Calc_Min. Flow'!$C$3:$C$24,0),FALSE)</f>
        <v>389.89961860950757</v>
      </c>
      <c r="V12" s="410">
        <f>HLOOKUP(V$7,'Property Calc_Min. Flow'!$E$3:$EJ$25,MATCH('HMB_Min Op. Case'!$B12,'Property Calc_Min. Flow'!$C$3:$C$24,0),FALSE)</f>
        <v>389.89961860950757</v>
      </c>
      <c r="W12" s="410">
        <f>HLOOKUP(W$7,'Property Calc_Design Flow'!$E$3:$EJ$25,MATCH('HMB_Min Op. Case'!$B12,'Property Calc_Design Flow'!$C$3:$C$24,0),FALSE)</f>
        <v>5.1900047708272927</v>
      </c>
    </row>
    <row r="13" spans="1:23" hidden="1" x14ac:dyDescent="0.35">
      <c r="B13" s="19" t="s">
        <v>30</v>
      </c>
      <c r="C13" s="410" t="s">
        <v>31</v>
      </c>
      <c r="D13" s="410">
        <f>HLOOKUP(D$7,'Property Calc_Min. Flow'!$E$3:$EJ$25,MATCH('HMB_Min Op. Case'!$B13,'Property Calc_Min. Flow'!$C$3:$C$24,0),FALSE)</f>
        <v>39.531476455242554</v>
      </c>
      <c r="E13" s="410">
        <f>HLOOKUP(E$7,'Property Calc_Min. Flow'!$E$3:$EJ$25,MATCH('HMB_Min Op. Case'!$B13,'Property Calc_Min. Flow'!$C$3:$C$24,0),FALSE)</f>
        <v>39.529658244486015</v>
      </c>
      <c r="F13" s="410">
        <f>HLOOKUP(F$7,'Property Calc_Min. Flow'!$E$3:$EJ$25,MATCH('HMB_Min Op. Case'!$B13,'Property Calc_Min. Flow'!$C$3:$C$24,0),FALSE)</f>
        <v>39.529658244486015</v>
      </c>
      <c r="G13" s="410">
        <f>HLOOKUP(G$7,'Property Calc_Min. Flow'!$E$3:$EJ$25,MATCH('HMB_Min Op. Case'!$B13,'Property Calc_Min. Flow'!$C$3:$C$24,0),FALSE)</f>
        <v>70.040269143290061</v>
      </c>
      <c r="H13" s="410">
        <f>HLOOKUP(H$7,'Property Calc_Min. Flow'!$E$3:$EJ$25,MATCH('HMB_Min Op. Case'!$B13,'Property Calc_Min. Flow'!$C$3:$C$24,0),FALSE)</f>
        <v>70.040269143290061</v>
      </c>
      <c r="I13" s="410">
        <f>HLOOKUP(I$7,'Property Calc_Min. Flow'!$E$3:$EJ$25,MATCH('HMB_Min Op. Case'!$B13,'Property Calc_Min. Flow'!$C$3:$C$24,0),FALSE)</f>
        <v>70.040269143290061</v>
      </c>
      <c r="J13" s="410">
        <f>HLOOKUP(J$7,'Property Calc_Min. Flow'!$E$3:$EJ$25,MATCH('HMB_Min Op. Case'!$B13,'Property Calc_Min. Flow'!$C$3:$C$24,0),FALSE)</f>
        <v>70.040269143290061</v>
      </c>
      <c r="K13" s="410">
        <f>HLOOKUP(K$7,'Property Calc_Min. Flow'!$E$3:$EJ$25,MATCH('HMB_Min Op. Case'!$B13,'Property Calc_Min. Flow'!$C$3:$C$24,0),FALSE)</f>
        <v>70.008963800975351</v>
      </c>
      <c r="L13" s="410">
        <f>HLOOKUP(L$7,'Property Calc_Min. Flow'!$E$3:$EJ$25,MATCH('HMB_Min Op. Case'!$B13,'Property Calc_Min. Flow'!$C$3:$C$24,0),FALSE)</f>
        <v>70.008963800975351</v>
      </c>
      <c r="M13" s="410">
        <f>HLOOKUP(M$7,'Property Calc_Min. Flow'!$E$3:$EJ$25,MATCH('HMB_Min Op. Case'!$B13,'Property Calc_Min. Flow'!$C$3:$C$24,0),FALSE)</f>
        <v>70.008963800975351</v>
      </c>
      <c r="N13" s="410">
        <f>HLOOKUP(N$7,'Property Calc_Min. Flow'!$E$3:$EJ$25,MATCH('HMB_Min Op. Case'!$B13,'Property Calc_Min. Flow'!$C$3:$C$24,0),FALSE)</f>
        <v>15.544034520802512</v>
      </c>
      <c r="O13" s="410">
        <f>HLOOKUP(O$7,'Property Calc_Min. Flow'!$E$3:$EJ$25,MATCH('HMB_Min Op. Case'!$B13,'Property Calc_Min. Flow'!$C$3:$C$24,0),FALSE)</f>
        <v>30.510610898804032</v>
      </c>
      <c r="P13" s="410">
        <f>HLOOKUP(P$7,'Property Calc_Min. Flow'!$E$3:$EJ$25,MATCH('HMB_Min Op. Case'!$B13,'Property Calc_Min. Flow'!$C$3:$C$24,0),FALSE)</f>
        <v>30.510610898804032</v>
      </c>
      <c r="Q13" s="410">
        <f>HLOOKUP(Q$7,'Property Calc_Min. Flow'!$E$3:$EJ$25,MATCH('HMB_Min Op. Case'!$B13,'Property Calc_Min. Flow'!$C$3:$C$24,0),FALSE)</f>
        <v>30.510610898804032</v>
      </c>
      <c r="R13" s="410">
        <f>HLOOKUP(R$7,'Property Calc_Min. Flow'!$E$3:$EJ$25,MATCH('HMB_Min Op. Case'!$B13,'Property Calc_Min. Flow'!$C$3:$C$24,0),FALSE)</f>
        <v>23.9543183813688</v>
      </c>
      <c r="S13" s="410">
        <f>HLOOKUP(S$7,'Property Calc_Min. Flow'!$E$3:$EJ$25,MATCH('HMB_Min Op. Case'!$B13,'Property Calc_Min. Flow'!$C$3:$C$24,0),FALSE)</f>
        <v>23.9543183813688</v>
      </c>
      <c r="T13" s="410">
        <f>HLOOKUP(T$7,'Property Calc_Min. Flow'!$E$3:$EJ$25,MATCH('HMB_Min Op. Case'!$B13,'Property Calc_Min. Flow'!$C$3:$C$24,0),FALSE)</f>
        <v>23.9543183813688</v>
      </c>
      <c r="U13" s="410">
        <f>HLOOKUP(U$7,'Property Calc_Min. Flow'!$E$3:$EJ$25,MATCH('HMB_Min Op. Case'!$B13,'Property Calc_Min. Flow'!$C$3:$C$24,0),FALSE)</f>
        <v>23.9543183813688</v>
      </c>
      <c r="V13" s="410">
        <f>HLOOKUP(V$7,'Property Calc_Min. Flow'!$E$3:$EJ$25,MATCH('HMB_Min Op. Case'!$B13,'Property Calc_Min. Flow'!$C$3:$C$24,0),FALSE)</f>
        <v>23.9543183813688</v>
      </c>
      <c r="W13" s="410">
        <f>HLOOKUP(W$7,'Property Calc_Design Flow'!$E$3:$EJ$25,MATCH('HMB_Min Op. Case'!$B13,'Property Calc_Design Flow'!$C$3:$C$24,0),FALSE)</f>
        <v>0.28801358328675319</v>
      </c>
    </row>
    <row r="14" spans="1:23" x14ac:dyDescent="0.35">
      <c r="B14" s="19" t="s">
        <v>18</v>
      </c>
      <c r="C14" s="410"/>
      <c r="D14" s="410">
        <f>HLOOKUP(D$7,'Property Calc_Min. Flow'!$E$3:$EJ$25,MATCH('HMB_Min Op. Case'!$B14,'Property Calc_Min. Flow'!$C$3:$C$24,0),FALSE)</f>
        <v>26.951776786785594</v>
      </c>
      <c r="E14" s="410">
        <f>HLOOKUP(E$7,'Property Calc_Min. Flow'!$E$3:$EJ$25,MATCH('HMB_Min Op. Case'!$B14,'Property Calc_Min. Flow'!$C$3:$C$24,0),FALSE)</f>
        <v>26.951448916201912</v>
      </c>
      <c r="F14" s="410">
        <f>HLOOKUP(F$7,'Property Calc_Min. Flow'!$E$3:$EJ$25,MATCH('HMB_Min Op. Case'!$B14,'Property Calc_Min. Flow'!$C$3:$C$24,0),FALSE)</f>
        <v>26.951448916201912</v>
      </c>
      <c r="G14" s="410">
        <f>HLOOKUP(G$7,'Property Calc_Min. Flow'!$E$3:$EJ$25,MATCH('HMB_Min Op. Case'!$B14,'Property Calc_Min. Flow'!$C$3:$C$24,0),FALSE)</f>
        <v>27.899924813788626</v>
      </c>
      <c r="H14" s="410">
        <f>HLOOKUP(H$7,'Property Calc_Min. Flow'!$E$3:$EJ$25,MATCH('HMB_Min Op. Case'!$B14,'Property Calc_Min. Flow'!$C$3:$C$24,0),FALSE)</f>
        <v>27.899924813788626</v>
      </c>
      <c r="I14" s="410">
        <f>HLOOKUP(I$7,'Property Calc_Min. Flow'!$E$3:$EJ$25,MATCH('HMB_Min Op. Case'!$B14,'Property Calc_Min. Flow'!$C$3:$C$24,0),FALSE)</f>
        <v>27.899924813788626</v>
      </c>
      <c r="J14" s="410">
        <f>HLOOKUP(J$7,'Property Calc_Min. Flow'!$E$3:$EJ$25,MATCH('HMB_Min Op. Case'!$B14,'Property Calc_Min. Flow'!$C$3:$C$24,0),FALSE)</f>
        <v>27.899924813788626</v>
      </c>
      <c r="K14" s="410">
        <f>HLOOKUP(K$7,'Property Calc_Min. Flow'!$E$3:$EJ$25,MATCH('HMB_Min Op. Case'!$B14,'Property Calc_Min. Flow'!$C$3:$C$24,0),FALSE)</f>
        <v>27.90434273988761</v>
      </c>
      <c r="L14" s="410">
        <f>HLOOKUP(L$7,'Property Calc_Min. Flow'!$E$3:$EJ$25,MATCH('HMB_Min Op. Case'!$B14,'Property Calc_Min. Flow'!$C$3:$C$24,0),FALSE)</f>
        <v>27.90434273988761</v>
      </c>
      <c r="M14" s="410">
        <f>HLOOKUP(M$7,'Property Calc_Min. Flow'!$E$3:$EJ$25,MATCH('HMB_Min Op. Case'!$B14,'Property Calc_Min. Flow'!$C$3:$C$24,0),FALSE)</f>
        <v>27.90434273988761</v>
      </c>
      <c r="N14" s="410">
        <f>HLOOKUP(N$7,'Property Calc_Min. Flow'!$E$3:$EJ$25,MATCH('HMB_Min Op. Case'!$B14,'Property Calc_Min. Flow'!$C$3:$C$24,0),FALSE)</f>
        <v>43.419732700022415</v>
      </c>
      <c r="O14" s="410">
        <f>HLOOKUP(O$7,'Property Calc_Min. Flow'!$E$3:$EJ$25,MATCH('HMB_Min Op. Case'!$B14,'Property Calc_Min. Flow'!$C$3:$C$24,0),FALSE)</f>
        <v>29.128773629995216</v>
      </c>
      <c r="P14" s="410">
        <f>HLOOKUP(P$7,'Property Calc_Min. Flow'!$E$3:$EJ$25,MATCH('HMB_Min Op. Case'!$B14,'Property Calc_Min. Flow'!$C$3:$C$24,0),FALSE)</f>
        <v>29.128773629995216</v>
      </c>
      <c r="Q14" s="410">
        <f>HLOOKUP(Q$7,'Property Calc_Min. Flow'!$E$3:$EJ$25,MATCH('HMB_Min Op. Case'!$B14,'Property Calc_Min. Flow'!$C$3:$C$24,0),FALSE)</f>
        <v>29.128773629995216</v>
      </c>
      <c r="R14" s="410">
        <f>HLOOKUP(R$7,'Property Calc_Min. Flow'!$E$3:$EJ$25,MATCH('HMB_Min Op. Case'!$B14,'Property Calc_Min. Flow'!$C$3:$C$24,0),FALSE)</f>
        <v>16.276798713369523</v>
      </c>
      <c r="S14" s="410">
        <f>HLOOKUP(S$7,'Property Calc_Min. Flow'!$E$3:$EJ$25,MATCH('HMB_Min Op. Case'!$B14,'Property Calc_Min. Flow'!$C$3:$C$24,0),FALSE)</f>
        <v>16.276798713369523</v>
      </c>
      <c r="T14" s="410">
        <f>HLOOKUP(T$7,'Property Calc_Min. Flow'!$E$3:$EJ$25,MATCH('HMB_Min Op. Case'!$B14,'Property Calc_Min. Flow'!$C$3:$C$24,0),FALSE)</f>
        <v>16.276798713369523</v>
      </c>
      <c r="U14" s="410">
        <f>HLOOKUP(U$7,'Property Calc_Min. Flow'!$E$3:$EJ$25,MATCH('HMB_Min Op. Case'!$B14,'Property Calc_Min. Flow'!$C$3:$C$24,0),FALSE)</f>
        <v>16.276798713369523</v>
      </c>
      <c r="V14" s="410">
        <f>HLOOKUP(V$7,'Property Calc_Min. Flow'!$E$3:$EJ$25,MATCH('HMB_Min Op. Case'!$B14,'Property Calc_Min. Flow'!$C$3:$C$24,0),FALSE)</f>
        <v>16.276798713369523</v>
      </c>
      <c r="W14" s="410">
        <f>HLOOKUP(W$7,'Property Calc_Design Flow'!$E$3:$EJ$25,MATCH('HMB_Min Op. Case'!$B14,'Property Calc_Design Flow'!$C$3:$C$24,0),FALSE)</f>
        <v>18.02</v>
      </c>
    </row>
    <row r="15" spans="1:23" x14ac:dyDescent="0.35">
      <c r="B15" s="19" t="s">
        <v>22</v>
      </c>
      <c r="C15" s="410" t="s">
        <v>23</v>
      </c>
      <c r="D15" s="410">
        <f>HLOOKUP(D$7,'Property Calc_Min. Flow'!$E$3:$EJ$25,MATCH('HMB_Min Op. Case'!$B15,'Property Calc_Min. Flow'!$C$3:$C$24,0),FALSE)</f>
        <v>0.99980339092408077</v>
      </c>
      <c r="E15" s="410">
        <f>HLOOKUP(E$7,'Property Calc_Min. Flow'!$E$3:$EJ$25,MATCH('HMB_Min Op. Case'!$B15,'Property Calc_Min. Flow'!$C$3:$C$24,0),FALSE)</f>
        <v>0.99980339092408088</v>
      </c>
      <c r="F15" s="410">
        <f>HLOOKUP(F$7,'Property Calc_Min. Flow'!$E$3:$EJ$25,MATCH('HMB_Min Op. Case'!$B15,'Property Calc_Min. Flow'!$C$3:$C$24,0),FALSE)</f>
        <v>0.99980339092408088</v>
      </c>
      <c r="G15" s="410">
        <f>HLOOKUP(G$7,'Property Calc_Min. Flow'!$E$3:$EJ$25,MATCH('HMB_Min Op. Case'!$B15,'Property Calc_Min. Flow'!$C$3:$C$24,0),FALSE)</f>
        <v>0.99980339092408066</v>
      </c>
      <c r="H15" s="410">
        <f>HLOOKUP(H$7,'Property Calc_Min. Flow'!$E$3:$EJ$25,MATCH('HMB_Min Op. Case'!$B15,'Property Calc_Min. Flow'!$C$3:$C$24,0),FALSE)</f>
        <v>0.99980339092408033</v>
      </c>
      <c r="I15" s="410">
        <f>HLOOKUP(I$7,'Property Calc_Min. Flow'!$E$3:$EJ$25,MATCH('HMB_Min Op. Case'!$B15,'Property Calc_Min. Flow'!$C$3:$C$24,0),FALSE)</f>
        <v>0.99980339092408044</v>
      </c>
      <c r="J15" s="410">
        <f>HLOOKUP(J$7,'Property Calc_Min. Flow'!$E$3:$EJ$25,MATCH('HMB_Min Op. Case'!$B15,'Property Calc_Min. Flow'!$C$3:$C$24,0),FALSE)</f>
        <v>0.99980339092408022</v>
      </c>
      <c r="K15" s="410">
        <f>HLOOKUP(K$7,'Property Calc_Min. Flow'!$E$3:$EJ$25,MATCH('HMB_Min Op. Case'!$B15,'Property Calc_Min. Flow'!$C$3:$C$24,0),FALSE)</f>
        <v>0.99980339092408044</v>
      </c>
      <c r="L15" s="410">
        <f>HLOOKUP(L$7,'Property Calc_Min. Flow'!$E$3:$EJ$25,MATCH('HMB_Min Op. Case'!$B15,'Property Calc_Min. Flow'!$C$3:$C$24,0),FALSE)</f>
        <v>0.99980339092408044</v>
      </c>
      <c r="M15" s="410">
        <f>HLOOKUP(M$7,'Property Calc_Min. Flow'!$E$3:$EJ$25,MATCH('HMB_Min Op. Case'!$B15,'Property Calc_Min. Flow'!$C$3:$C$24,0),FALSE)</f>
        <v>0.99980339092408044</v>
      </c>
      <c r="N15" s="410">
        <f>HLOOKUP(N$7,'Property Calc_Min. Flow'!$E$3:$EJ$25,MATCH('HMB_Min Op. Case'!$B15,'Property Calc_Min. Flow'!$C$3:$C$24,0),FALSE)</f>
        <v>0.99980339092408022</v>
      </c>
      <c r="O15" s="410">
        <f>HLOOKUP(O$7,'Property Calc_Min. Flow'!$E$3:$EJ$25,MATCH('HMB_Min Op. Case'!$B15,'Property Calc_Min. Flow'!$C$3:$C$24,0),FALSE)</f>
        <v>0.99980339092408033</v>
      </c>
      <c r="P15" s="410">
        <f>HLOOKUP(P$7,'Property Calc_Min. Flow'!$E$3:$EJ$25,MATCH('HMB_Min Op. Case'!$B15,'Property Calc_Min. Flow'!$C$3:$C$24,0),FALSE)</f>
        <v>0.99980339092408066</v>
      </c>
      <c r="Q15" s="410">
        <f>HLOOKUP(Q$7,'Property Calc_Min. Flow'!$E$3:$EJ$25,MATCH('HMB_Min Op. Case'!$B15,'Property Calc_Min. Flow'!$C$3:$C$24,0),FALSE)</f>
        <v>0.99980339092408066</v>
      </c>
      <c r="R15" s="410">
        <f>HLOOKUP(R$7,'Property Calc_Min. Flow'!$E$3:$EJ$25,MATCH('HMB_Min Op. Case'!$B15,'Property Calc_Min. Flow'!$C$3:$C$24,0),FALSE)</f>
        <v>0.99980339092408044</v>
      </c>
      <c r="S15" s="410">
        <f>HLOOKUP(S$7,'Property Calc_Min. Flow'!$E$3:$EJ$25,MATCH('HMB_Min Op. Case'!$B15,'Property Calc_Min. Flow'!$C$3:$C$24,0),FALSE)</f>
        <v>0.99980339092408055</v>
      </c>
      <c r="T15" s="410">
        <f>HLOOKUP(T$7,'Property Calc_Min. Flow'!$E$3:$EJ$25,MATCH('HMB_Min Op. Case'!$B15,'Property Calc_Min. Flow'!$C$3:$C$24,0),FALSE)</f>
        <v>0.99980339092408044</v>
      </c>
      <c r="U15" s="410">
        <f>HLOOKUP(U$7,'Property Calc_Min. Flow'!$E$3:$EJ$25,MATCH('HMB_Min Op. Case'!$B15,'Property Calc_Min. Flow'!$C$3:$C$24,0),FALSE)</f>
        <v>0.99980339092408022</v>
      </c>
      <c r="V15" s="410">
        <f>HLOOKUP(V$7,'Property Calc_Min. Flow'!$E$3:$EJ$25,MATCH('HMB_Min Op. Case'!$B15,'Property Calc_Min. Flow'!$C$3:$C$24,0),FALSE)</f>
        <v>0.99980339092408088</v>
      </c>
      <c r="W15" s="410">
        <f>HLOOKUP(W$7,'Property Calc_Design Flow'!$E$3:$EJ$25,MATCH('HMB_Min Op. Case'!$B15,'Property Calc_Design Flow'!$C$3:$C$24,0),FALSE)</f>
        <v>0.99980339092408044</v>
      </c>
    </row>
    <row r="16" spans="1:23" x14ac:dyDescent="0.35">
      <c r="B16" s="19" t="s">
        <v>20</v>
      </c>
      <c r="C16" s="410" t="s">
        <v>21</v>
      </c>
      <c r="D16" s="410">
        <f>HLOOKUP(D$7,'Property Calc_Min. Flow'!$E$3:$EJ$25,MATCH('HMB_Min Op. Case'!$B16,'Property Calc_Min. Flow'!$C$3:$C$24,0),FALSE)</f>
        <v>0.37782375152342473</v>
      </c>
      <c r="E16" s="410">
        <f>HLOOKUP(E$7,'Property Calc_Min. Flow'!$E$3:$EJ$25,MATCH('HMB_Min Op. Case'!$B16,'Property Calc_Min. Flow'!$C$3:$C$24,0),FALSE)</f>
        <v>0.36833812251189052</v>
      </c>
      <c r="F16" s="410">
        <f>HLOOKUP(F$7,'Property Calc_Min. Flow'!$E$3:$EJ$25,MATCH('HMB_Min Op. Case'!$B16,'Property Calc_Min. Flow'!$C$3:$C$24,0),FALSE)</f>
        <v>0.36596786432326828</v>
      </c>
      <c r="G16" s="410">
        <f>HLOOKUP(G$7,'Property Calc_Min. Flow'!$E$3:$EJ$25,MATCH('HMB_Min Op. Case'!$B16,'Property Calc_Min. Flow'!$C$3:$C$24,0),FALSE)</f>
        <v>0.36326099452416938</v>
      </c>
      <c r="H16" s="410">
        <f>HLOOKUP(H$7,'Property Calc_Min. Flow'!$E$3:$EJ$25,MATCH('HMB_Min Op. Case'!$B16,'Property Calc_Min. Flow'!$C$3:$C$24,0),FALSE)</f>
        <v>0.79207328070924243</v>
      </c>
      <c r="I16" s="410">
        <f>HLOOKUP(I$7,'Property Calc_Min. Flow'!$E$3:$EJ$25,MATCH('HMB_Min Op. Case'!$B16,'Property Calc_Min. Flow'!$C$3:$C$24,0),FALSE)</f>
        <v>0.97339889702108173</v>
      </c>
      <c r="J16" s="410">
        <f>HLOOKUP(J$7,'Property Calc_Min. Flow'!$E$3:$EJ$25,MATCH('HMB_Min Op. Case'!$B16,'Property Calc_Min. Flow'!$C$3:$C$24,0),FALSE)</f>
        <v>0.98435921262999948</v>
      </c>
      <c r="K16" s="410">
        <f>HLOOKUP(K$7,'Property Calc_Min. Flow'!$E$3:$EJ$25,MATCH('HMB_Min Op. Case'!$B16,'Property Calc_Min. Flow'!$C$3:$C$24,0),FALSE)</f>
        <v>1.1013923463941364</v>
      </c>
      <c r="L16" s="410">
        <f>HLOOKUP(L$7,'Property Calc_Min. Flow'!$E$3:$EJ$25,MATCH('HMB_Min Op. Case'!$B16,'Property Calc_Min. Flow'!$C$3:$C$24,0),FALSE)</f>
        <v>1.0746958208769557</v>
      </c>
      <c r="M16" s="410">
        <f>HLOOKUP(M$7,'Property Calc_Min. Flow'!$E$3:$EJ$25,MATCH('HMB_Min Op. Case'!$B16,'Property Calc_Min. Flow'!$C$3:$C$24,0),FALSE)</f>
        <v>1.0695952237204445</v>
      </c>
      <c r="N16" s="410">
        <f>HLOOKUP(N$7,'Property Calc_Min. Flow'!$E$3:$EJ$25,MATCH('HMB_Min Op. Case'!$B16,'Property Calc_Min. Flow'!$C$3:$C$24,0),FALSE)</f>
        <v>0.12460515931899931</v>
      </c>
      <c r="O16" s="410">
        <f>HLOOKUP(O$7,'Property Calc_Min. Flow'!$E$3:$EJ$25,MATCH('HMB_Min Op. Case'!$B16,'Property Calc_Min. Flow'!$C$3:$C$24,0),FALSE)</f>
        <v>8.6807031745741434E-2</v>
      </c>
      <c r="P16" s="410">
        <f>HLOOKUP(P$7,'Property Calc_Min. Flow'!$E$3:$EJ$25,MATCH('HMB_Min Op. Case'!$B16,'Property Calc_Min. Flow'!$C$3:$C$24,0),FALSE)</f>
        <v>0.30481867864576478</v>
      </c>
      <c r="Q16" s="410">
        <f>HLOOKUP(Q$7,'Property Calc_Min. Flow'!$E$3:$EJ$25,MATCH('HMB_Min Op. Case'!$B16,'Property Calc_Min. Flow'!$C$3:$C$24,0),FALSE)</f>
        <v>0.36377649039179044</v>
      </c>
      <c r="R16" s="410">
        <f>HLOOKUP(R$7,'Property Calc_Min. Flow'!$E$3:$EJ$25,MATCH('HMB_Min Op. Case'!$B16,'Property Calc_Min. Flow'!$C$3:$C$24,0),FALSE)</f>
        <v>0.48838979195022642</v>
      </c>
      <c r="S16" s="410">
        <f>HLOOKUP(S$7,'Property Calc_Min. Flow'!$E$3:$EJ$25,MATCH('HMB_Min Op. Case'!$B16,'Property Calc_Min. Flow'!$C$3:$C$24,0),FALSE)</f>
        <v>0.64669484707454861</v>
      </c>
      <c r="T16" s="410">
        <f>HLOOKUP(T$7,'Property Calc_Min. Flow'!$E$3:$EJ$25,MATCH('HMB_Min Op. Case'!$B16,'Property Calc_Min. Flow'!$C$3:$C$24,0),FALSE)</f>
        <v>0.75123894831999527</v>
      </c>
      <c r="U16" s="410">
        <f>HLOOKUP(U$7,'Property Calc_Min. Flow'!$E$3:$EJ$25,MATCH('HMB_Min Op. Case'!$B16,'Property Calc_Min. Flow'!$C$3:$C$24,0),FALSE)</f>
        <v>0.76742832637051583</v>
      </c>
      <c r="V16" s="410">
        <f>HLOOKUP(V$7,'Property Calc_Min. Flow'!$E$3:$EJ$25,MATCH('HMB_Min Op. Case'!$B16,'Property Calc_Min. Flow'!$C$3:$C$24,0),FALSE)</f>
        <v>0.76469434587044216</v>
      </c>
      <c r="W16" s="411">
        <f>HLOOKUP(W$7,'Property Calc_Design Flow'!$E$3:$EJ$25,MATCH('HMB_Min Op. Case'!$B16,'Property Calc_Design Flow'!$C$3:$C$24,0),FALSE)</f>
        <v>0.45255543087399852</v>
      </c>
    </row>
    <row r="17" spans="1:23" x14ac:dyDescent="0.35">
      <c r="B17" s="416" t="s">
        <v>159</v>
      </c>
      <c r="C17" s="415" t="s">
        <v>3</v>
      </c>
      <c r="D17" s="410">
        <f>HLOOKUP(D$7,'Property Calc_Min. Flow'!$E$3:$EJ$25,MATCH('HMB_Min Op. Case'!$B17,'Property Calc_Min. Flow'!$C$3:$C$24,0),FALSE)</f>
        <v>0</v>
      </c>
      <c r="E17" s="410" t="str">
        <f>HLOOKUP(E$7,'Property Calc_Min. Flow'!$E$3:$EJ$25,MATCH('HMB_Min Op. Case'!$B17,'Property Calc_Min. Flow'!$C$3:$C$24,0),FALSE)</f>
        <v/>
      </c>
      <c r="F17" s="410" t="str">
        <f>HLOOKUP(F$7,'Property Calc_Min. Flow'!$E$3:$EJ$25,MATCH('HMB_Min Op. Case'!$B17,'Property Calc_Min. Flow'!$C$3:$C$24,0),FALSE)</f>
        <v/>
      </c>
      <c r="G17" s="410" t="str">
        <f>HLOOKUP(G$7,'Property Calc_Min. Flow'!$E$3:$EJ$25,MATCH('HMB_Min Op. Case'!$B17,'Property Calc_Min. Flow'!$C$3:$C$24,0),FALSE)</f>
        <v/>
      </c>
      <c r="H17" s="410" t="str">
        <f>HLOOKUP(H$7,'Property Calc_Min. Flow'!$E$3:$EJ$25,MATCH('HMB_Min Op. Case'!$B17,'Property Calc_Min. Flow'!$C$3:$C$24,0),FALSE)</f>
        <v/>
      </c>
      <c r="I17" s="410" t="str">
        <f>HLOOKUP(I$7,'Property Calc_Min. Flow'!$E$3:$EJ$25,MATCH('HMB_Min Op. Case'!$B17,'Property Calc_Min. Flow'!$C$3:$C$24,0),FALSE)</f>
        <v/>
      </c>
      <c r="J17" s="410" t="str">
        <f>HLOOKUP(J$7,'Property Calc_Min. Flow'!$E$3:$EJ$25,MATCH('HMB_Min Op. Case'!$B17,'Property Calc_Min. Flow'!$C$3:$C$24,0),FALSE)</f>
        <v/>
      </c>
      <c r="K17" s="410">
        <f>HLOOKUP(K$7,'Property Calc_Min. Flow'!$E$3:$EJ$25,MATCH('HMB_Min Op. Case'!$B17,'Property Calc_Min. Flow'!$C$3:$C$24,0),FALSE)</f>
        <v>0.56412226851112102</v>
      </c>
      <c r="L17" s="410" t="str">
        <f>HLOOKUP(L$7,'Property Calc_Min. Flow'!$E$3:$EJ$25,MATCH('HMB_Min Op. Case'!$B17,'Property Calc_Min. Flow'!$C$3:$C$24,0),FALSE)</f>
        <v/>
      </c>
      <c r="M17" s="410" t="str">
        <f>HLOOKUP(M$7,'Property Calc_Min. Flow'!$E$3:$EJ$25,MATCH('HMB_Min Op. Case'!$B17,'Property Calc_Min. Flow'!$C$3:$C$24,0),FALSE)</f>
        <v/>
      </c>
      <c r="N17" s="410" t="str">
        <f>HLOOKUP(N$7,'Property Calc_Min. Flow'!$E$3:$EJ$25,MATCH('HMB_Min Op. Case'!$B17,'Property Calc_Min. Flow'!$C$3:$C$24,0),FALSE)</f>
        <v/>
      </c>
      <c r="O17" s="410" t="str">
        <f>HLOOKUP(O$7,'Property Calc_Min. Flow'!$E$3:$EJ$25,MATCH('HMB_Min Op. Case'!$B17,'Property Calc_Min. Flow'!$C$3:$C$24,0),FALSE)</f>
        <v/>
      </c>
      <c r="P17" s="410" t="str">
        <f>HLOOKUP(P$7,'Property Calc_Min. Flow'!$E$3:$EJ$25,MATCH('HMB_Min Op. Case'!$B17,'Property Calc_Min. Flow'!$C$3:$C$24,0),FALSE)</f>
        <v/>
      </c>
      <c r="Q17" s="410" t="str">
        <f>HLOOKUP(Q$7,'Property Calc_Min. Flow'!$E$3:$EJ$25,MATCH('HMB_Min Op. Case'!$B17,'Property Calc_Min. Flow'!$C$3:$C$24,0),FALSE)</f>
        <v/>
      </c>
      <c r="R17" s="410" t="str">
        <f>HLOOKUP(R$7,'Property Calc_Min. Flow'!$E$3:$EJ$25,MATCH('HMB_Min Op. Case'!$B17,'Property Calc_Min. Flow'!$C$3:$C$24,0),FALSE)</f>
        <v/>
      </c>
      <c r="S17" s="410" t="str">
        <f>HLOOKUP(S$7,'Property Calc_Min. Flow'!$E$3:$EJ$25,MATCH('HMB_Min Op. Case'!$B17,'Property Calc_Min. Flow'!$C$3:$C$24,0),FALSE)</f>
        <v/>
      </c>
      <c r="T17" s="410" t="str">
        <f>HLOOKUP(T$7,'Property Calc_Min. Flow'!$E$3:$EJ$25,MATCH('HMB_Min Op. Case'!$B17,'Property Calc_Min. Flow'!$C$3:$C$24,0),FALSE)</f>
        <v/>
      </c>
      <c r="U17" s="410" t="str">
        <f>HLOOKUP(U$7,'Property Calc_Min. Flow'!$E$3:$EJ$25,MATCH('HMB_Min Op. Case'!$B17,'Property Calc_Min. Flow'!$C$3:$C$24,0),FALSE)</f>
        <v/>
      </c>
      <c r="V17" s="410" t="str">
        <f>HLOOKUP(V$7,'Property Calc_Min. Flow'!$E$3:$EJ$25,MATCH('HMB_Min Op. Case'!$B17,'Property Calc_Min. Flow'!$C$3:$C$24,0),FALSE)</f>
        <v/>
      </c>
      <c r="W17" s="410">
        <f>HLOOKUP(W$7,'Property Calc_Design Flow'!$E$3:$EJ$25,MATCH('HMB_Min Op. Case'!$B17,'Property Calc_Design Flow'!$C$3:$C$24,0),FALSE)</f>
        <v>5.1900047708272927</v>
      </c>
    </row>
    <row r="18" spans="1:23" x14ac:dyDescent="0.35">
      <c r="B18" s="74" t="s">
        <v>169</v>
      </c>
      <c r="C18" s="534"/>
      <c r="D18" s="535"/>
      <c r="E18" s="535"/>
      <c r="F18" s="535"/>
      <c r="G18" s="535"/>
      <c r="H18" s="535"/>
      <c r="I18" s="535"/>
      <c r="J18" s="535"/>
      <c r="K18" s="535"/>
      <c r="L18" s="535"/>
      <c r="M18" s="535"/>
      <c r="N18" s="535"/>
      <c r="O18" s="535"/>
      <c r="P18" s="535"/>
      <c r="Q18" s="535"/>
      <c r="R18" s="535"/>
      <c r="S18" s="535"/>
      <c r="T18" s="535"/>
      <c r="U18" s="535"/>
      <c r="V18" s="536"/>
    </row>
    <row r="19" spans="1:23" x14ac:dyDescent="0.35">
      <c r="A19" s="77">
        <v>1</v>
      </c>
      <c r="B19" s="19" t="str">
        <f>VLOOKUP($A19,'Property Calc_Design Flow'!$B$18:$D$134,2,FALSE)</f>
        <v>Methane (CH4)</v>
      </c>
      <c r="C19" s="410" t="s">
        <v>122</v>
      </c>
      <c r="D19" s="411">
        <f>HLOOKUP(D$7,'Property Calc_Min. Flow'!$E$3:$EJ$25,MATCH('HMB_Min Op. Case'!$B19,'Property Calc_Min. Flow'!$C$3:$C$24,0),FALSE)</f>
        <v>60.132784065912098</v>
      </c>
      <c r="E19" s="411">
        <f>HLOOKUP(E$7,'Property Calc_Min. Flow'!$E$3:$EJ$25,MATCH('HMB_Min Op. Case'!$B19,'Property Calc_Min. Flow'!$C$3:$C$24,0),FALSE)</f>
        <v>60.135549940439354</v>
      </c>
      <c r="F19" s="411">
        <f>HLOOKUP(F$7,'Property Calc_Min. Flow'!$E$3:$EJ$25,MATCH('HMB_Min Op. Case'!$B19,'Property Calc_Min. Flow'!$C$3:$C$24,0),FALSE)</f>
        <v>60.135549940439354</v>
      </c>
      <c r="G19" s="411">
        <f>HLOOKUP(G$7,'Property Calc_Min. Flow'!$E$3:$EJ$25,MATCH('HMB_Min Op. Case'!$B19,'Property Calc_Min. Flow'!$C$3:$C$24,0),FALSE)</f>
        <v>56.510776844481704</v>
      </c>
      <c r="H19" s="411">
        <f>HLOOKUP(H$7,'Property Calc_Min. Flow'!$E$3:$EJ$25,MATCH('HMB_Min Op. Case'!$B19,'Property Calc_Min. Flow'!$C$3:$C$24,0),FALSE)</f>
        <v>56.510776844481704</v>
      </c>
      <c r="I19" s="411">
        <f>HLOOKUP(I$7,'Property Calc_Min. Flow'!$E$3:$EJ$25,MATCH('HMB_Min Op. Case'!$B19,'Property Calc_Min. Flow'!$C$3:$C$24,0),FALSE)</f>
        <v>56.510776844481704</v>
      </c>
      <c r="J19" s="411">
        <f>HLOOKUP(J$7,'Property Calc_Min. Flow'!$E$3:$EJ$25,MATCH('HMB_Min Op. Case'!$B19,'Property Calc_Min. Flow'!$C$3:$C$24,0),FALSE)</f>
        <v>56.510776844481704</v>
      </c>
      <c r="K19" s="411">
        <f>HLOOKUP(K$7,'Property Calc_Min. Flow'!$E$3:$EJ$25,MATCH('HMB_Min Op. Case'!$B19,'Property Calc_Min. Flow'!$C$3:$C$24,0),FALSE)</f>
        <v>56.536046311669011</v>
      </c>
      <c r="L19" s="411">
        <f>HLOOKUP(L$7,'Property Calc_Min. Flow'!$E$3:$EJ$25,MATCH('HMB_Min Op. Case'!$B19,'Property Calc_Min. Flow'!$C$3:$C$24,0),FALSE)</f>
        <v>56.536046311669011</v>
      </c>
      <c r="M19" s="411">
        <f>HLOOKUP(M$7,'Property Calc_Min. Flow'!$E$3:$EJ$25,MATCH('HMB_Min Op. Case'!$B19,'Property Calc_Min. Flow'!$C$3:$C$24,0),FALSE)</f>
        <v>56.536046311669011</v>
      </c>
      <c r="N19" s="411">
        <f>HLOOKUP(N$7,'Property Calc_Min. Flow'!$E$3:$EJ$25,MATCH('HMB_Min Op. Case'!$B19,'Property Calc_Min. Flow'!$C$3:$C$24,0),FALSE)</f>
        <v>1.5292926262538402</v>
      </c>
      <c r="O19" s="411">
        <f>HLOOKUP(O$7,'Property Calc_Min. Flow'!$E$3:$EJ$25,MATCH('HMB_Min Op. Case'!$B19,'Property Calc_Min. Flow'!$C$3:$C$24,0),FALSE)</f>
        <v>51.814507662187815</v>
      </c>
      <c r="P19" s="411">
        <f>HLOOKUP(P$7,'Property Calc_Min. Flow'!$E$3:$EJ$25,MATCH('HMB_Min Op. Case'!$B19,'Property Calc_Min. Flow'!$C$3:$C$24,0),FALSE)</f>
        <v>51.814507662187815</v>
      </c>
      <c r="Q19" s="411">
        <f>HLOOKUP(Q$7,'Property Calc_Min. Flow'!$E$3:$EJ$25,MATCH('HMB_Min Op. Case'!$B19,'Property Calc_Min. Flow'!$C$3:$C$24,0),FALSE)</f>
        <v>51.814507662187815</v>
      </c>
      <c r="R19" s="411">
        <f>HLOOKUP(R$7,'Property Calc_Min. Flow'!$E$3:$EJ$25,MATCH('HMB_Min Op. Case'!$B19,'Property Calc_Min. Flow'!$C$3:$C$24,0),FALSE)</f>
        <v>98.243929242640988</v>
      </c>
      <c r="S19" s="411">
        <f>HLOOKUP(S$7,'Property Calc_Min. Flow'!$E$3:$EJ$25,MATCH('HMB_Min Op. Case'!$B19,'Property Calc_Min. Flow'!$C$3:$C$24,0),FALSE)</f>
        <v>98.243929242640988</v>
      </c>
      <c r="T19" s="411">
        <f>HLOOKUP(T$7,'Property Calc_Min. Flow'!$E$3:$EJ$25,MATCH('HMB_Min Op. Case'!$B19,'Property Calc_Min. Flow'!$C$3:$C$24,0),FALSE)</f>
        <v>98.243929242640988</v>
      </c>
      <c r="U19" s="411">
        <f>HLOOKUP(U$7,'Property Calc_Min. Flow'!$E$3:$EJ$25,MATCH('HMB_Min Op. Case'!$B19,'Property Calc_Min. Flow'!$C$3:$C$24,0),FALSE)</f>
        <v>98.243929242640988</v>
      </c>
      <c r="V19" s="411">
        <f>HLOOKUP(V$7,'Property Calc_Min. Flow'!$E$3:$EJ$25,MATCH('HMB_Min Op. Case'!$B19,'Property Calc_Min. Flow'!$C$3:$C$24,0),FALSE)</f>
        <v>98.243929242640988</v>
      </c>
      <c r="W19" s="411">
        <f>HLOOKUP(W$7,'Property Calc_Design Flow'!$E$3:$EJ$25,MATCH('HMB_Min Op. Case'!$B19,'Property Calc_Design Flow'!$C$3:$C$24,0),FALSE)</f>
        <v>0</v>
      </c>
    </row>
    <row r="20" spans="1:23" x14ac:dyDescent="0.35">
      <c r="A20" s="77">
        <v>2</v>
      </c>
      <c r="B20" s="19" t="str">
        <f>VLOOKUP($A20,'Property Calc_Design Flow'!$B$18:$D$134,2,FALSE)</f>
        <v>Carbon Dioxide (CO2)</v>
      </c>
      <c r="C20" s="410" t="s">
        <v>122</v>
      </c>
      <c r="D20" s="411">
        <f>HLOOKUP(D$7,'Property Calc_Min. Flow'!$E$3:$EJ$25,MATCH('HMB_Min Op. Case'!$B20,'Property Calc_Min. Flow'!$C$3:$C$24,0),FALSE)</f>
        <v>38.335399752029758</v>
      </c>
      <c r="E20" s="411">
        <f>HLOOKUP(E$7,'Property Calc_Min. Flow'!$E$3:$EJ$25,MATCH('HMB_Min Op. Case'!$B20,'Property Calc_Min. Flow'!$C$3:$C$24,0),FALSE)</f>
        <v>38.337163031533834</v>
      </c>
      <c r="F20" s="411">
        <f>HLOOKUP(F$7,'Property Calc_Min. Flow'!$E$3:$EJ$25,MATCH('HMB_Min Op. Case'!$B20,'Property Calc_Min. Flow'!$C$3:$C$24,0),FALSE)</f>
        <v>38.337163031533834</v>
      </c>
      <c r="G20" s="411">
        <f>HLOOKUP(G$7,'Property Calc_Min. Flow'!$E$3:$EJ$25,MATCH('HMB_Min Op. Case'!$B20,'Property Calc_Min. Flow'!$C$3:$C$24,0),FALSE)</f>
        <v>41.429169310472346</v>
      </c>
      <c r="H20" s="411">
        <f>HLOOKUP(H$7,'Property Calc_Min. Flow'!$E$3:$EJ$25,MATCH('HMB_Min Op. Case'!$B20,'Property Calc_Min. Flow'!$C$3:$C$24,0),FALSE)</f>
        <v>41.429169310472346</v>
      </c>
      <c r="I20" s="411">
        <f>HLOOKUP(I$7,'Property Calc_Min. Flow'!$E$3:$EJ$25,MATCH('HMB_Min Op. Case'!$B20,'Property Calc_Min. Flow'!$C$3:$C$24,0),FALSE)</f>
        <v>41.429169310472346</v>
      </c>
      <c r="J20" s="411">
        <f>HLOOKUP(J$7,'Property Calc_Min. Flow'!$E$3:$EJ$25,MATCH('HMB_Min Op. Case'!$B20,'Property Calc_Min. Flow'!$C$3:$C$24,0),FALSE)</f>
        <v>41.429169310472346</v>
      </c>
      <c r="K20" s="411">
        <f>HLOOKUP(K$7,'Property Calc_Min. Flow'!$E$3:$EJ$25,MATCH('HMB_Min Op. Case'!$B20,'Property Calc_Min. Flow'!$C$3:$C$24,0),FALSE)</f>
        <v>41.447694857154701</v>
      </c>
      <c r="L20" s="411">
        <f>HLOOKUP(L$7,'Property Calc_Min. Flow'!$E$3:$EJ$25,MATCH('HMB_Min Op. Case'!$B20,'Property Calc_Min. Flow'!$C$3:$C$24,0),FALSE)</f>
        <v>41.447694857154701</v>
      </c>
      <c r="M20" s="411">
        <f>HLOOKUP(M$7,'Property Calc_Min. Flow'!$E$3:$EJ$25,MATCH('HMB_Min Op. Case'!$B20,'Property Calc_Min. Flow'!$C$3:$C$24,0),FALSE)</f>
        <v>41.447694857154701</v>
      </c>
      <c r="N20" s="411">
        <f>HLOOKUP(N$7,'Property Calc_Min. Flow'!$E$3:$EJ$25,MATCH('HMB_Min Op. Case'!$B20,'Property Calc_Min. Flow'!$C$3:$C$24,0),FALSE)</f>
        <v>97.263051311258664</v>
      </c>
      <c r="O20" s="411">
        <f>HLOOKUP(O$7,'Property Calc_Min. Flow'!$E$3:$EJ$25,MATCH('HMB_Min Op. Case'!$B20,'Property Calc_Min. Flow'!$C$3:$C$24,0),FALSE)</f>
        <v>45.435183870509725</v>
      </c>
      <c r="P20" s="411">
        <f>HLOOKUP(P$7,'Property Calc_Min. Flow'!$E$3:$EJ$25,MATCH('HMB_Min Op. Case'!$B20,'Property Calc_Min. Flow'!$C$3:$C$24,0),FALSE)</f>
        <v>45.435183870509725</v>
      </c>
      <c r="Q20" s="411">
        <f>HLOOKUP(Q$7,'Property Calc_Min. Flow'!$E$3:$EJ$25,MATCH('HMB_Min Op. Case'!$B20,'Property Calc_Min. Flow'!$C$3:$C$24,0),FALSE)</f>
        <v>45.435183870509725</v>
      </c>
      <c r="R20" s="411">
        <f>HLOOKUP(R$7,'Property Calc_Min. Flow'!$E$3:$EJ$25,MATCH('HMB_Min Op. Case'!$B20,'Property Calc_Min. Flow'!$C$3:$C$24,0),FALSE)</f>
        <v>0.15006586543830167</v>
      </c>
      <c r="S20" s="411">
        <f>HLOOKUP(S$7,'Property Calc_Min. Flow'!$E$3:$EJ$25,MATCH('HMB_Min Op. Case'!$B20,'Property Calc_Min. Flow'!$C$3:$C$24,0),FALSE)</f>
        <v>0.15006586543830167</v>
      </c>
      <c r="T20" s="411">
        <f>HLOOKUP(T$7,'Property Calc_Min. Flow'!$E$3:$EJ$25,MATCH('HMB_Min Op. Case'!$B20,'Property Calc_Min. Flow'!$C$3:$C$24,0),FALSE)</f>
        <v>0.15006586543830167</v>
      </c>
      <c r="U20" s="411">
        <f>HLOOKUP(U$7,'Property Calc_Min. Flow'!$E$3:$EJ$25,MATCH('HMB_Min Op. Case'!$B20,'Property Calc_Min. Flow'!$C$3:$C$24,0),FALSE)</f>
        <v>0.15006586543830167</v>
      </c>
      <c r="V20" s="411">
        <f>HLOOKUP(V$7,'Property Calc_Min. Flow'!$E$3:$EJ$25,MATCH('HMB_Min Op. Case'!$B20,'Property Calc_Min. Flow'!$C$3:$C$24,0),FALSE)</f>
        <v>0.15006586543830167</v>
      </c>
      <c r="W20" s="411">
        <f>HLOOKUP(W$7,'Property Calc_Design Flow'!$E$3:$EJ$25,MATCH('HMB_Min Op. Case'!$B20,'Property Calc_Design Flow'!$C$3:$C$24,0),FALSE)</f>
        <v>0</v>
      </c>
    </row>
    <row r="21" spans="1:23" x14ac:dyDescent="0.35">
      <c r="A21" s="77">
        <v>3</v>
      </c>
      <c r="B21" s="19" t="str">
        <f>VLOOKUP($A21,'Property Calc_Design Flow'!$B$18:$D$134,2,FALSE)</f>
        <v>Nitrogen (N2)</v>
      </c>
      <c r="C21" s="410" t="s">
        <v>122</v>
      </c>
      <c r="D21" s="411">
        <f>HLOOKUP(D$7,'Property Calc_Min. Flow'!$E$3:$EJ$25,MATCH('HMB_Min Op. Case'!$B21,'Property Calc_Min. Flow'!$C$3:$C$24,0),FALSE)</f>
        <v>0.93988721353437599</v>
      </c>
      <c r="E21" s="411">
        <f>HLOOKUP(E$7,'Property Calc_Min. Flow'!$E$3:$EJ$25,MATCH('HMB_Min Op. Case'!$B21,'Property Calc_Min. Flow'!$C$3:$C$24,0),FALSE)</f>
        <v>0.93993044469592602</v>
      </c>
      <c r="F21" s="411">
        <f>HLOOKUP(F$7,'Property Calc_Min. Flow'!$E$3:$EJ$25,MATCH('HMB_Min Op. Case'!$B21,'Property Calc_Min. Flow'!$C$3:$C$24,0),FALSE)</f>
        <v>0.93993044469592602</v>
      </c>
      <c r="G21" s="411">
        <f>HLOOKUP(G$7,'Property Calc_Min. Flow'!$E$3:$EJ$25,MATCH('HMB_Min Op. Case'!$B21,'Property Calc_Min. Flow'!$C$3:$C$24,0),FALSE)</f>
        <v>1.061876692432371</v>
      </c>
      <c r="H21" s="411">
        <f>HLOOKUP(H$7,'Property Calc_Min. Flow'!$E$3:$EJ$25,MATCH('HMB_Min Op. Case'!$B21,'Property Calc_Min. Flow'!$C$3:$C$24,0),FALSE)</f>
        <v>1.061876692432371</v>
      </c>
      <c r="I21" s="411">
        <f>HLOOKUP(I$7,'Property Calc_Min. Flow'!$E$3:$EJ$25,MATCH('HMB_Min Op. Case'!$B21,'Property Calc_Min. Flow'!$C$3:$C$24,0),FALSE)</f>
        <v>1.061876692432371</v>
      </c>
      <c r="J21" s="411">
        <f>HLOOKUP(J$7,'Property Calc_Min. Flow'!$E$3:$EJ$25,MATCH('HMB_Min Op. Case'!$B21,'Property Calc_Min. Flow'!$C$3:$C$24,0),FALSE)</f>
        <v>1.061876692432371</v>
      </c>
      <c r="K21" s="411">
        <f>HLOOKUP(K$7,'Property Calc_Min. Flow'!$E$3:$EJ$25,MATCH('HMB_Min Op. Case'!$B21,'Property Calc_Min. Flow'!$C$3:$C$24,0),FALSE)</f>
        <v>1.0623515232475664</v>
      </c>
      <c r="L21" s="411">
        <f>HLOOKUP(L$7,'Property Calc_Min. Flow'!$E$3:$EJ$25,MATCH('HMB_Min Op. Case'!$B21,'Property Calc_Min. Flow'!$C$3:$C$24,0),FALSE)</f>
        <v>1.0623515232475664</v>
      </c>
      <c r="M21" s="411">
        <f>HLOOKUP(M$7,'Property Calc_Min. Flow'!$E$3:$EJ$25,MATCH('HMB_Min Op. Case'!$B21,'Property Calc_Min. Flow'!$C$3:$C$24,0),FALSE)</f>
        <v>1.0623515232475664</v>
      </c>
      <c r="N21" s="411">
        <f>HLOOKUP(N$7,'Property Calc_Min. Flow'!$E$3:$EJ$25,MATCH('HMB_Min Op. Case'!$B21,'Property Calc_Min. Flow'!$C$3:$C$24,0),FALSE)</f>
        <v>9.3123984610229513E-2</v>
      </c>
      <c r="O21" s="411">
        <f>HLOOKUP(O$7,'Property Calc_Min. Flow'!$E$3:$EJ$25,MATCH('HMB_Min Op. Case'!$B21,'Property Calc_Min. Flow'!$C$3:$C$24,0),FALSE)</f>
        <v>1.2198706937064672</v>
      </c>
      <c r="P21" s="411">
        <f>HLOOKUP(P$7,'Property Calc_Min. Flow'!$E$3:$EJ$25,MATCH('HMB_Min Op. Case'!$B21,'Property Calc_Min. Flow'!$C$3:$C$24,0),FALSE)</f>
        <v>1.2198706937064672</v>
      </c>
      <c r="Q21" s="411">
        <f>HLOOKUP(Q$7,'Property Calc_Min. Flow'!$E$3:$EJ$25,MATCH('HMB_Min Op. Case'!$B21,'Property Calc_Min. Flow'!$C$3:$C$24,0),FALSE)</f>
        <v>1.2198706937064672</v>
      </c>
      <c r="R21" s="411">
        <f>HLOOKUP(R$7,'Property Calc_Min. Flow'!$E$3:$EJ$25,MATCH('HMB_Min Op. Case'!$B21,'Property Calc_Min. Flow'!$C$3:$C$24,0),FALSE)</f>
        <v>1.4906542633537969</v>
      </c>
      <c r="S21" s="411">
        <f>HLOOKUP(S$7,'Property Calc_Min. Flow'!$E$3:$EJ$25,MATCH('HMB_Min Op. Case'!$B21,'Property Calc_Min. Flow'!$C$3:$C$24,0),FALSE)</f>
        <v>1.4906542633537969</v>
      </c>
      <c r="T21" s="411">
        <f>HLOOKUP(T$7,'Property Calc_Min. Flow'!$E$3:$EJ$25,MATCH('HMB_Min Op. Case'!$B21,'Property Calc_Min. Flow'!$C$3:$C$24,0),FALSE)</f>
        <v>1.4906542633537969</v>
      </c>
      <c r="U21" s="411">
        <f>HLOOKUP(U$7,'Property Calc_Min. Flow'!$E$3:$EJ$25,MATCH('HMB_Min Op. Case'!$B21,'Property Calc_Min. Flow'!$C$3:$C$24,0),FALSE)</f>
        <v>1.4906542633537969</v>
      </c>
      <c r="V21" s="411">
        <f>HLOOKUP(V$7,'Property Calc_Min. Flow'!$E$3:$EJ$25,MATCH('HMB_Min Op. Case'!$B21,'Property Calc_Min. Flow'!$C$3:$C$24,0),FALSE)</f>
        <v>1.4906542633537969</v>
      </c>
      <c r="W21" s="411">
        <f>HLOOKUP(W$7,'Property Calc_Design Flow'!$E$3:$EJ$25,MATCH('HMB_Min Op. Case'!$B21,'Property Calc_Design Flow'!$C$3:$C$24,0),FALSE)</f>
        <v>0</v>
      </c>
    </row>
    <row r="22" spans="1:23" x14ac:dyDescent="0.35">
      <c r="A22" s="77">
        <v>4</v>
      </c>
      <c r="B22" s="19" t="str">
        <f>VLOOKUP($A22,'Property Calc_Design Flow'!$B$18:$D$134,2,FALSE)</f>
        <v>Oxygen (O2)</v>
      </c>
      <c r="C22" s="410" t="s">
        <v>122</v>
      </c>
      <c r="D22" s="411">
        <f>HLOOKUP(D$7,'Property Calc_Min. Flow'!$E$3:$EJ$25,MATCH('HMB_Min Op. Case'!$B22,'Property Calc_Min. Flow'!$C$3:$C$24,0),FALSE)</f>
        <v>0.45994480662320519</v>
      </c>
      <c r="E22" s="411">
        <f>HLOOKUP(E$7,'Property Calc_Min. Flow'!$E$3:$EJ$25,MATCH('HMB_Min Op. Case'!$B22,'Property Calc_Min. Flow'!$C$3:$C$24,0),FALSE)</f>
        <v>0.45996596229800629</v>
      </c>
      <c r="F22" s="411">
        <f>HLOOKUP(F$7,'Property Calc_Min. Flow'!$E$3:$EJ$25,MATCH('HMB_Min Op. Case'!$B22,'Property Calc_Min. Flow'!$C$3:$C$24,0),FALSE)</f>
        <v>0.45996596229800629</v>
      </c>
      <c r="G22" s="411">
        <f>HLOOKUP(G$7,'Property Calc_Min. Flow'!$E$3:$EJ$25,MATCH('HMB_Min Op. Case'!$B22,'Property Calc_Min. Flow'!$C$3:$C$24,0),FALSE)</f>
        <v>0.89552865303797269</v>
      </c>
      <c r="H22" s="411">
        <f>HLOOKUP(H$7,'Property Calc_Min. Flow'!$E$3:$EJ$25,MATCH('HMB_Min Op. Case'!$B22,'Property Calc_Min. Flow'!$C$3:$C$24,0),FALSE)</f>
        <v>0.89552865303797269</v>
      </c>
      <c r="I22" s="411">
        <f>HLOOKUP(I$7,'Property Calc_Min. Flow'!$E$3:$EJ$25,MATCH('HMB_Min Op. Case'!$B22,'Property Calc_Min. Flow'!$C$3:$C$24,0),FALSE)</f>
        <v>0.89552865303797269</v>
      </c>
      <c r="J22" s="411">
        <f>HLOOKUP(J$7,'Property Calc_Min. Flow'!$E$3:$EJ$25,MATCH('HMB_Min Op. Case'!$B22,'Property Calc_Min. Flow'!$C$3:$C$24,0),FALSE)</f>
        <v>0.89552865303797269</v>
      </c>
      <c r="K22" s="411">
        <f>HLOOKUP(K$7,'Property Calc_Min. Flow'!$E$3:$EJ$25,MATCH('HMB_Min Op. Case'!$B22,'Property Calc_Min. Flow'!$C$3:$C$24,0),FALSE)</f>
        <v>0.89592909934532949</v>
      </c>
      <c r="L22" s="411">
        <f>HLOOKUP(L$7,'Property Calc_Min. Flow'!$E$3:$EJ$25,MATCH('HMB_Min Op. Case'!$B22,'Property Calc_Min. Flow'!$C$3:$C$24,0),FALSE)</f>
        <v>0.89592909934532949</v>
      </c>
      <c r="M22" s="411">
        <f>HLOOKUP(M$7,'Property Calc_Min. Flow'!$E$3:$EJ$25,MATCH('HMB_Min Op. Case'!$B22,'Property Calc_Min. Flow'!$C$3:$C$24,0),FALSE)</f>
        <v>0.89592909934532949</v>
      </c>
      <c r="N22" s="411">
        <f>HLOOKUP(N$7,'Property Calc_Min. Flow'!$E$3:$EJ$25,MATCH('HMB_Min Op. Case'!$B22,'Property Calc_Min. Flow'!$C$3:$C$24,0),FALSE)</f>
        <v>1.0155544619611949</v>
      </c>
      <c r="O22" s="411">
        <f>HLOOKUP(O$7,'Property Calc_Min. Flow'!$E$3:$EJ$25,MATCH('HMB_Min Op. Case'!$B22,'Property Calc_Min. Flow'!$C$3:$C$24,0),FALSE)</f>
        <v>1.4598452564028215</v>
      </c>
      <c r="P22" s="411">
        <f>HLOOKUP(P$7,'Property Calc_Min. Flow'!$E$3:$EJ$25,MATCH('HMB_Min Op. Case'!$B22,'Property Calc_Min. Flow'!$C$3:$C$24,0),FALSE)</f>
        <v>1.4598452564028215</v>
      </c>
      <c r="Q22" s="411">
        <f>HLOOKUP(Q$7,'Property Calc_Min. Flow'!$E$3:$EJ$25,MATCH('HMB_Min Op. Case'!$B22,'Property Calc_Min. Flow'!$C$3:$C$24,0),FALSE)</f>
        <v>1.4598452564028215</v>
      </c>
      <c r="R22" s="411">
        <f>HLOOKUP(R$7,'Property Calc_Min. Flow'!$E$3:$EJ$25,MATCH('HMB_Min Op. Case'!$B22,'Property Calc_Min. Flow'!$C$3:$C$24,0),FALSE)</f>
        <v>0.10004391029220111</v>
      </c>
      <c r="S22" s="411">
        <f>HLOOKUP(S$7,'Property Calc_Min. Flow'!$E$3:$EJ$25,MATCH('HMB_Min Op. Case'!$B22,'Property Calc_Min. Flow'!$C$3:$C$24,0),FALSE)</f>
        <v>0.10004391029220111</v>
      </c>
      <c r="T22" s="411">
        <f>HLOOKUP(T$7,'Property Calc_Min. Flow'!$E$3:$EJ$25,MATCH('HMB_Min Op. Case'!$B22,'Property Calc_Min. Flow'!$C$3:$C$24,0),FALSE)</f>
        <v>0.10004391029220111</v>
      </c>
      <c r="U22" s="411">
        <f>HLOOKUP(U$7,'Property Calc_Min. Flow'!$E$3:$EJ$25,MATCH('HMB_Min Op. Case'!$B22,'Property Calc_Min. Flow'!$C$3:$C$24,0),FALSE)</f>
        <v>0.10004391029220111</v>
      </c>
      <c r="V22" s="411">
        <f>HLOOKUP(V$7,'Property Calc_Min. Flow'!$E$3:$EJ$25,MATCH('HMB_Min Op. Case'!$B22,'Property Calc_Min. Flow'!$C$3:$C$24,0),FALSE)</f>
        <v>0.10004391029220111</v>
      </c>
      <c r="W22" s="411">
        <f>HLOOKUP(W$7,'Property Calc_Design Flow'!$E$3:$EJ$25,MATCH('HMB_Min Op. Case'!$B22,'Property Calc_Design Flow'!$C$3:$C$24,0),FALSE)</f>
        <v>0</v>
      </c>
    </row>
    <row r="23" spans="1:23" x14ac:dyDescent="0.35">
      <c r="A23" s="77">
        <v>5</v>
      </c>
      <c r="B23" s="19" t="str">
        <f>VLOOKUP($A23,'Property Calc_Design Flow'!$B$18:$D$134,2,FALSE)</f>
        <v>Hydrogen Sulfide (H2S)</v>
      </c>
      <c r="C23" s="410" t="s">
        <v>122</v>
      </c>
      <c r="D23" s="97">
        <f>HLOOKUP(D$7,'Property Calc_Min. Flow'!$E$3:$EJ$25,MATCH('HMB_Min Op. Case'!$B23,'Property Calc_Min. Flow'!$C$3:$C$24,0),FALSE)</f>
        <v>4.9994000719913619E-3</v>
      </c>
      <c r="E23" s="97">
        <f>HLOOKUP(E$7,'Property Calc_Min. Flow'!$E$3:$EJ$25,MATCH('HMB_Min Op. Case'!$B23,'Property Calc_Min. Flow'!$C$3:$C$24,0),FALSE)</f>
        <v>4.0001839844650596E-4</v>
      </c>
      <c r="F23" s="97">
        <f>HLOOKUP(F$7,'Property Calc_Min. Flow'!$E$3:$EJ$25,MATCH('HMB_Min Op. Case'!$B23,'Property Calc_Min. Flow'!$C$3:$C$24,0),FALSE)</f>
        <v>4.0001839844650596E-4</v>
      </c>
      <c r="G23" s="97">
        <f>HLOOKUP(G$7,'Property Calc_Min. Flow'!$E$3:$EJ$25,MATCH('HMB_Min Op. Case'!$B23,'Property Calc_Min. Flow'!$C$3:$C$24,0),FALSE)</f>
        <v>4.8710573602162217E-4</v>
      </c>
      <c r="H23" s="97">
        <f>HLOOKUP(H$7,'Property Calc_Min. Flow'!$E$3:$EJ$25,MATCH('HMB_Min Op. Case'!$B23,'Property Calc_Min. Flow'!$C$3:$C$24,0),FALSE)</f>
        <v>4.8710573602162217E-4</v>
      </c>
      <c r="I23" s="97">
        <f>HLOOKUP(I$7,'Property Calc_Min. Flow'!$E$3:$EJ$25,MATCH('HMB_Min Op. Case'!$B23,'Property Calc_Min. Flow'!$C$3:$C$24,0),FALSE)</f>
        <v>4.8710573602162217E-4</v>
      </c>
      <c r="J23" s="97">
        <f>HLOOKUP(J$7,'Property Calc_Min. Flow'!$E$3:$EJ$25,MATCH('HMB_Min Op. Case'!$B23,'Property Calc_Min. Flow'!$C$3:$C$24,0),FALSE)</f>
        <v>4.8710573602162217E-4</v>
      </c>
      <c r="K23" s="97">
        <f>HLOOKUP(K$7,'Property Calc_Min. Flow'!$E$3:$EJ$25,MATCH('HMB_Min Op. Case'!$B23,'Property Calc_Min. Flow'!$C$3:$C$24,0),FALSE)</f>
        <v>4.8732355115530939E-4</v>
      </c>
      <c r="L23" s="97">
        <f>HLOOKUP(L$7,'Property Calc_Min. Flow'!$E$3:$EJ$25,MATCH('HMB_Min Op. Case'!$B23,'Property Calc_Min. Flow'!$C$3:$C$24,0),FALSE)</f>
        <v>4.8732355115530939E-4</v>
      </c>
      <c r="M23" s="97">
        <f>HLOOKUP(M$7,'Property Calc_Min. Flow'!$E$3:$EJ$25,MATCH('HMB_Min Op. Case'!$B23,'Property Calc_Min. Flow'!$C$3:$C$24,0),FALSE)</f>
        <v>4.8732355115530939E-4</v>
      </c>
      <c r="N23" s="97">
        <f>HLOOKUP(N$7,'Property Calc_Min. Flow'!$E$3:$EJ$25,MATCH('HMB_Min Op. Case'!$B23,'Property Calc_Min. Flow'!$C$3:$C$24,0),FALSE)</f>
        <v>4.0058170591026254E-4</v>
      </c>
      <c r="O23" s="97">
        <f>HLOOKUP(O$7,'Property Calc_Min. Flow'!$E$3:$EJ$25,MATCH('HMB_Min Op. Case'!$B23,'Property Calc_Min. Flow'!$C$3:$C$24,0),FALSE)</f>
        <v>5.9993640674088546E-4</v>
      </c>
      <c r="P23" s="97">
        <f>HLOOKUP(P$7,'Property Calc_Min. Flow'!$E$3:$EJ$25,MATCH('HMB_Min Op. Case'!$B23,'Property Calc_Min. Flow'!$C$3:$C$24,0),FALSE)</f>
        <v>5.9993640674088546E-4</v>
      </c>
      <c r="Q23" s="97">
        <f>HLOOKUP(Q$7,'Property Calc_Min. Flow'!$E$3:$EJ$25,MATCH('HMB_Min Op. Case'!$B23,'Property Calc_Min. Flow'!$C$3:$C$24,0),FALSE)</f>
        <v>5.9993640674088546E-4</v>
      </c>
      <c r="R23" s="97">
        <f>HLOOKUP(R$7,'Property Calc_Min. Flow'!$E$3:$EJ$25,MATCH('HMB_Min Op. Case'!$B23,'Property Calc_Min. Flow'!$C$3:$C$24,0),FALSE)</f>
        <v>4.0017564116880442E-4</v>
      </c>
      <c r="S23" s="97">
        <f>HLOOKUP(S$7,'Property Calc_Min. Flow'!$E$3:$EJ$25,MATCH('HMB_Min Op. Case'!$B23,'Property Calc_Min. Flow'!$C$3:$C$24,0),FALSE)</f>
        <v>4.0017564116880442E-4</v>
      </c>
      <c r="T23" s="97">
        <f>HLOOKUP(T$7,'Property Calc_Min. Flow'!$E$3:$EJ$25,MATCH('HMB_Min Op. Case'!$B23,'Property Calc_Min. Flow'!$C$3:$C$24,0),FALSE)</f>
        <v>4.0017564116880442E-4</v>
      </c>
      <c r="U23" s="411">
        <f>HLOOKUP(U$7,'Property Calc_Min. Flow'!$E$3:$EJ$25,MATCH('HMB_Min Op. Case'!$B23,'Property Calc_Min. Flow'!$C$3:$C$24,0),FALSE)</f>
        <v>4.0017564116880442E-4</v>
      </c>
      <c r="V23" s="411">
        <f>HLOOKUP(V$7,'Property Calc_Min. Flow'!$E$3:$EJ$25,MATCH('HMB_Min Op. Case'!$B23,'Property Calc_Min. Flow'!$C$3:$C$24,0),FALSE)</f>
        <v>4.0017564116880442E-4</v>
      </c>
      <c r="W23" s="411">
        <f>HLOOKUP(W$7,'Property Calc_Design Flow'!$E$3:$EJ$25,MATCH('HMB_Min Op. Case'!$B23,'Property Calc_Design Flow'!$C$3:$C$24,0),FALSE)</f>
        <v>0</v>
      </c>
    </row>
    <row r="24" spans="1:23" x14ac:dyDescent="0.35">
      <c r="A24" s="77">
        <v>6</v>
      </c>
      <c r="B24" s="19" t="str">
        <f>VLOOKUP($A24,'Property Calc_Design Flow'!$B$18:$D$134,2,FALSE)</f>
        <v>Water (H2O)</v>
      </c>
      <c r="C24" s="410" t="s">
        <v>122</v>
      </c>
      <c r="D24" s="411">
        <f>HLOOKUP(D$7,'Property Calc_Min. Flow'!$E$3:$EJ$25,MATCH('HMB_Min Op. Case'!$B24,'Property Calc_Min. Flow'!$C$3:$C$24,0),FALSE)</f>
        <v>0.12698476182858062</v>
      </c>
      <c r="E24" s="411">
        <f>HLOOKUP(E$7,'Property Calc_Min. Flow'!$E$3:$EJ$25,MATCH('HMB_Min Op. Case'!$B24,'Property Calc_Min. Flow'!$C$3:$C$24,0),FALSE)</f>
        <v>0.12699060263444961</v>
      </c>
      <c r="F24" s="411">
        <f>HLOOKUP(F$7,'Property Calc_Min. Flow'!$E$3:$EJ$25,MATCH('HMB_Min Op. Case'!$B24,'Property Calc_Min. Flow'!$C$3:$C$24,0),FALSE)</f>
        <v>0.12699060263444961</v>
      </c>
      <c r="G24" s="411">
        <f>HLOOKUP(G$7,'Property Calc_Min. Flow'!$E$3:$EJ$25,MATCH('HMB_Min Op. Case'!$B24,'Property Calc_Min. Flow'!$C$3:$C$24,0),FALSE)</f>
        <v>0.10216139383959937</v>
      </c>
      <c r="H24" s="411">
        <f>HLOOKUP(H$7,'Property Calc_Min. Flow'!$E$3:$EJ$25,MATCH('HMB_Min Op. Case'!$B24,'Property Calc_Min. Flow'!$C$3:$C$24,0),FALSE)</f>
        <v>0.10216139383959937</v>
      </c>
      <c r="I24" s="411">
        <f>HLOOKUP(I$7,'Property Calc_Min. Flow'!$E$3:$EJ$25,MATCH('HMB_Min Op. Case'!$B24,'Property Calc_Min. Flow'!$C$3:$C$24,0),FALSE)</f>
        <v>0.10216139383959937</v>
      </c>
      <c r="J24" s="411">
        <f>HLOOKUP(J$7,'Property Calc_Min. Flow'!$E$3:$EJ$25,MATCH('HMB_Min Op. Case'!$B24,'Property Calc_Min. Flow'!$C$3:$C$24,0),FALSE)</f>
        <v>0.10216139383959937</v>
      </c>
      <c r="K24" s="411">
        <f>HLOOKUP(K$7,'Property Calc_Min. Flow'!$E$3:$EJ$25,MATCH('HMB_Min Op. Case'!$B24,'Property Calc_Min. Flow'!$C$3:$C$24,0),FALSE)</f>
        <v>5.749088503223726E-2</v>
      </c>
      <c r="L24" s="411">
        <f>HLOOKUP(L$7,'Property Calc_Min. Flow'!$E$3:$EJ$25,MATCH('HMB_Min Op. Case'!$B24,'Property Calc_Min. Flow'!$C$3:$C$24,0),FALSE)</f>
        <v>5.749088503223726E-2</v>
      </c>
      <c r="M24" s="411">
        <f>HLOOKUP(M$7,'Property Calc_Min. Flow'!$E$3:$EJ$25,MATCH('HMB_Min Op. Case'!$B24,'Property Calc_Min. Flow'!$C$3:$C$24,0),FALSE)</f>
        <v>5.749088503223726E-2</v>
      </c>
      <c r="N24" s="411">
        <f>HLOOKUP(N$7,'Property Calc_Min. Flow'!$E$3:$EJ$25,MATCH('HMB_Min Op. Case'!$B24,'Property Calc_Min. Flow'!$C$3:$C$24,0),FALSE)</f>
        <v>9.8577034210133266E-2</v>
      </c>
      <c r="O24" s="411">
        <f>HLOOKUP(O$7,'Property Calc_Min. Flow'!$E$3:$EJ$25,MATCH('HMB_Min Op. Case'!$B24,'Property Calc_Min. Flow'!$C$3:$C$24,0),FALSE)</f>
        <v>6.9992580786436637E-2</v>
      </c>
      <c r="P24" s="411">
        <f>HLOOKUP(P$7,'Property Calc_Min. Flow'!$E$3:$EJ$25,MATCH('HMB_Min Op. Case'!$B24,'Property Calc_Min. Flow'!$C$3:$C$24,0),FALSE)</f>
        <v>6.9992580786436637E-2</v>
      </c>
      <c r="Q24" s="411">
        <f>HLOOKUP(Q$7,'Property Calc_Min. Flow'!$E$3:$EJ$25,MATCH('HMB_Min Op. Case'!$B24,'Property Calc_Min. Flow'!$C$3:$C$24,0),FALSE)</f>
        <v>6.9992580786436637E-2</v>
      </c>
      <c r="R24" s="411">
        <f>HLOOKUP(R$7,'Property Calc_Min. Flow'!$E$3:$EJ$25,MATCH('HMB_Min Op. Case'!$B24,'Property Calc_Min. Flow'!$C$3:$C$24,0),FALSE)</f>
        <v>1.4906542633537965E-2</v>
      </c>
      <c r="S24" s="411">
        <f>HLOOKUP(S$7,'Property Calc_Min. Flow'!$E$3:$EJ$25,MATCH('HMB_Min Op. Case'!$B24,'Property Calc_Min. Flow'!$C$3:$C$24,0),FALSE)</f>
        <v>1.4906542633537965E-2</v>
      </c>
      <c r="T24" s="411">
        <f>HLOOKUP(T$7,'Property Calc_Min. Flow'!$E$3:$EJ$25,MATCH('HMB_Min Op. Case'!$B24,'Property Calc_Min. Flow'!$C$3:$C$24,0),FALSE)</f>
        <v>1.4906542633537965E-2</v>
      </c>
      <c r="U24" s="411">
        <f>HLOOKUP(U$7,'Property Calc_Min. Flow'!$E$3:$EJ$25,MATCH('HMB_Min Op. Case'!$B24,'Property Calc_Min. Flow'!$C$3:$C$24,0),FALSE)</f>
        <v>1.4906542633537965E-2</v>
      </c>
      <c r="V24" s="411">
        <f>HLOOKUP(V$7,'Property Calc_Min. Flow'!$E$3:$EJ$25,MATCH('HMB_Min Op. Case'!$B24,'Property Calc_Min. Flow'!$C$3:$C$24,0),FALSE)</f>
        <v>1.4906542633537965E-2</v>
      </c>
      <c r="W24" s="411">
        <f>HLOOKUP(W$7,'Property Calc_Design Flow'!$E$3:$EJ$25,MATCH('HMB_Min Op. Case'!$B24,'Property Calc_Design Flow'!$C$3:$C$24,0),FALSE)</f>
        <v>100</v>
      </c>
    </row>
    <row r="25" spans="1:23" hidden="1" x14ac:dyDescent="0.35">
      <c r="A25" s="77">
        <v>7</v>
      </c>
      <c r="B25" s="19" t="str">
        <f>VLOOKUP($A25,'Property Calc_Design Flow'!$B$18:$D$134,2,FALSE)</f>
        <v>Hydrogen (H2)</v>
      </c>
      <c r="C25" s="410" t="s">
        <v>122</v>
      </c>
      <c r="D25" s="411">
        <f>HLOOKUP(D$7,'Property Calc_Design Flow'!$E$3:$EJ$25,MATCH('HMB_Min Op. Case'!$B25,'Property Calc_Design Flow'!$C$3:$C$24,0),FALSE)</f>
        <v>0</v>
      </c>
      <c r="E25" s="411">
        <f>HLOOKUP(E$7,'Property Calc_Design Flow'!$E$3:$EJ$25,MATCH('HMB_Min Op. Case'!$B25,'Property Calc_Design Flow'!$C$3:$C$24,0),FALSE)</f>
        <v>0</v>
      </c>
      <c r="F25" s="411">
        <f>HLOOKUP(F$7,'Property Calc_Design Flow'!$E$3:$EJ$25,MATCH('HMB_Min Op. Case'!$B25,'Property Calc_Design Flow'!$C$3:$C$24,0),FALSE)</f>
        <v>0</v>
      </c>
      <c r="G25" s="411">
        <f>HLOOKUP(G$7,'Property Calc_Design Flow'!$E$3:$EJ$25,MATCH('HMB_Min Op. Case'!$B25,'Property Calc_Design Flow'!$C$3:$C$24,0),FALSE)</f>
        <v>0</v>
      </c>
      <c r="H25" s="411">
        <f>HLOOKUP(H$7,'Property Calc_Design Flow'!$E$3:$EJ$25,MATCH('HMB_Min Op. Case'!$B25,'Property Calc_Design Flow'!$C$3:$C$24,0),FALSE)</f>
        <v>0</v>
      </c>
      <c r="I25" s="411">
        <f>HLOOKUP(I$7,'Property Calc_Design Flow'!$E$3:$EJ$25,MATCH('HMB_Min Op. Case'!$B25,'Property Calc_Design Flow'!$C$3:$C$24,0),FALSE)</f>
        <v>0</v>
      </c>
      <c r="J25" s="411">
        <f>HLOOKUP(J$7,'Property Calc_Design Flow'!$E$3:$EJ$25,MATCH('HMB_Min Op. Case'!$B25,'Property Calc_Design Flow'!$C$3:$C$24,0),FALSE)</f>
        <v>0</v>
      </c>
      <c r="K25" s="411">
        <f>HLOOKUP(K$7,'Property Calc_Design Flow'!$E$3:$EJ$25,MATCH('HMB_Min Op. Case'!$B25,'Property Calc_Design Flow'!$C$3:$C$24,0),FALSE)</f>
        <v>0</v>
      </c>
      <c r="L25" s="411">
        <f>HLOOKUP(L$7,'Property Calc_Design Flow'!$E$3:$EJ$25,MATCH('HMB_Min Op. Case'!$B25,'Property Calc_Design Flow'!$C$3:$C$24,0),FALSE)</f>
        <v>0</v>
      </c>
      <c r="M25" s="411">
        <f>HLOOKUP(M$7,'Property Calc_Design Flow'!$E$3:$EJ$25,MATCH('HMB_Min Op. Case'!$B25,'Property Calc_Design Flow'!$C$3:$C$24,0),FALSE)</f>
        <v>0</v>
      </c>
      <c r="N25" s="411">
        <f>HLOOKUP(N$7,'Property Calc_Design Flow'!$E$3:$EJ$25,MATCH('HMB_Min Op. Case'!$B25,'Property Calc_Design Flow'!$C$3:$C$24,0),FALSE)</f>
        <v>0</v>
      </c>
      <c r="O25" s="411">
        <f>HLOOKUP(O$7,'Property Calc_Design Flow'!$E$3:$EJ$25,MATCH('HMB_Min Op. Case'!$B25,'Property Calc_Design Flow'!$C$3:$C$24,0),FALSE)</f>
        <v>0</v>
      </c>
      <c r="P25" s="411">
        <f>HLOOKUP(P$7,'Property Calc_Design Flow'!$E$3:$EJ$25,MATCH('HMB_Min Op. Case'!$B25,'Property Calc_Design Flow'!$C$3:$C$24,0),FALSE)</f>
        <v>0</v>
      </c>
      <c r="Q25" s="411">
        <f>HLOOKUP(Q$7,'Property Calc_Design Flow'!$E$3:$EJ$25,MATCH('HMB_Min Op. Case'!$B25,'Property Calc_Design Flow'!$C$3:$C$24,0),FALSE)</f>
        <v>0</v>
      </c>
      <c r="R25" s="411">
        <f>HLOOKUP(R$7,'Property Calc_Design Flow'!$E$3:$EJ$25,MATCH('HMB_Min Op. Case'!$B25,'Property Calc_Design Flow'!$C$3:$C$24,0),FALSE)</f>
        <v>0</v>
      </c>
      <c r="S25" s="411">
        <f>HLOOKUP(S$7,'Property Calc_Design Flow'!$E$3:$EJ$25,MATCH('HMB_Min Op. Case'!$B25,'Property Calc_Design Flow'!$C$3:$C$24,0),FALSE)</f>
        <v>0</v>
      </c>
      <c r="T25" s="411">
        <f>HLOOKUP(T$7,'Property Calc_Design Flow'!$E$3:$EJ$25,MATCH('HMB_Min Op. Case'!$B25,'Property Calc_Design Flow'!$C$3:$C$24,0),FALSE)</f>
        <v>0</v>
      </c>
      <c r="U25" s="411">
        <f>HLOOKUP(U$7,'Property Calc_Design Flow'!$E$3:$EJ$25,MATCH('HMB_Min Op. Case'!$B25,'Property Calc_Design Flow'!$C$3:$C$24,0),FALSE)</f>
        <v>0</v>
      </c>
      <c r="V25" s="411">
        <f>HLOOKUP(V$7,'Property Calc_Design Flow'!$E$3:$EJ$25,MATCH('HMB_Min Op. Case'!$B25,'Property Calc_Design Flow'!$C$3:$C$24,0),FALSE)</f>
        <v>0</v>
      </c>
      <c r="W25" s="411">
        <f>HLOOKUP(W$7,'Property Calc_Design Flow'!$E$3:$EJ$25,MATCH('HMB_Min Op. Case'!$B25,'Property Calc_Design Flow'!$C$3:$C$24,0),FALSE)</f>
        <v>0</v>
      </c>
    </row>
    <row r="26" spans="1:23" x14ac:dyDescent="0.35">
      <c r="A26" s="413"/>
      <c r="B26" s="13" t="s">
        <v>133</v>
      </c>
      <c r="C26" s="411">
        <f>IF('Input Sheet'!Q3="NA",'Input Sheet'!P3,'Input Sheet'!Q3)</f>
        <v>1.7717236959608635</v>
      </c>
      <c r="D26" s="587" t="s">
        <v>789</v>
      </c>
      <c r="E26" s="588"/>
      <c r="F26" s="588"/>
      <c r="G26" s="588"/>
      <c r="H26" s="588"/>
      <c r="I26" s="588"/>
      <c r="J26" s="588"/>
      <c r="K26" s="588"/>
      <c r="L26" s="588"/>
      <c r="M26" s="588"/>
      <c r="N26" s="588"/>
      <c r="O26" s="588"/>
      <c r="P26" s="588"/>
      <c r="Q26" s="588"/>
      <c r="R26" s="588"/>
      <c r="S26" s="588"/>
      <c r="T26" s="588"/>
      <c r="U26" s="588"/>
      <c r="V26" s="589"/>
    </row>
    <row r="27" spans="1:23" x14ac:dyDescent="0.35">
      <c r="A27" s="413"/>
      <c r="B27" s="340" t="s">
        <v>41</v>
      </c>
      <c r="C27" s="341">
        <f>'Input Sheet'!L7</f>
        <v>0.99</v>
      </c>
      <c r="D27" s="587" t="s">
        <v>790</v>
      </c>
      <c r="E27" s="588"/>
      <c r="F27" s="588"/>
      <c r="G27" s="588"/>
      <c r="H27" s="588"/>
      <c r="I27" s="588"/>
      <c r="J27" s="588"/>
      <c r="K27" s="588"/>
      <c r="L27" s="588"/>
      <c r="M27" s="588"/>
      <c r="N27" s="588"/>
      <c r="O27" s="588"/>
      <c r="P27" s="588"/>
      <c r="Q27" s="588"/>
      <c r="R27" s="588"/>
      <c r="S27" s="588"/>
      <c r="T27" s="588"/>
      <c r="U27" s="588"/>
      <c r="V27" s="589"/>
    </row>
    <row r="28" spans="1:23" x14ac:dyDescent="0.35">
      <c r="A28" s="413"/>
      <c r="B28" s="590" t="s">
        <v>784</v>
      </c>
      <c r="C28" s="591"/>
      <c r="D28" s="591"/>
      <c r="E28" s="591"/>
      <c r="F28" s="591"/>
      <c r="G28" s="591"/>
      <c r="H28" s="591"/>
      <c r="I28" s="591"/>
      <c r="J28" s="591"/>
      <c r="K28" s="591"/>
      <c r="L28" s="591"/>
      <c r="M28" s="591"/>
      <c r="N28" s="591"/>
      <c r="O28" s="591"/>
      <c r="P28" s="591"/>
      <c r="Q28" s="591"/>
      <c r="R28" s="591"/>
      <c r="S28" s="591"/>
      <c r="T28" s="591"/>
      <c r="U28" s="591"/>
      <c r="V28" s="592"/>
    </row>
    <row r="29" spans="1:23" ht="16.5" x14ac:dyDescent="0.35">
      <c r="A29" s="413"/>
      <c r="B29" s="581" t="s">
        <v>791</v>
      </c>
      <c r="C29" s="582"/>
      <c r="D29" s="582"/>
      <c r="E29" s="582"/>
      <c r="F29" s="582"/>
      <c r="G29" s="582"/>
      <c r="H29" s="582"/>
      <c r="I29" s="582"/>
      <c r="J29" s="582"/>
      <c r="K29" s="582"/>
      <c r="L29" s="582"/>
      <c r="M29" s="582"/>
      <c r="N29" s="582"/>
      <c r="O29" s="582"/>
      <c r="P29" s="582"/>
      <c r="Q29" s="582"/>
      <c r="R29" s="582"/>
      <c r="S29" s="582"/>
      <c r="T29" s="582"/>
      <c r="U29" s="582"/>
      <c r="V29" s="583"/>
    </row>
    <row r="30" spans="1:23" x14ac:dyDescent="0.35">
      <c r="A30" s="413"/>
      <c r="B30" s="581" t="s">
        <v>785</v>
      </c>
      <c r="C30" s="582"/>
      <c r="D30" s="582"/>
      <c r="E30" s="582"/>
      <c r="F30" s="582"/>
      <c r="G30" s="582"/>
      <c r="H30" s="582"/>
      <c r="I30" s="582"/>
      <c r="J30" s="582"/>
      <c r="K30" s="582"/>
      <c r="L30" s="582"/>
      <c r="M30" s="582"/>
      <c r="N30" s="582"/>
      <c r="O30" s="582"/>
      <c r="P30" s="582"/>
      <c r="Q30" s="582"/>
      <c r="R30" s="582"/>
      <c r="S30" s="582"/>
      <c r="T30" s="582"/>
      <c r="U30" s="582"/>
      <c r="V30" s="583"/>
    </row>
    <row r="31" spans="1:23" x14ac:dyDescent="0.35">
      <c r="A31" s="413"/>
      <c r="B31" s="581" t="s">
        <v>786</v>
      </c>
      <c r="C31" s="582"/>
      <c r="D31" s="582"/>
      <c r="E31" s="582"/>
      <c r="F31" s="582"/>
      <c r="G31" s="582"/>
      <c r="H31" s="582"/>
      <c r="I31" s="582"/>
      <c r="J31" s="582"/>
      <c r="K31" s="582"/>
      <c r="L31" s="582"/>
      <c r="M31" s="582"/>
      <c r="N31" s="582"/>
      <c r="O31" s="582"/>
      <c r="P31" s="582"/>
      <c r="Q31" s="582"/>
      <c r="R31" s="582"/>
      <c r="S31" s="582"/>
      <c r="T31" s="582"/>
      <c r="U31" s="582"/>
      <c r="V31" s="583"/>
    </row>
    <row r="32" spans="1:23" x14ac:dyDescent="0.35">
      <c r="A32" s="413"/>
      <c r="B32" s="581" t="s">
        <v>787</v>
      </c>
      <c r="C32" s="582"/>
      <c r="D32" s="582"/>
      <c r="E32" s="582"/>
      <c r="F32" s="582"/>
      <c r="G32" s="582"/>
      <c r="H32" s="582"/>
      <c r="I32" s="582"/>
      <c r="J32" s="582"/>
      <c r="K32" s="582"/>
      <c r="L32" s="582"/>
      <c r="M32" s="582"/>
      <c r="N32" s="582"/>
      <c r="O32" s="582"/>
      <c r="P32" s="582"/>
      <c r="Q32" s="582"/>
      <c r="R32" s="582"/>
      <c r="S32" s="582"/>
      <c r="T32" s="582"/>
      <c r="U32" s="582"/>
      <c r="V32" s="583"/>
    </row>
    <row r="33" spans="1:22" x14ac:dyDescent="0.35">
      <c r="A33" s="413"/>
      <c r="B33" s="581" t="s">
        <v>788</v>
      </c>
      <c r="C33" s="582"/>
      <c r="D33" s="582"/>
      <c r="E33" s="582"/>
      <c r="F33" s="582"/>
      <c r="G33" s="582"/>
      <c r="H33" s="582"/>
      <c r="I33" s="582"/>
      <c r="J33" s="582"/>
      <c r="K33" s="582"/>
      <c r="L33" s="582"/>
      <c r="M33" s="582"/>
      <c r="N33" s="582"/>
      <c r="O33" s="582"/>
      <c r="P33" s="582"/>
      <c r="Q33" s="582"/>
      <c r="R33" s="582"/>
      <c r="S33" s="582"/>
      <c r="T33" s="582"/>
      <c r="U33" s="582"/>
      <c r="V33" s="583"/>
    </row>
    <row r="34" spans="1:22" x14ac:dyDescent="0.35">
      <c r="A34" s="413"/>
      <c r="B34" s="584"/>
      <c r="C34" s="585"/>
      <c r="D34" s="585"/>
      <c r="E34" s="585"/>
      <c r="F34" s="585"/>
      <c r="G34" s="585"/>
      <c r="H34" s="585"/>
      <c r="I34" s="585"/>
      <c r="J34" s="585"/>
      <c r="K34" s="585"/>
      <c r="L34" s="585"/>
      <c r="M34" s="585"/>
      <c r="N34" s="585"/>
      <c r="O34" s="585"/>
      <c r="P34" s="585"/>
      <c r="Q34" s="585"/>
      <c r="R34" s="585"/>
      <c r="S34" s="585"/>
      <c r="T34" s="585"/>
      <c r="U34" s="585"/>
      <c r="V34" s="586"/>
    </row>
    <row r="35" spans="1:22" x14ac:dyDescent="0.35">
      <c r="A35" s="414"/>
      <c r="D35" s="26"/>
    </row>
    <row r="36" spans="1:22" x14ac:dyDescent="0.35">
      <c r="A36" s="414"/>
      <c r="D36" s="8"/>
    </row>
    <row r="37" spans="1:22" x14ac:dyDescent="0.35">
      <c r="A37" s="414"/>
      <c r="D37" s="8"/>
    </row>
    <row r="38" spans="1:22" x14ac:dyDescent="0.35">
      <c r="A38" s="414"/>
      <c r="D38" s="8"/>
    </row>
    <row r="39" spans="1:22" x14ac:dyDescent="0.35">
      <c r="A39" s="414"/>
      <c r="D39" s="8"/>
    </row>
    <row r="40" spans="1:22" x14ac:dyDescent="0.35">
      <c r="A40" s="414"/>
      <c r="D40" s="8"/>
    </row>
    <row r="41" spans="1:22" x14ac:dyDescent="0.35">
      <c r="A41" s="414"/>
    </row>
    <row r="42" spans="1:22" x14ac:dyDescent="0.35">
      <c r="A42" s="414"/>
    </row>
    <row r="43" spans="1:22" x14ac:dyDescent="0.35">
      <c r="A43" s="414"/>
    </row>
    <row r="44" spans="1:22" x14ac:dyDescent="0.35">
      <c r="A44" s="414"/>
    </row>
    <row r="45" spans="1:22" x14ac:dyDescent="0.35">
      <c r="A45" s="414"/>
    </row>
    <row r="46" spans="1:22" x14ac:dyDescent="0.35">
      <c r="A46" s="414"/>
    </row>
    <row r="47" spans="1:22" x14ac:dyDescent="0.35">
      <c r="A47" s="414"/>
    </row>
    <row r="48" spans="1:22" x14ac:dyDescent="0.35">
      <c r="A48" s="414"/>
    </row>
    <row r="49" spans="1:1" x14ac:dyDescent="0.35">
      <c r="A49" s="414"/>
    </row>
    <row r="50" spans="1:1" x14ac:dyDescent="0.35">
      <c r="A50" s="414"/>
    </row>
    <row r="51" spans="1:1" x14ac:dyDescent="0.35">
      <c r="A51" s="414"/>
    </row>
    <row r="52" spans="1:1" x14ac:dyDescent="0.35">
      <c r="A52" s="414"/>
    </row>
    <row r="53" spans="1:1" x14ac:dyDescent="0.35">
      <c r="A53" s="414"/>
    </row>
    <row r="54" spans="1:1" x14ac:dyDescent="0.35">
      <c r="A54" s="414"/>
    </row>
    <row r="55" spans="1:1" x14ac:dyDescent="0.35">
      <c r="A55" s="414"/>
    </row>
    <row r="56" spans="1:1" x14ac:dyDescent="0.35">
      <c r="A56" s="414"/>
    </row>
    <row r="57" spans="1:1" x14ac:dyDescent="0.35">
      <c r="A57" s="414"/>
    </row>
    <row r="58" spans="1:1" x14ac:dyDescent="0.35">
      <c r="A58" s="414"/>
    </row>
    <row r="59" spans="1:1" x14ac:dyDescent="0.35">
      <c r="A59" s="414"/>
    </row>
    <row r="60" spans="1:1" x14ac:dyDescent="0.35">
      <c r="A60" s="414"/>
    </row>
    <row r="61" spans="1:1" x14ac:dyDescent="0.35">
      <c r="A61" s="414"/>
    </row>
    <row r="62" spans="1:1" x14ac:dyDescent="0.35">
      <c r="A62" s="414"/>
    </row>
    <row r="63" spans="1:1" x14ac:dyDescent="0.35">
      <c r="A63" s="414"/>
    </row>
    <row r="64" spans="1:1" x14ac:dyDescent="0.35">
      <c r="A64" s="414"/>
    </row>
    <row r="65" spans="1:1" x14ac:dyDescent="0.35">
      <c r="A65" s="414"/>
    </row>
    <row r="66" spans="1:1" x14ac:dyDescent="0.35">
      <c r="A66" s="414"/>
    </row>
    <row r="67" spans="1:1" x14ac:dyDescent="0.35">
      <c r="A67" s="414"/>
    </row>
    <row r="68" spans="1:1" x14ac:dyDescent="0.35">
      <c r="A68" s="414"/>
    </row>
    <row r="69" spans="1:1" x14ac:dyDescent="0.35">
      <c r="A69" s="414"/>
    </row>
    <row r="70" spans="1:1" x14ac:dyDescent="0.35">
      <c r="A70" s="414"/>
    </row>
    <row r="71" spans="1:1" x14ac:dyDescent="0.35">
      <c r="A71" s="414"/>
    </row>
    <row r="72" spans="1:1" x14ac:dyDescent="0.35">
      <c r="A72" s="414"/>
    </row>
    <row r="73" spans="1:1" x14ac:dyDescent="0.35">
      <c r="A73" s="414"/>
    </row>
    <row r="74" spans="1:1" x14ac:dyDescent="0.35">
      <c r="A74" s="414"/>
    </row>
    <row r="75" spans="1:1" x14ac:dyDescent="0.35">
      <c r="A75" s="414"/>
    </row>
    <row r="76" spans="1:1" x14ac:dyDescent="0.35">
      <c r="A76" s="414"/>
    </row>
    <row r="77" spans="1:1" x14ac:dyDescent="0.35">
      <c r="A77" s="414"/>
    </row>
    <row r="78" spans="1:1" x14ac:dyDescent="0.35">
      <c r="A78" s="414"/>
    </row>
    <row r="79" spans="1:1" x14ac:dyDescent="0.35">
      <c r="A79" s="414"/>
    </row>
    <row r="80" spans="1:1" x14ac:dyDescent="0.35">
      <c r="A80" s="414"/>
    </row>
    <row r="81" spans="1:1" x14ac:dyDescent="0.35">
      <c r="A81" s="414"/>
    </row>
    <row r="82" spans="1:1" x14ac:dyDescent="0.35">
      <c r="A82" s="414"/>
    </row>
    <row r="83" spans="1:1" x14ac:dyDescent="0.35">
      <c r="A83" s="414"/>
    </row>
    <row r="84" spans="1:1" x14ac:dyDescent="0.35">
      <c r="A84" s="414"/>
    </row>
    <row r="85" spans="1:1" x14ac:dyDescent="0.35">
      <c r="A85" s="414"/>
    </row>
    <row r="86" spans="1:1" x14ac:dyDescent="0.35">
      <c r="A86" s="414"/>
    </row>
    <row r="87" spans="1:1" x14ac:dyDescent="0.35">
      <c r="A87" s="414"/>
    </row>
    <row r="88" spans="1:1" x14ac:dyDescent="0.35">
      <c r="A88" s="414"/>
    </row>
    <row r="89" spans="1:1" x14ac:dyDescent="0.35">
      <c r="A89" s="414"/>
    </row>
    <row r="90" spans="1:1" x14ac:dyDescent="0.35">
      <c r="A90" s="414"/>
    </row>
    <row r="91" spans="1:1" x14ac:dyDescent="0.35">
      <c r="A91" s="414"/>
    </row>
    <row r="92" spans="1:1" x14ac:dyDescent="0.35">
      <c r="A92" s="414"/>
    </row>
    <row r="93" spans="1:1" x14ac:dyDescent="0.35">
      <c r="A93" s="414"/>
    </row>
    <row r="94" spans="1:1" x14ac:dyDescent="0.35">
      <c r="A94" s="414"/>
    </row>
    <row r="95" spans="1:1" x14ac:dyDescent="0.35">
      <c r="A95" s="414"/>
    </row>
    <row r="96" spans="1:1" x14ac:dyDescent="0.35">
      <c r="A96" s="414"/>
    </row>
    <row r="97" spans="1:1" x14ac:dyDescent="0.35">
      <c r="A97" s="414"/>
    </row>
    <row r="98" spans="1:1" x14ac:dyDescent="0.35">
      <c r="A98" s="414"/>
    </row>
    <row r="99" spans="1:1" x14ac:dyDescent="0.35">
      <c r="A99" s="414"/>
    </row>
    <row r="100" spans="1:1" x14ac:dyDescent="0.35">
      <c r="A100" s="414"/>
    </row>
    <row r="101" spans="1:1" x14ac:dyDescent="0.35">
      <c r="A101" s="414"/>
    </row>
    <row r="102" spans="1:1" x14ac:dyDescent="0.35">
      <c r="A102" s="414"/>
    </row>
    <row r="103" spans="1:1" x14ac:dyDescent="0.35">
      <c r="A103" s="414"/>
    </row>
    <row r="104" spans="1:1" x14ac:dyDescent="0.35">
      <c r="A104" s="414"/>
    </row>
    <row r="105" spans="1:1" x14ac:dyDescent="0.35">
      <c r="A105" s="414"/>
    </row>
    <row r="106" spans="1:1" x14ac:dyDescent="0.35">
      <c r="A106" s="414"/>
    </row>
    <row r="107" spans="1:1" x14ac:dyDescent="0.35">
      <c r="A107" s="414"/>
    </row>
    <row r="108" spans="1:1" x14ac:dyDescent="0.35">
      <c r="A108" s="414"/>
    </row>
    <row r="109" spans="1:1" x14ac:dyDescent="0.35">
      <c r="A109" s="414"/>
    </row>
    <row r="110" spans="1:1" x14ac:dyDescent="0.35">
      <c r="A110" s="414"/>
    </row>
    <row r="111" spans="1:1" x14ac:dyDescent="0.35">
      <c r="A111" s="414"/>
    </row>
    <row r="112" spans="1:1" x14ac:dyDescent="0.35">
      <c r="A112" s="414"/>
    </row>
    <row r="113" spans="1:1" x14ac:dyDescent="0.35">
      <c r="A113" s="414"/>
    </row>
    <row r="114" spans="1:1" x14ac:dyDescent="0.35">
      <c r="A114" s="414"/>
    </row>
  </sheetData>
  <mergeCells count="18">
    <mergeCell ref="B2:D5"/>
    <mergeCell ref="F2:I2"/>
    <mergeCell ref="J2:R5"/>
    <mergeCell ref="S2:V2"/>
    <mergeCell ref="F3:I3"/>
    <mergeCell ref="S3:V3"/>
    <mergeCell ref="F4:I4"/>
    <mergeCell ref="F5:I5"/>
    <mergeCell ref="B31:V31"/>
    <mergeCell ref="B32:V32"/>
    <mergeCell ref="B33:V33"/>
    <mergeCell ref="B34:V34"/>
    <mergeCell ref="C18:V18"/>
    <mergeCell ref="D26:V26"/>
    <mergeCell ref="D27:V27"/>
    <mergeCell ref="B28:V28"/>
    <mergeCell ref="B29:V29"/>
    <mergeCell ref="B30:V30"/>
  </mergeCells>
  <pageMargins left="0.70866141732283505" right="0.70866141732283505" top="0.74803149606299202" bottom="0.74803149606299202" header="0.31496062992126" footer="0.31496062992126"/>
  <pageSetup paperSize="3" scale="65" orientation="landscape" horizontalDpi="4294967293"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8CF1A-5D1D-4792-B369-36B9AC37008E}">
  <sheetPr codeName="Sheet6">
    <pageSetUpPr fitToPage="1"/>
  </sheetPr>
  <dimension ref="A2:W117"/>
  <sheetViews>
    <sheetView view="pageBreakPreview" topLeftCell="A7" zoomScale="55" zoomScaleNormal="55" zoomScaleSheetLayoutView="55" workbookViewId="0">
      <selection activeCell="C30" sqref="C30"/>
    </sheetView>
  </sheetViews>
  <sheetFormatPr defaultColWidth="8.81640625" defaultRowHeight="14.5" x14ac:dyDescent="0.35"/>
  <cols>
    <col min="1" max="1" width="4.1796875" style="78" customWidth="1"/>
    <col min="2" max="2" width="28.81640625" customWidth="1"/>
    <col min="3" max="3" width="14.453125" bestFit="1" customWidth="1"/>
    <col min="4" max="4" width="12.81640625" style="78" customWidth="1"/>
    <col min="5" max="19" width="12.81640625" customWidth="1"/>
    <col min="20" max="23" width="12.81640625" hidden="1" customWidth="1"/>
  </cols>
  <sheetData>
    <row r="2" spans="1:23" x14ac:dyDescent="0.35">
      <c r="B2" t="s">
        <v>170</v>
      </c>
    </row>
    <row r="8" spans="1:23" x14ac:dyDescent="0.35">
      <c r="B8" s="13" t="s">
        <v>6</v>
      </c>
      <c r="C8" s="14"/>
      <c r="D8" s="15" t="s">
        <v>173</v>
      </c>
      <c r="E8" s="15" t="s">
        <v>174</v>
      </c>
      <c r="F8" s="15">
        <v>1</v>
      </c>
      <c r="G8" s="15">
        <v>2</v>
      </c>
      <c r="H8" s="15">
        <v>3</v>
      </c>
      <c r="I8" s="15">
        <v>4</v>
      </c>
      <c r="J8" s="15">
        <v>5</v>
      </c>
      <c r="K8" s="15">
        <v>6</v>
      </c>
      <c r="L8" s="15">
        <v>7</v>
      </c>
      <c r="M8" s="15" t="s">
        <v>152</v>
      </c>
      <c r="N8" s="15" t="s">
        <v>154</v>
      </c>
      <c r="O8" s="15">
        <v>8</v>
      </c>
      <c r="P8" s="15">
        <v>9</v>
      </c>
      <c r="Q8" s="15">
        <v>10</v>
      </c>
      <c r="R8" s="15">
        <v>12</v>
      </c>
      <c r="S8" s="15">
        <v>13</v>
      </c>
      <c r="T8" s="15">
        <v>15</v>
      </c>
      <c r="U8" s="15">
        <v>16</v>
      </c>
      <c r="V8" s="15">
        <v>17</v>
      </c>
      <c r="W8" s="15">
        <v>18</v>
      </c>
    </row>
    <row r="9" spans="1:23" s="5" customFormat="1" ht="123" customHeight="1" x14ac:dyDescent="0.35">
      <c r="A9" s="78"/>
      <c r="B9" s="16" t="s">
        <v>14</v>
      </c>
      <c r="C9" s="17"/>
      <c r="D9" s="18" t="str">
        <f>HLOOKUP(D8,'FOR AL HMB Only (Dry Gas)'!$E$2:$DX$3,2,FALSE)</f>
        <v>Raw Gas to Feed Blower</v>
      </c>
      <c r="E9" s="18" t="e">
        <f>HLOOKUP(E8,'Property Calc_Design Flow'!$E$2:$ED$3,2,FALSE)</f>
        <v>#N/A</v>
      </c>
      <c r="F9" s="18" t="str">
        <f>HLOOKUP(F8,'Property Calc_Design Flow'!$E$2:$ED$3,2,FALSE)</f>
        <v>RAW GAS TO H2S GUARD BEDS</v>
      </c>
      <c r="G9" s="18" t="str">
        <f>HLOOKUP(G8,'Property Calc_Design Flow'!$E$2:$ED$3,2,FALSE)</f>
        <v xml:space="preserve">RAW FEED TO LOW PRESSURE SEPARATOR </v>
      </c>
      <c r="H9" s="18" t="str">
        <f>HLOOKUP(H8,'Property Calc_Design Flow'!$E$2:$ED$3,2,FALSE)</f>
        <v>SEPERATOR TO FEED GAS COMPRESSOR</v>
      </c>
      <c r="I9" s="18" t="str">
        <f>HLOOKUP(I8,'Property Calc_Design Flow'!$E$2:$ED$3,2,FALSE)</f>
        <v>FEED+RECYCLE TO COMPRESSOR</v>
      </c>
      <c r="J9" s="18" t="str">
        <f>HLOOKUP(J8,'Property Calc_Design Flow'!$E$2:$ED$3,2,FALSE)</f>
        <v>COMPRESSOR DISCHARGE TO AFTERCOOLER</v>
      </c>
      <c r="K9" s="18" t="str">
        <f>HLOOKUP(K8,'Property Calc_Design Flow'!$E$2:$ED$3,2,FALSE)</f>
        <v>COMPRESSED GAS FROM AIR COOLER TO RE-HEATER</v>
      </c>
      <c r="L9" s="18" t="str">
        <f>HLOOKUP(L8,'Property Calc_Design Flow'!$E$2:$ED$3,2,FALSE)</f>
        <v>COMPRESSED GAS TO CHILLER</v>
      </c>
      <c r="M9" s="18" t="e">
        <f>HLOOKUP(M8,'Property Calc_Design Flow'!$E$2:$ED$3,2,FALSE)</f>
        <v>#N/A</v>
      </c>
      <c r="N9" s="18" t="e">
        <f>HLOOKUP(N8,'Property Calc_Design Flow'!$E$2:$ED$3,2,FALSE)</f>
        <v>#N/A</v>
      </c>
      <c r="O9" s="18" t="str">
        <f>HLOOKUP(O8,'Property Calc_Design Flow'!$E$2:$ED$3,2,FALSE)</f>
        <v>COOLED COMPRESSED GAS TO RE-HEATER</v>
      </c>
      <c r="P9" s="18" t="str">
        <f>HLOOKUP(P8,'Property Calc_Design Flow'!$E$2:$ED$3,2,FALSE)</f>
        <v>RE-HEATED COMPRESSED GAS TO ACTIVATED CARBON FILTER</v>
      </c>
      <c r="Q9" s="18" t="str">
        <f>HLOOKUP(Q8,'Property Calc_Design Flow'!$E$2:$ED$3,2,FALSE)</f>
        <v>TO AL SKID</v>
      </c>
      <c r="R9" s="18" t="str">
        <f>HLOOKUP(R8,'Property Calc_Design Flow'!$E$2:$ED$3,2,FALSE)</f>
        <v>RECYCLE GAS TO RECYCLE GAS COMPRESSOR</v>
      </c>
      <c r="S9" s="18" t="str">
        <f>HLOOKUP(S8,'Property Calc_Design Flow'!$E$2:$ED$3,2,FALSE)</f>
        <v>COMPRESSED RECYCLE GAS TO RECYCLE GAS AIR COOLED  AFTER COOLER</v>
      </c>
      <c r="T9" s="18" t="str">
        <f>HLOOKUP(T8,'Property Calc_Design Flow'!$E$2:$ED$3,2,FALSE)</f>
        <v>PRODUCT GAS TO PRODUCT GAS COMPRESSOR AND BOILERS</v>
      </c>
      <c r="U9" s="18" t="str">
        <f>HLOOKUP(U8,'Property Calc_Design Flow'!$E$2:$ED$3,2,FALSE)</f>
        <v>COMPRESSED PRODUCT GAS TO AIR COOLED AFTERCOOLER</v>
      </c>
      <c r="V9" s="18" t="str">
        <f>HLOOKUP(V8,'Property Calc_Design Flow'!$E$2:$ED$3,2,FALSE)</f>
        <v>PRODUCT GAS TO CHILLED WATER COOLER</v>
      </c>
      <c r="W9" s="18" t="str">
        <f>HLOOKUP(W8,'Property Calc_Design Flow'!$E$2:$ED$3,2,FALSE)</f>
        <v>PRODUCT GAS TO POLISHING VESSELS</v>
      </c>
    </row>
    <row r="10" spans="1:23" x14ac:dyDescent="0.35">
      <c r="B10" s="19" t="s">
        <v>1</v>
      </c>
      <c r="C10" s="73" t="s">
        <v>5</v>
      </c>
      <c r="D10" s="73">
        <f>HLOOKUP(D$9,'FOR AL HMB Only (Dry Gas)'!$E$3:$ED$25,MATCH('Heat and Mass for AL'!$B10,'FOR AL HMB Only (Dry Gas)'!$C$3:$C$24,0),FALSE)</f>
        <v>0</v>
      </c>
      <c r="E10" s="73" t="e">
        <f>HLOOKUP(E$9,'FOR AL HMB Only (Dry Gas)'!$E$3:$ED$25,MATCH('Heat and Mass for AL'!$B10,'FOR AL HMB Only (Dry Gas)'!$C$3:$C$24,0),FALSE)</f>
        <v>#N/A</v>
      </c>
      <c r="F10" s="73" t="e">
        <f>HLOOKUP(F$9,'FOR AL HMB Only (Dry Gas)'!$E$3:$ED$25,MATCH('Heat and Mass for AL'!$B10,'FOR AL HMB Only (Dry Gas)'!$C$3:$C$24,0),FALSE)</f>
        <v>#N/A</v>
      </c>
      <c r="G10" s="73">
        <f>HLOOKUP(G$9,'FOR AL HMB Only (Dry Gas)'!$E$3:$ED$25,MATCH('Heat and Mass for AL'!$B10,'FOR AL HMB Only (Dry Gas)'!$C$3:$C$24,0),FALSE)</f>
        <v>2.5</v>
      </c>
      <c r="H10" s="73" t="e">
        <f>HLOOKUP(H$9,'FOR AL HMB Only (Dry Gas)'!$E$3:$ED$25,MATCH('Heat and Mass for AL'!$B10,'FOR AL HMB Only (Dry Gas)'!$C$3:$C$24,0),FALSE)</f>
        <v>#N/A</v>
      </c>
      <c r="I10" s="73">
        <f>HLOOKUP(I$9,'FOR AL HMB Only (Dry Gas)'!$E$3:$ED$25,MATCH('Heat and Mass for AL'!$B10,'FOR AL HMB Only (Dry Gas)'!$C$3:$C$24,0),FALSE)</f>
        <v>2</v>
      </c>
      <c r="J10" s="73" t="e">
        <f>HLOOKUP(J$9,'FOR AL HMB Only (Dry Gas)'!$E$3:$ED$25,MATCH('Heat and Mass for AL'!$B10,'FOR AL HMB Only (Dry Gas)'!$C$3:$C$24,0),FALSE)</f>
        <v>#N/A</v>
      </c>
      <c r="K10" s="73" t="e">
        <f>HLOOKUP(K$9,'FOR AL HMB Only (Dry Gas)'!$E$3:$ED$25,MATCH('Heat and Mass for AL'!$B10,'FOR AL HMB Only (Dry Gas)'!$C$3:$C$24,0),FALSE)</f>
        <v>#N/A</v>
      </c>
      <c r="L10" s="73">
        <f>HLOOKUP(L$9,'FOR AL HMB Only (Dry Gas)'!$E$3:$ED$25,MATCH('Heat and Mass for AL'!$B10,'FOR AL HMB Only (Dry Gas)'!$C$3:$C$24,0),FALSE)</f>
        <v>195</v>
      </c>
      <c r="M10" s="73" t="e">
        <f>HLOOKUP(M$9,'FOR AL HMB Only (Dry Gas)'!$E$3:$ED$25,MATCH('Heat and Mass for AL'!$B10,'FOR AL HMB Only (Dry Gas)'!$C$3:$C$24,0),FALSE)</f>
        <v>#N/A</v>
      </c>
      <c r="N10" s="73" t="e">
        <f>HLOOKUP(N$9,'FOR AL HMB Only (Dry Gas)'!$E$3:$ED$25,MATCH('Heat and Mass for AL'!$B10,'FOR AL HMB Only (Dry Gas)'!$C$3:$C$24,0),FALSE)</f>
        <v>#N/A</v>
      </c>
      <c r="O10" s="73" t="e">
        <f>HLOOKUP(O$9,'FOR AL HMB Only (Dry Gas)'!$E$3:$ED$25,MATCH('Heat and Mass for AL'!$B10,'FOR AL HMB Only (Dry Gas)'!$C$3:$C$24,0),FALSE)</f>
        <v>#N/A</v>
      </c>
      <c r="P10" s="73" t="e">
        <f>HLOOKUP(P$9,'FOR AL HMB Only (Dry Gas)'!$E$3:$ED$25,MATCH('Heat and Mass for AL'!$B10,'FOR AL HMB Only (Dry Gas)'!$C$3:$C$24,0),FALSE)</f>
        <v>#N/A</v>
      </c>
      <c r="Q10" s="73">
        <f>HLOOKUP(Q$9,'FOR AL HMB Only (Dry Gas)'!$E$3:$ED$25,MATCH('Heat and Mass for AL'!$B10,'FOR AL HMB Only (Dry Gas)'!$C$3:$C$24,0),FALSE)</f>
        <v>190</v>
      </c>
      <c r="R10" s="73" t="e">
        <f>HLOOKUP(R$9,'FOR AL HMB Only (Dry Gas)'!$E$3:$ED$25,MATCH('Heat and Mass for AL'!$B10,'FOR AL HMB Only (Dry Gas)'!$C$3:$C$24,0),FALSE)</f>
        <v>#N/A</v>
      </c>
      <c r="S10" s="73" t="e">
        <f>HLOOKUP(S$9,'FOR AL HMB Only (Dry Gas)'!$E$3:$ED$25,MATCH('Heat and Mass for AL'!$B10,'FOR AL HMB Only (Dry Gas)'!$C$3:$C$24,0),FALSE)</f>
        <v>#N/A</v>
      </c>
      <c r="T10" s="73" t="e">
        <f>HLOOKUP(T$9,'FOR AL HMB Only (Dry Gas)'!$E$3:$ED$25,MATCH('Heat and Mass for AL'!$B10,'FOR AL HMB Only (Dry Gas)'!$C$3:$C$24,0),FALSE)</f>
        <v>#N/A</v>
      </c>
      <c r="U10" s="73" t="e">
        <f>HLOOKUP(U$9,'FOR AL HMB Only (Dry Gas)'!$E$3:$ED$25,MATCH('Heat and Mass for AL'!$B10,'FOR AL HMB Only (Dry Gas)'!$C$3:$C$24,0),FALSE)</f>
        <v>#N/A</v>
      </c>
      <c r="V10" s="73" t="e">
        <f>HLOOKUP(V$9,'FOR AL HMB Only (Dry Gas)'!$E$3:$ED$25,MATCH('Heat and Mass for AL'!$B10,'FOR AL HMB Only (Dry Gas)'!$C$3:$C$24,0),FALSE)</f>
        <v>#N/A</v>
      </c>
      <c r="W10" s="73" t="e">
        <f>HLOOKUP(W$9,'FOR AL HMB Only (Dry Gas)'!$E$3:$ED$25,MATCH('Heat and Mass for AL'!$B10,'FOR AL HMB Only (Dry Gas)'!$C$3:$C$24,0),FALSE)</f>
        <v>#N/A</v>
      </c>
    </row>
    <row r="11" spans="1:23" x14ac:dyDescent="0.35">
      <c r="B11" s="19" t="s">
        <v>0</v>
      </c>
      <c r="C11" s="73" t="s">
        <v>4</v>
      </c>
      <c r="D11" s="73">
        <f>HLOOKUP(D$9,'FOR AL HMB Only (Dry Gas)'!$E$3:$ED$25,MATCH('Heat and Mass for AL'!$B11,'FOR AL HMB Only (Dry Gas)'!$C$3:$C$24,0),FALSE)</f>
        <v>94</v>
      </c>
      <c r="E11" s="73" t="e">
        <f>HLOOKUP(E$9,'FOR AL HMB Only (Dry Gas)'!$E$3:$ED$25,MATCH('Heat and Mass for AL'!$B11,'FOR AL HMB Only (Dry Gas)'!$C$3:$C$24,0),FALSE)</f>
        <v>#N/A</v>
      </c>
      <c r="F11" s="73" t="e">
        <f>HLOOKUP(F$9,'FOR AL HMB Only (Dry Gas)'!$E$3:$ED$25,MATCH('Heat and Mass for AL'!$B11,'FOR AL HMB Only (Dry Gas)'!$C$3:$C$24,0),FALSE)</f>
        <v>#N/A</v>
      </c>
      <c r="G11" s="73">
        <f>HLOOKUP(G$9,'FOR AL HMB Only (Dry Gas)'!$E$3:$ED$25,MATCH('Heat and Mass for AL'!$B11,'FOR AL HMB Only (Dry Gas)'!$C$3:$C$24,0),FALSE)</f>
        <v>100</v>
      </c>
      <c r="H11" s="73" t="e">
        <f>HLOOKUP(H$9,'FOR AL HMB Only (Dry Gas)'!$E$3:$ED$25,MATCH('Heat and Mass for AL'!$B11,'FOR AL HMB Only (Dry Gas)'!$C$3:$C$24,0),FALSE)</f>
        <v>#N/A</v>
      </c>
      <c r="I11" s="73">
        <f>HLOOKUP(I$9,'FOR AL HMB Only (Dry Gas)'!$E$3:$ED$25,MATCH('Heat and Mass for AL'!$B11,'FOR AL HMB Only (Dry Gas)'!$C$3:$C$24,0),FALSE)</f>
        <v>93.63062217194296</v>
      </c>
      <c r="J11" s="73" t="e">
        <f>HLOOKUP(J$9,'FOR AL HMB Only (Dry Gas)'!$E$3:$ED$25,MATCH('Heat and Mass for AL'!$B11,'FOR AL HMB Only (Dry Gas)'!$C$3:$C$24,0),FALSE)</f>
        <v>#N/A</v>
      </c>
      <c r="K11" s="73" t="e">
        <f>HLOOKUP(K$9,'FOR AL HMB Only (Dry Gas)'!$E$3:$ED$25,MATCH('Heat and Mass for AL'!$B11,'FOR AL HMB Only (Dry Gas)'!$C$3:$C$24,0),FALSE)</f>
        <v>#N/A</v>
      </c>
      <c r="L11" s="73">
        <f>HLOOKUP(L$9,'FOR AL HMB Only (Dry Gas)'!$E$3:$ED$25,MATCH('Heat and Mass for AL'!$B11,'FOR AL HMB Only (Dry Gas)'!$C$3:$C$24,0),FALSE)</f>
        <v>112</v>
      </c>
      <c r="M11" s="73" t="e">
        <f>HLOOKUP(M$9,'FOR AL HMB Only (Dry Gas)'!$E$3:$ED$25,MATCH('Heat and Mass for AL'!$B11,'FOR AL HMB Only (Dry Gas)'!$C$3:$C$24,0),FALSE)</f>
        <v>#N/A</v>
      </c>
      <c r="N11" s="73" t="e">
        <f>HLOOKUP(N$9,'FOR AL HMB Only (Dry Gas)'!$E$3:$ED$25,MATCH('Heat and Mass for AL'!$B11,'FOR AL HMB Only (Dry Gas)'!$C$3:$C$24,0),FALSE)</f>
        <v>#N/A</v>
      </c>
      <c r="O11" s="73" t="e">
        <f>HLOOKUP(O$9,'FOR AL HMB Only (Dry Gas)'!$E$3:$ED$25,MATCH('Heat and Mass for AL'!$B11,'FOR AL HMB Only (Dry Gas)'!$C$3:$C$24,0),FALSE)</f>
        <v>#N/A</v>
      </c>
      <c r="P11" s="73" t="e">
        <f>HLOOKUP(P$9,'FOR AL HMB Only (Dry Gas)'!$E$3:$ED$25,MATCH('Heat and Mass for AL'!$B11,'FOR AL HMB Only (Dry Gas)'!$C$3:$C$24,0),FALSE)</f>
        <v>#N/A</v>
      </c>
      <c r="Q11" s="73">
        <f>HLOOKUP(Q$9,'FOR AL HMB Only (Dry Gas)'!$E$3:$ED$25,MATCH('Heat and Mass for AL'!$B11,'FOR AL HMB Only (Dry Gas)'!$C$3:$C$24,0),FALSE)</f>
        <v>50</v>
      </c>
      <c r="R11" s="73" t="e">
        <f>HLOOKUP(R$9,'FOR AL HMB Only (Dry Gas)'!$E$3:$ED$25,MATCH('Heat and Mass for AL'!$B11,'FOR AL HMB Only (Dry Gas)'!$C$3:$C$24,0),FALSE)</f>
        <v>#N/A</v>
      </c>
      <c r="S11" s="73" t="e">
        <f>HLOOKUP(S$9,'FOR AL HMB Only (Dry Gas)'!$E$3:$ED$25,MATCH('Heat and Mass for AL'!$B11,'FOR AL HMB Only (Dry Gas)'!$C$3:$C$24,0),FALSE)</f>
        <v>#N/A</v>
      </c>
      <c r="T11" s="73" t="e">
        <f>HLOOKUP(T$9,'FOR AL HMB Only (Dry Gas)'!$E$3:$ED$25,MATCH('Heat and Mass for AL'!$B11,'FOR AL HMB Only (Dry Gas)'!$C$3:$C$24,0),FALSE)</f>
        <v>#N/A</v>
      </c>
      <c r="U11" s="73" t="e">
        <f>HLOOKUP(U$9,'FOR AL HMB Only (Dry Gas)'!$E$3:$ED$25,MATCH('Heat and Mass for AL'!$B11,'FOR AL HMB Only (Dry Gas)'!$C$3:$C$24,0),FALSE)</f>
        <v>#N/A</v>
      </c>
      <c r="V11" s="73" t="e">
        <f>HLOOKUP(V$9,'FOR AL HMB Only (Dry Gas)'!$E$3:$ED$25,MATCH('Heat and Mass for AL'!$B11,'FOR AL HMB Only (Dry Gas)'!$C$3:$C$24,0),FALSE)</f>
        <v>#N/A</v>
      </c>
      <c r="W11" s="73" t="e">
        <f>HLOOKUP(W$9,'FOR AL HMB Only (Dry Gas)'!$E$3:$ED$25,MATCH('Heat and Mass for AL'!$B11,'FOR AL HMB Only (Dry Gas)'!$C$3:$C$24,0),FALSE)</f>
        <v>#N/A</v>
      </c>
    </row>
    <row r="12" spans="1:23" x14ac:dyDescent="0.35">
      <c r="B12" s="19" t="s">
        <v>26</v>
      </c>
      <c r="C12" s="73" t="s">
        <v>27</v>
      </c>
      <c r="D12" s="73">
        <f>HLOOKUP(D$9,'FOR AL HMB Only (Dry Gas)'!$E$3:$ED$25,MATCH('Heat and Mass for AL'!$B12,'FOR AL HMB Only (Dry Gas)'!$C$3:$C$24,0),FALSE)</f>
        <v>2298.1447266925634</v>
      </c>
      <c r="E12" s="73" t="e">
        <f>HLOOKUP(E$9,'FOR AL HMB Only (Dry Gas)'!$E$3:$ED$25,MATCH('Heat and Mass for AL'!$B12,'FOR AL HMB Only (Dry Gas)'!$C$3:$C$24,0),FALSE)</f>
        <v>#N/A</v>
      </c>
      <c r="F12" s="73" t="e">
        <f>HLOOKUP(F$9,'FOR AL HMB Only (Dry Gas)'!$E$3:$ED$25,MATCH('Heat and Mass for AL'!$B12,'FOR AL HMB Only (Dry Gas)'!$C$3:$C$24,0),FALSE)</f>
        <v>#N/A</v>
      </c>
      <c r="G12" s="73">
        <f>HLOOKUP(G$9,'FOR AL HMB Only (Dry Gas)'!$E$3:$ED$25,MATCH('Heat and Mass for AL'!$B12,'FOR AL HMB Only (Dry Gas)'!$C$3:$C$24,0),FALSE)</f>
        <v>2298.0389277965637</v>
      </c>
      <c r="H12" s="73" t="e">
        <f>HLOOKUP(H$9,'FOR AL HMB Only (Dry Gas)'!$E$3:$ED$25,MATCH('Heat and Mass for AL'!$B12,'FOR AL HMB Only (Dry Gas)'!$C$3:$C$24,0),FALSE)</f>
        <v>#N/A</v>
      </c>
      <c r="I12" s="73">
        <f>HLOOKUP(I$9,'FOR AL HMB Only (Dry Gas)'!$E$3:$ED$25,MATCH('Heat and Mass for AL'!$B12,'FOR AL HMB Only (Dry Gas)'!$C$3:$C$24,0),FALSE)</f>
        <v>4073.4045930612588</v>
      </c>
      <c r="J12" s="73" t="e">
        <f>HLOOKUP(J$9,'FOR AL HMB Only (Dry Gas)'!$E$3:$ED$25,MATCH('Heat and Mass for AL'!$B12,'FOR AL HMB Only (Dry Gas)'!$C$3:$C$24,0),FALSE)</f>
        <v>#N/A</v>
      </c>
      <c r="K12" s="73" t="e">
        <f>HLOOKUP(K$9,'FOR AL HMB Only (Dry Gas)'!$E$3:$ED$25,MATCH('Heat and Mass for AL'!$B12,'FOR AL HMB Only (Dry Gas)'!$C$3:$C$24,0),FALSE)</f>
        <v>#N/A</v>
      </c>
      <c r="L12" s="73">
        <f>HLOOKUP(L$9,'FOR AL HMB Only (Dry Gas)'!$E$3:$ED$25,MATCH('Heat and Mass for AL'!$B12,'FOR AL HMB Only (Dry Gas)'!$C$3:$C$24,0),FALSE)</f>
        <v>4073.4045930612588</v>
      </c>
      <c r="M12" s="73" t="e">
        <f>HLOOKUP(M$9,'FOR AL HMB Only (Dry Gas)'!$E$3:$ED$25,MATCH('Heat and Mass for AL'!$B12,'FOR AL HMB Only (Dry Gas)'!$C$3:$C$24,0),FALSE)</f>
        <v>#N/A</v>
      </c>
      <c r="N12" s="73" t="e">
        <f>HLOOKUP(N$9,'FOR AL HMB Only (Dry Gas)'!$E$3:$ED$25,MATCH('Heat and Mass for AL'!$B12,'FOR AL HMB Only (Dry Gas)'!$C$3:$C$24,0),FALSE)</f>
        <v>#N/A</v>
      </c>
      <c r="O12" s="73" t="e">
        <f>HLOOKUP(O$9,'FOR AL HMB Only (Dry Gas)'!$E$3:$ED$25,MATCH('Heat and Mass for AL'!$B12,'FOR AL HMB Only (Dry Gas)'!$C$3:$C$24,0),FALSE)</f>
        <v>#N/A</v>
      </c>
      <c r="P12" s="73" t="e">
        <f>HLOOKUP(P$9,'FOR AL HMB Only (Dry Gas)'!$E$3:$ED$25,MATCH('Heat and Mass for AL'!$B12,'FOR AL HMB Only (Dry Gas)'!$C$3:$C$24,0),FALSE)</f>
        <v>#N/A</v>
      </c>
      <c r="Q12" s="73">
        <f>HLOOKUP(Q$9,'FOR AL HMB Only (Dry Gas)'!$E$3:$ED$25,MATCH('Heat and Mass for AL'!$B12,'FOR AL HMB Only (Dry Gas)'!$C$3:$C$24,0),FALSE)</f>
        <v>4073.4045930612588</v>
      </c>
      <c r="R12" s="73" t="e">
        <f>HLOOKUP(R$9,'FOR AL HMB Only (Dry Gas)'!$E$3:$ED$25,MATCH('Heat and Mass for AL'!$B12,'FOR AL HMB Only (Dry Gas)'!$C$3:$C$24,0),FALSE)</f>
        <v>#N/A</v>
      </c>
      <c r="S12" s="73" t="e">
        <f>HLOOKUP(S$9,'FOR AL HMB Only (Dry Gas)'!$E$3:$ED$25,MATCH('Heat and Mass for AL'!$B12,'FOR AL HMB Only (Dry Gas)'!$C$3:$C$24,0),FALSE)</f>
        <v>#N/A</v>
      </c>
      <c r="T12" s="73" t="e">
        <f>HLOOKUP(T$9,'FOR AL HMB Only (Dry Gas)'!$E$3:$ED$25,MATCH('Heat and Mass for AL'!$B12,'FOR AL HMB Only (Dry Gas)'!$C$3:$C$24,0),FALSE)</f>
        <v>#N/A</v>
      </c>
      <c r="U12" s="73" t="e">
        <f>HLOOKUP(U$9,'FOR AL HMB Only (Dry Gas)'!$E$3:$ED$25,MATCH('Heat and Mass for AL'!$B12,'FOR AL HMB Only (Dry Gas)'!$C$3:$C$24,0),FALSE)</f>
        <v>#N/A</v>
      </c>
      <c r="V12" s="73" t="e">
        <f>HLOOKUP(V$9,'FOR AL HMB Only (Dry Gas)'!$E$3:$ED$25,MATCH('Heat and Mass for AL'!$B12,'FOR AL HMB Only (Dry Gas)'!$C$3:$C$24,0),FALSE)</f>
        <v>#N/A</v>
      </c>
      <c r="W12" s="73" t="e">
        <f>HLOOKUP(W$9,'FOR AL HMB Only (Dry Gas)'!$E$3:$ED$25,MATCH('Heat and Mass for AL'!$B12,'FOR AL HMB Only (Dry Gas)'!$C$3:$C$24,0),FALSE)</f>
        <v>#N/A</v>
      </c>
    </row>
    <row r="13" spans="1:23" x14ac:dyDescent="0.35">
      <c r="B13" s="19" t="s">
        <v>28</v>
      </c>
      <c r="C13" s="73" t="s">
        <v>29</v>
      </c>
      <c r="D13" s="73">
        <f>HLOOKUP(D$9,'FOR AL HMB Only (Dry Gas)'!$E$3:$ED$25,MATCH('Heat and Mass for AL'!$B13,'FOR AL HMB Only (Dry Gas)'!$C$3:$C$24,0),FALSE)</f>
        <v>2448.4080357455391</v>
      </c>
      <c r="E13" s="73" t="e">
        <f>HLOOKUP(E$9,'FOR AL HMB Only (Dry Gas)'!$E$3:$ED$25,MATCH('Heat and Mass for AL'!$B13,'FOR AL HMB Only (Dry Gas)'!$C$3:$C$24,0),FALSE)</f>
        <v>#N/A</v>
      </c>
      <c r="F13" s="73" t="e">
        <f>HLOOKUP(F$9,'FOR AL HMB Only (Dry Gas)'!$E$3:$ED$25,MATCH('Heat and Mass for AL'!$B13,'FOR AL HMB Only (Dry Gas)'!$C$3:$C$24,0),FALSE)</f>
        <v>#N/A</v>
      </c>
      <c r="G13" s="73">
        <f>HLOOKUP(G$9,'FOR AL HMB Only (Dry Gas)'!$E$3:$ED$25,MATCH('Heat and Mass for AL'!$B13,'FOR AL HMB Only (Dry Gas)'!$C$3:$C$24,0),FALSE)</f>
        <v>2115.1002296088222</v>
      </c>
      <c r="H13" s="73" t="e">
        <f>HLOOKUP(H$9,'FOR AL HMB Only (Dry Gas)'!$E$3:$ED$25,MATCH('Heat and Mass for AL'!$B13,'FOR AL HMB Only (Dry Gas)'!$C$3:$C$24,0),FALSE)</f>
        <v>#N/A</v>
      </c>
      <c r="I13" s="73">
        <f>HLOOKUP(I$9,'FOR AL HMB Only (Dry Gas)'!$E$3:$ED$25,MATCH('Heat and Mass for AL'!$B13,'FOR AL HMB Only (Dry Gas)'!$C$3:$C$24,0),FALSE)</f>
        <v>3817.4659526087003</v>
      </c>
      <c r="J13" s="73" t="e">
        <f>HLOOKUP(J$9,'FOR AL HMB Only (Dry Gas)'!$E$3:$ED$25,MATCH('Heat and Mass for AL'!$B13,'FOR AL HMB Only (Dry Gas)'!$C$3:$C$24,0),FALSE)</f>
        <v>#N/A</v>
      </c>
      <c r="K13" s="73" t="e">
        <f>HLOOKUP(K$9,'FOR AL HMB Only (Dry Gas)'!$E$3:$ED$25,MATCH('Heat and Mass for AL'!$B13,'FOR AL HMB Only (Dry Gas)'!$C$3:$C$24,0),FALSE)</f>
        <v>#N/A</v>
      </c>
      <c r="L13" s="73">
        <f>HLOOKUP(L$9,'FOR AL HMB Only (Dry Gas)'!$E$3:$ED$25,MATCH('Heat and Mass for AL'!$B13,'FOR AL HMB Only (Dry Gas)'!$C$3:$C$24,0),FALSE)</f>
        <v>314.10086919313579</v>
      </c>
      <c r="M13" s="73" t="e">
        <f>HLOOKUP(M$9,'FOR AL HMB Only (Dry Gas)'!$E$3:$ED$25,MATCH('Heat and Mass for AL'!$B13,'FOR AL HMB Only (Dry Gas)'!$C$3:$C$24,0),FALSE)</f>
        <v>#N/A</v>
      </c>
      <c r="N13" s="73" t="e">
        <f>HLOOKUP(N$9,'FOR AL HMB Only (Dry Gas)'!$E$3:$ED$25,MATCH('Heat and Mass for AL'!$B13,'FOR AL HMB Only (Dry Gas)'!$C$3:$C$24,0),FALSE)</f>
        <v>#N/A</v>
      </c>
      <c r="O13" s="73" t="e">
        <f>HLOOKUP(O$9,'FOR AL HMB Only (Dry Gas)'!$E$3:$ED$25,MATCH('Heat and Mass for AL'!$B13,'FOR AL HMB Only (Dry Gas)'!$C$3:$C$24,0),FALSE)</f>
        <v>#N/A</v>
      </c>
      <c r="P13" s="73" t="e">
        <f>HLOOKUP(P$9,'FOR AL HMB Only (Dry Gas)'!$E$3:$ED$25,MATCH('Heat and Mass for AL'!$B13,'FOR AL HMB Only (Dry Gas)'!$C$3:$C$24,0),FALSE)</f>
        <v>#N/A</v>
      </c>
      <c r="Q13" s="73">
        <f>HLOOKUP(Q$9,'FOR AL HMB Only (Dry Gas)'!$E$3:$ED$25,MATCH('Heat and Mass for AL'!$B13,'FOR AL HMB Only (Dry Gas)'!$C$3:$C$24,0),FALSE)</f>
        <v>286.89559049058897</v>
      </c>
      <c r="R13" s="73" t="e">
        <f>HLOOKUP(R$9,'FOR AL HMB Only (Dry Gas)'!$E$3:$ED$25,MATCH('Heat and Mass for AL'!$B13,'FOR AL HMB Only (Dry Gas)'!$C$3:$C$24,0),FALSE)</f>
        <v>#N/A</v>
      </c>
      <c r="S13" s="73" t="e">
        <f>HLOOKUP(S$9,'FOR AL HMB Only (Dry Gas)'!$E$3:$ED$25,MATCH('Heat and Mass for AL'!$B13,'FOR AL HMB Only (Dry Gas)'!$C$3:$C$24,0),FALSE)</f>
        <v>#N/A</v>
      </c>
      <c r="T13" s="73" t="e">
        <f>HLOOKUP(T$9,'FOR AL HMB Only (Dry Gas)'!$E$3:$ED$25,MATCH('Heat and Mass for AL'!$B13,'FOR AL HMB Only (Dry Gas)'!$C$3:$C$24,0),FALSE)</f>
        <v>#N/A</v>
      </c>
      <c r="U13" s="73" t="e">
        <f>HLOOKUP(U$9,'FOR AL HMB Only (Dry Gas)'!$E$3:$ED$25,MATCH('Heat and Mass for AL'!$B13,'FOR AL HMB Only (Dry Gas)'!$C$3:$C$24,0),FALSE)</f>
        <v>#N/A</v>
      </c>
      <c r="V13" s="73" t="e">
        <f>HLOOKUP(V$9,'FOR AL HMB Only (Dry Gas)'!$E$3:$ED$25,MATCH('Heat and Mass for AL'!$B13,'FOR AL HMB Only (Dry Gas)'!$C$3:$C$24,0),FALSE)</f>
        <v>#N/A</v>
      </c>
      <c r="W13" s="73" t="e">
        <f>HLOOKUP(W$9,'FOR AL HMB Only (Dry Gas)'!$E$3:$ED$25,MATCH('Heat and Mass for AL'!$B13,'FOR AL HMB Only (Dry Gas)'!$C$3:$C$24,0),FALSE)</f>
        <v>#N/A</v>
      </c>
    </row>
    <row r="14" spans="1:23" x14ac:dyDescent="0.35">
      <c r="B14" s="19" t="s">
        <v>2</v>
      </c>
      <c r="C14" s="73" t="s">
        <v>3</v>
      </c>
      <c r="D14" s="73">
        <f>HLOOKUP(D$9,'FOR AL HMB Only (Dry Gas)'!$E$3:$ED$25,MATCH('Heat and Mass for AL'!$B14,'FOR AL HMB Only (Dry Gas)'!$C$3:$C$24,0),FALSE)</f>
        <v>9796.0082882289389</v>
      </c>
      <c r="E14" s="73" t="e">
        <f>HLOOKUP(E$9,'FOR AL HMB Only (Dry Gas)'!$E$3:$ED$25,MATCH('Heat and Mass for AL'!$B14,'FOR AL HMB Only (Dry Gas)'!$C$3:$C$24,0),FALSE)</f>
        <v>#N/A</v>
      </c>
      <c r="F14" s="73" t="e">
        <f>HLOOKUP(F$9,'FOR AL HMB Only (Dry Gas)'!$E$3:$ED$25,MATCH('Heat and Mass for AL'!$B14,'FOR AL HMB Only (Dry Gas)'!$C$3:$C$24,0),FALSE)</f>
        <v>#N/A</v>
      </c>
      <c r="G14" s="73">
        <f>HLOOKUP(G$9,'FOR AL HMB Only (Dry Gas)'!$E$3:$ED$25,MATCH('Heat and Mass for AL'!$B14,'FOR AL HMB Only (Dry Gas)'!$C$3:$C$24,0),FALSE)</f>
        <v>9795.4382137011762</v>
      </c>
      <c r="H14" s="73" t="e">
        <f>HLOOKUP(H$9,'FOR AL HMB Only (Dry Gas)'!$E$3:$ED$25,MATCH('Heat and Mass for AL'!$B14,'FOR AL HMB Only (Dry Gas)'!$C$3:$C$24,0),FALSE)</f>
        <v>#N/A</v>
      </c>
      <c r="I14" s="73">
        <f>HLOOKUP(I$9,'FOR AL HMB Only (Dry Gas)'!$E$3:$ED$25,MATCH('Heat and Mass for AL'!$B14,'FOR AL HMB Only (Dry Gas)'!$C$3:$C$24,0),FALSE)</f>
        <v>17971.815652995152</v>
      </c>
      <c r="J14" s="73" t="e">
        <f>HLOOKUP(J$9,'FOR AL HMB Only (Dry Gas)'!$E$3:$ED$25,MATCH('Heat and Mass for AL'!$B14,'FOR AL HMB Only (Dry Gas)'!$C$3:$C$24,0),FALSE)</f>
        <v>#N/A</v>
      </c>
      <c r="K14" s="73" t="e">
        <f>HLOOKUP(K$9,'FOR AL HMB Only (Dry Gas)'!$E$3:$ED$25,MATCH('Heat and Mass for AL'!$B14,'FOR AL HMB Only (Dry Gas)'!$C$3:$C$24,0),FALSE)</f>
        <v>#N/A</v>
      </c>
      <c r="L14" s="73">
        <f>HLOOKUP(L$9,'FOR AL HMB Only (Dry Gas)'!$E$3:$ED$25,MATCH('Heat and Mass for AL'!$B14,'FOR AL HMB Only (Dry Gas)'!$C$3:$C$24,0),FALSE)</f>
        <v>17971.815652995152</v>
      </c>
      <c r="M14" s="73" t="e">
        <f>HLOOKUP(M$9,'FOR AL HMB Only (Dry Gas)'!$E$3:$ED$25,MATCH('Heat and Mass for AL'!$B14,'FOR AL HMB Only (Dry Gas)'!$C$3:$C$24,0),FALSE)</f>
        <v>#N/A</v>
      </c>
      <c r="N14" s="73" t="e">
        <f>HLOOKUP(N$9,'FOR AL HMB Only (Dry Gas)'!$E$3:$ED$25,MATCH('Heat and Mass for AL'!$B14,'FOR AL HMB Only (Dry Gas)'!$C$3:$C$24,0),FALSE)</f>
        <v>#N/A</v>
      </c>
      <c r="O14" s="73" t="e">
        <f>HLOOKUP(O$9,'FOR AL HMB Only (Dry Gas)'!$E$3:$ED$25,MATCH('Heat and Mass for AL'!$B14,'FOR AL HMB Only (Dry Gas)'!$C$3:$C$24,0),FALSE)</f>
        <v>#N/A</v>
      </c>
      <c r="P14" s="73" t="e">
        <f>HLOOKUP(P$9,'FOR AL HMB Only (Dry Gas)'!$E$3:$ED$25,MATCH('Heat and Mass for AL'!$B14,'FOR AL HMB Only (Dry Gas)'!$C$3:$C$24,0),FALSE)</f>
        <v>#N/A</v>
      </c>
      <c r="Q14" s="73">
        <f>HLOOKUP(Q$9,'FOR AL HMB Only (Dry Gas)'!$E$3:$ED$25,MATCH('Heat and Mass for AL'!$B14,'FOR AL HMB Only (Dry Gas)'!$C$3:$C$24,0),FALSE)</f>
        <v>17971.815652995152</v>
      </c>
      <c r="R14" s="73" t="e">
        <f>HLOOKUP(R$9,'FOR AL HMB Only (Dry Gas)'!$E$3:$ED$25,MATCH('Heat and Mass for AL'!$B14,'FOR AL HMB Only (Dry Gas)'!$C$3:$C$24,0),FALSE)</f>
        <v>#N/A</v>
      </c>
      <c r="S14" s="73" t="e">
        <f>HLOOKUP(S$9,'FOR AL HMB Only (Dry Gas)'!$E$3:$ED$25,MATCH('Heat and Mass for AL'!$B14,'FOR AL HMB Only (Dry Gas)'!$C$3:$C$24,0),FALSE)</f>
        <v>#N/A</v>
      </c>
      <c r="T14" s="73" t="e">
        <f>HLOOKUP(T$9,'FOR AL HMB Only (Dry Gas)'!$E$3:$ED$25,MATCH('Heat and Mass for AL'!$B14,'FOR AL HMB Only (Dry Gas)'!$C$3:$C$24,0),FALSE)</f>
        <v>#N/A</v>
      </c>
      <c r="U14" s="73" t="e">
        <f>HLOOKUP(U$9,'FOR AL HMB Only (Dry Gas)'!$E$3:$ED$25,MATCH('Heat and Mass for AL'!$B14,'FOR AL HMB Only (Dry Gas)'!$C$3:$C$24,0),FALSE)</f>
        <v>#N/A</v>
      </c>
      <c r="V14" s="73" t="e">
        <f>HLOOKUP(V$9,'FOR AL HMB Only (Dry Gas)'!$E$3:$ED$25,MATCH('Heat and Mass for AL'!$B14,'FOR AL HMB Only (Dry Gas)'!$C$3:$C$24,0),FALSE)</f>
        <v>#N/A</v>
      </c>
      <c r="W14" s="73" t="e">
        <f>HLOOKUP(W$9,'FOR AL HMB Only (Dry Gas)'!$E$3:$ED$25,MATCH('Heat and Mass for AL'!$B14,'FOR AL HMB Only (Dry Gas)'!$C$3:$C$24,0),FALSE)</f>
        <v>#N/A</v>
      </c>
    </row>
    <row r="15" spans="1:23" hidden="1" x14ac:dyDescent="0.35">
      <c r="B15" s="19" t="s">
        <v>30</v>
      </c>
      <c r="C15" s="73" t="s">
        <v>31</v>
      </c>
      <c r="D15" s="73" t="e">
        <f>HLOOKUP(D$9,'Property Calc_Design Flow'!$E$3:$EJ$25,MATCH('Heat and Mass for AL'!$B15,'Property Calc_Design Flow'!$C$3:$C$24,0),FALSE)</f>
        <v>#N/A</v>
      </c>
      <c r="E15" s="73" t="e">
        <f>HLOOKUP(E$9,'Property Calc_Design Flow'!$E$3:$EJ$25,MATCH('Heat and Mass for AL'!$B15,'Property Calc_Design Flow'!$C$3:$C$24,0),FALSE)</f>
        <v>#N/A</v>
      </c>
      <c r="F15" s="73">
        <f>HLOOKUP(F$9,'Property Calc_Design Flow'!$E$3:$EJ$25,MATCH('Heat and Mass for AL'!$B15,'Property Calc_Design Flow'!$C$3:$C$24,0),FALSE)</f>
        <v>363.6895833882316</v>
      </c>
      <c r="G15" s="73">
        <f>HLOOKUP(G$9,'Property Calc_Design Flow'!$E$3:$EJ$25,MATCH('Heat and Mass for AL'!$B15,'Property Calc_Design Flow'!$C$3:$C$24,0),FALSE)</f>
        <v>363.67285584927146</v>
      </c>
      <c r="H15" s="73">
        <f>HLOOKUP(H$9,'Property Calc_Design Flow'!$E$3:$EJ$25,MATCH('Heat and Mass for AL'!$B15,'Property Calc_Design Flow'!$C$3:$C$24,0),FALSE)</f>
        <v>363.67285584927146</v>
      </c>
      <c r="I15" s="73">
        <f>HLOOKUP(I$9,'Property Calc_Design Flow'!$E$3:$EJ$25,MATCH('Heat and Mass for AL'!$B15,'Property Calc_Design Flow'!$C$3:$C$24,0),FALSE)</f>
        <v>644.37047611826847</v>
      </c>
      <c r="J15" s="73">
        <f>HLOOKUP(J$9,'Property Calc_Design Flow'!$E$3:$EJ$25,MATCH('Heat and Mass for AL'!$B15,'Property Calc_Design Flow'!$C$3:$C$24,0),FALSE)</f>
        <v>644.37047611826847</v>
      </c>
      <c r="K15" s="73">
        <f>HLOOKUP(K$9,'Property Calc_Design Flow'!$E$3:$EJ$25,MATCH('Heat and Mass for AL'!$B15,'Property Calc_Design Flow'!$C$3:$C$24,0),FALSE)</f>
        <v>644.37047611826847</v>
      </c>
      <c r="L15" s="73">
        <f>HLOOKUP(L$9,'Property Calc_Design Flow'!$E$3:$EJ$25,MATCH('Heat and Mass for AL'!$B15,'Property Calc_Design Flow'!$C$3:$C$24,0),FALSE)</f>
        <v>644.37047611826847</v>
      </c>
      <c r="M15" s="73" t="e">
        <f>HLOOKUP(M$9,'Property Calc_Design Flow'!$E$3:$EJ$25,MATCH('Heat and Mass for AL'!$B15,'Property Calc_Design Flow'!$C$3:$C$24,0),FALSE)</f>
        <v>#N/A</v>
      </c>
      <c r="N15" s="73" t="e">
        <f>HLOOKUP(N$9,'Property Calc_Design Flow'!$E$3:$EJ$25,MATCH('Heat and Mass for AL'!$B15,'Property Calc_Design Flow'!$C$3:$C$24,0),FALSE)</f>
        <v>#N/A</v>
      </c>
      <c r="O15" s="73">
        <f>HLOOKUP(O$9,'Property Calc_Design Flow'!$E$3:$EJ$25,MATCH('Heat and Mass for AL'!$B15,'Property Calc_Design Flow'!$C$3:$C$24,0),FALSE)</f>
        <v>644.08246253498169</v>
      </c>
      <c r="P15" s="73">
        <f>HLOOKUP(P$9,'Property Calc_Design Flow'!$E$3:$EJ$25,MATCH('Heat and Mass for AL'!$B15,'Property Calc_Design Flow'!$C$3:$C$24,0),FALSE)</f>
        <v>644.08246253498169</v>
      </c>
      <c r="Q15" s="73">
        <f>HLOOKUP(Q$9,'Property Calc_Design Flow'!$E$3:$EJ$25,MATCH('Heat and Mass for AL'!$B15,'Property Calc_Design Flow'!$C$3:$C$24,0),FALSE)</f>
        <v>644.08246253498169</v>
      </c>
      <c r="R15" s="73">
        <f>HLOOKUP(R$9,'Property Calc_Design Flow'!$E$3:$EJ$25,MATCH('Heat and Mass for AL'!$B15,'Property Calc_Design Flow'!$C$3:$C$24,0),FALSE)</f>
        <v>280.69762026899713</v>
      </c>
      <c r="S15" s="73">
        <f>HLOOKUP(S$9,'Property Calc_Design Flow'!$E$3:$EJ$25,MATCH('Heat and Mass for AL'!$B15,'Property Calc_Design Flow'!$C$3:$C$24,0),FALSE)</f>
        <v>280.69762026899713</v>
      </c>
      <c r="T15" s="73">
        <f>HLOOKUP(T$9,'Property Calc_Design Flow'!$E$3:$EJ$25,MATCH('Heat and Mass for AL'!$B15,'Property Calc_Design Flow'!$C$3:$C$24,0),FALSE)</f>
        <v>220.37972910859295</v>
      </c>
      <c r="U15" s="73">
        <f>HLOOKUP(U$9,'Property Calc_Design Flow'!$E$3:$EJ$25,MATCH('Heat and Mass for AL'!$B15,'Property Calc_Design Flow'!$C$3:$C$24,0),FALSE)</f>
        <v>220.37972910859295</v>
      </c>
      <c r="V15" s="73">
        <f>HLOOKUP(V$9,'Property Calc_Design Flow'!$E$3:$EJ$25,MATCH('Heat and Mass for AL'!$B15,'Property Calc_Design Flow'!$C$3:$C$24,0),FALSE)</f>
        <v>220.37972910859295</v>
      </c>
      <c r="W15" s="73">
        <f>HLOOKUP(W$9,'Property Calc_Design Flow'!$E$3:$EJ$25,MATCH('Heat and Mass for AL'!$B15,'Property Calc_Design Flow'!$C$3:$C$24,0),FALSE)</f>
        <v>220.37972910859295</v>
      </c>
    </row>
    <row r="16" spans="1:23" x14ac:dyDescent="0.35">
      <c r="B16" s="19" t="s">
        <v>18</v>
      </c>
      <c r="C16" s="73"/>
      <c r="D16" s="73">
        <f>HLOOKUP(D$9,'FOR AL HMB Only (Dry Gas)'!$E$3:$ED$25,MATCH('Heat and Mass for AL'!$B16,'FOR AL HMB Only (Dry Gas)'!$C$3:$C$24,0),FALSE)</f>
        <v>26.960060015092555</v>
      </c>
      <c r="E16" s="73" t="e">
        <f>HLOOKUP(E$9,'FOR AL HMB Only (Dry Gas)'!$E$3:$ED$25,MATCH('Heat and Mass for AL'!$B16,'FOR AL HMB Only (Dry Gas)'!$C$3:$C$24,0),FALSE)</f>
        <v>#N/A</v>
      </c>
      <c r="F16" s="73" t="e">
        <f>HLOOKUP(F$9,'FOR AL HMB Only (Dry Gas)'!$E$3:$ED$25,MATCH('Heat and Mass for AL'!$B16,'FOR AL HMB Only (Dry Gas)'!$C$3:$C$24,0),FALSE)</f>
        <v>#N/A</v>
      </c>
      <c r="G16" s="73">
        <f>HLOOKUP(G$9,'FOR AL HMB Only (Dry Gas)'!$E$3:$ED$25,MATCH('Heat and Mass for AL'!$B16,'FOR AL HMB Only (Dry Gas)'!$C$3:$C$24,0),FALSE)</f>
        <v>26.959732221781099</v>
      </c>
      <c r="H16" s="73" t="e">
        <f>HLOOKUP(H$9,'FOR AL HMB Only (Dry Gas)'!$E$3:$ED$25,MATCH('Heat and Mass for AL'!$B16,'FOR AL HMB Only (Dry Gas)'!$C$3:$C$24,0),FALSE)</f>
        <v>#N/A</v>
      </c>
      <c r="I16" s="73">
        <f>HLOOKUP(I$9,'FOR AL HMB Only (Dry Gas)'!$E$3:$ED$25,MATCH('Heat and Mass for AL'!$B16,'FOR AL HMB Only (Dry Gas)'!$C$3:$C$24,0),FALSE)</f>
        <v>27.905094155442288</v>
      </c>
      <c r="J16" s="73" t="e">
        <f>HLOOKUP(J$9,'FOR AL HMB Only (Dry Gas)'!$E$3:$ED$25,MATCH('Heat and Mass for AL'!$B16,'FOR AL HMB Only (Dry Gas)'!$C$3:$C$24,0),FALSE)</f>
        <v>#N/A</v>
      </c>
      <c r="K16" s="73" t="e">
        <f>HLOOKUP(K$9,'FOR AL HMB Only (Dry Gas)'!$E$3:$ED$25,MATCH('Heat and Mass for AL'!$B16,'FOR AL HMB Only (Dry Gas)'!$C$3:$C$24,0),FALSE)</f>
        <v>#N/A</v>
      </c>
      <c r="L16" s="73">
        <f>HLOOKUP(L$9,'FOR AL HMB Only (Dry Gas)'!$E$3:$ED$25,MATCH('Heat and Mass for AL'!$B16,'FOR AL HMB Only (Dry Gas)'!$C$3:$C$24,0),FALSE)</f>
        <v>27.905094155442288</v>
      </c>
      <c r="M16" s="73" t="e">
        <f>HLOOKUP(M$9,'FOR AL HMB Only (Dry Gas)'!$E$3:$ED$25,MATCH('Heat and Mass for AL'!$B16,'FOR AL HMB Only (Dry Gas)'!$C$3:$C$24,0),FALSE)</f>
        <v>#N/A</v>
      </c>
      <c r="N16" s="73" t="e">
        <f>HLOOKUP(N$9,'FOR AL HMB Only (Dry Gas)'!$E$3:$ED$25,MATCH('Heat and Mass for AL'!$B16,'FOR AL HMB Only (Dry Gas)'!$C$3:$C$24,0),FALSE)</f>
        <v>#N/A</v>
      </c>
      <c r="O16" s="73" t="e">
        <f>HLOOKUP(O$9,'FOR AL HMB Only (Dry Gas)'!$E$3:$ED$25,MATCH('Heat and Mass for AL'!$B16,'FOR AL HMB Only (Dry Gas)'!$C$3:$C$24,0),FALSE)</f>
        <v>#N/A</v>
      </c>
      <c r="P16" s="73" t="e">
        <f>HLOOKUP(P$9,'FOR AL HMB Only (Dry Gas)'!$E$3:$ED$25,MATCH('Heat and Mass for AL'!$B16,'FOR AL HMB Only (Dry Gas)'!$C$3:$C$24,0),FALSE)</f>
        <v>#N/A</v>
      </c>
      <c r="Q16" s="73">
        <f>HLOOKUP(Q$9,'FOR AL HMB Only (Dry Gas)'!$E$3:$ED$25,MATCH('Heat and Mass for AL'!$B16,'FOR AL HMB Only (Dry Gas)'!$C$3:$C$24,0),FALSE)</f>
        <v>27.905094155442288</v>
      </c>
      <c r="R16" s="73" t="e">
        <f>HLOOKUP(R$9,'FOR AL HMB Only (Dry Gas)'!$E$3:$ED$25,MATCH('Heat and Mass for AL'!$B16,'FOR AL HMB Only (Dry Gas)'!$C$3:$C$24,0),FALSE)</f>
        <v>#N/A</v>
      </c>
      <c r="S16" s="73" t="e">
        <f>HLOOKUP(S$9,'FOR AL HMB Only (Dry Gas)'!$E$3:$ED$25,MATCH('Heat and Mass for AL'!$B16,'FOR AL HMB Only (Dry Gas)'!$C$3:$C$24,0),FALSE)</f>
        <v>#N/A</v>
      </c>
      <c r="T16" s="73" t="e">
        <f>HLOOKUP(T$9,'FOR AL HMB Only (Dry Gas)'!$E$3:$ED$25,MATCH('Heat and Mass for AL'!$B16,'FOR AL HMB Only (Dry Gas)'!$C$3:$C$24,0),FALSE)</f>
        <v>#N/A</v>
      </c>
      <c r="U16" s="73" t="e">
        <f>HLOOKUP(U$9,'FOR AL HMB Only (Dry Gas)'!$E$3:$ED$25,MATCH('Heat and Mass for AL'!$B16,'FOR AL HMB Only (Dry Gas)'!$C$3:$C$24,0),FALSE)</f>
        <v>#N/A</v>
      </c>
      <c r="V16" s="73" t="e">
        <f>HLOOKUP(V$9,'FOR AL HMB Only (Dry Gas)'!$E$3:$ED$25,MATCH('Heat and Mass for AL'!$B16,'FOR AL HMB Only (Dry Gas)'!$C$3:$C$24,0),FALSE)</f>
        <v>#N/A</v>
      </c>
      <c r="W16" s="73" t="e">
        <f>HLOOKUP(W$9,'FOR AL HMB Only (Dry Gas)'!$E$3:$ED$25,MATCH('Heat and Mass for AL'!$B16,'FOR AL HMB Only (Dry Gas)'!$C$3:$C$24,0),FALSE)</f>
        <v>#N/A</v>
      </c>
    </row>
    <row r="17" spans="1:23" x14ac:dyDescent="0.35">
      <c r="B17" s="19" t="s">
        <v>22</v>
      </c>
      <c r="C17" s="73" t="s">
        <v>23</v>
      </c>
      <c r="D17" s="73">
        <f>HLOOKUP(D$9,'FOR AL HMB Only (Dry Gas)'!$E$3:$ED$25,MATCH('Heat and Mass for AL'!$B17,'FOR AL HMB Only (Dry Gas)'!$C$3:$C$24,0),FALSE)</f>
        <v>0.99980339092408044</v>
      </c>
      <c r="E17" s="73" t="e">
        <f>HLOOKUP(E$9,'FOR AL HMB Only (Dry Gas)'!$E$3:$ED$25,MATCH('Heat and Mass for AL'!$B17,'FOR AL HMB Only (Dry Gas)'!$C$3:$C$24,0),FALSE)</f>
        <v>#N/A</v>
      </c>
      <c r="F17" s="73" t="e">
        <f>HLOOKUP(F$9,'FOR AL HMB Only (Dry Gas)'!$E$3:$ED$25,MATCH('Heat and Mass for AL'!$B17,'FOR AL HMB Only (Dry Gas)'!$C$3:$C$24,0),FALSE)</f>
        <v>#N/A</v>
      </c>
      <c r="G17" s="73">
        <f>HLOOKUP(G$9,'FOR AL HMB Only (Dry Gas)'!$E$3:$ED$25,MATCH('Heat and Mass for AL'!$B17,'FOR AL HMB Only (Dry Gas)'!$C$3:$C$24,0),FALSE)</f>
        <v>0.99980339092407999</v>
      </c>
      <c r="H17" s="73" t="e">
        <f>HLOOKUP(H$9,'FOR AL HMB Only (Dry Gas)'!$E$3:$ED$25,MATCH('Heat and Mass for AL'!$B17,'FOR AL HMB Only (Dry Gas)'!$C$3:$C$24,0),FALSE)</f>
        <v>#N/A</v>
      </c>
      <c r="I17" s="73">
        <f>HLOOKUP(I$9,'FOR AL HMB Only (Dry Gas)'!$E$3:$ED$25,MATCH('Heat and Mass for AL'!$B17,'FOR AL HMB Only (Dry Gas)'!$C$3:$C$24,0),FALSE)</f>
        <v>0.99980339092408044</v>
      </c>
      <c r="J17" s="73" t="e">
        <f>HLOOKUP(J$9,'FOR AL HMB Only (Dry Gas)'!$E$3:$ED$25,MATCH('Heat and Mass for AL'!$B17,'FOR AL HMB Only (Dry Gas)'!$C$3:$C$24,0),FALSE)</f>
        <v>#N/A</v>
      </c>
      <c r="K17" s="73" t="e">
        <f>HLOOKUP(K$9,'FOR AL HMB Only (Dry Gas)'!$E$3:$ED$25,MATCH('Heat and Mass for AL'!$B17,'FOR AL HMB Only (Dry Gas)'!$C$3:$C$24,0),FALSE)</f>
        <v>#N/A</v>
      </c>
      <c r="L17" s="73">
        <f>HLOOKUP(L$9,'FOR AL HMB Only (Dry Gas)'!$E$3:$ED$25,MATCH('Heat and Mass for AL'!$B17,'FOR AL HMB Only (Dry Gas)'!$C$3:$C$24,0),FALSE)</f>
        <v>0.99980339092408077</v>
      </c>
      <c r="M17" s="73" t="e">
        <f>HLOOKUP(M$9,'FOR AL HMB Only (Dry Gas)'!$E$3:$ED$25,MATCH('Heat and Mass for AL'!$B17,'FOR AL HMB Only (Dry Gas)'!$C$3:$C$24,0),FALSE)</f>
        <v>#N/A</v>
      </c>
      <c r="N17" s="73" t="e">
        <f>HLOOKUP(N$9,'FOR AL HMB Only (Dry Gas)'!$E$3:$ED$25,MATCH('Heat and Mass for AL'!$B17,'FOR AL HMB Only (Dry Gas)'!$C$3:$C$24,0),FALSE)</f>
        <v>#N/A</v>
      </c>
      <c r="O17" s="73" t="e">
        <f>HLOOKUP(O$9,'FOR AL HMB Only (Dry Gas)'!$E$3:$ED$25,MATCH('Heat and Mass for AL'!$B17,'FOR AL HMB Only (Dry Gas)'!$C$3:$C$24,0),FALSE)</f>
        <v>#N/A</v>
      </c>
      <c r="P17" s="73" t="e">
        <f>HLOOKUP(P$9,'FOR AL HMB Only (Dry Gas)'!$E$3:$ED$25,MATCH('Heat and Mass for AL'!$B17,'FOR AL HMB Only (Dry Gas)'!$C$3:$C$24,0),FALSE)</f>
        <v>#N/A</v>
      </c>
      <c r="Q17" s="73">
        <f>HLOOKUP(Q$9,'FOR AL HMB Only (Dry Gas)'!$E$3:$ED$25,MATCH('Heat and Mass for AL'!$B17,'FOR AL HMB Only (Dry Gas)'!$C$3:$C$24,0),FALSE)</f>
        <v>0.99980339092408033</v>
      </c>
      <c r="R17" s="73" t="e">
        <f>HLOOKUP(R$9,'FOR AL HMB Only (Dry Gas)'!$E$3:$ED$25,MATCH('Heat and Mass for AL'!$B17,'FOR AL HMB Only (Dry Gas)'!$C$3:$C$24,0),FALSE)</f>
        <v>#N/A</v>
      </c>
      <c r="S17" s="73" t="e">
        <f>HLOOKUP(S$9,'FOR AL HMB Only (Dry Gas)'!$E$3:$ED$25,MATCH('Heat and Mass for AL'!$B17,'FOR AL HMB Only (Dry Gas)'!$C$3:$C$24,0),FALSE)</f>
        <v>#N/A</v>
      </c>
      <c r="T17" s="73" t="e">
        <f>HLOOKUP(T$9,'FOR AL HMB Only (Dry Gas)'!$E$3:$ED$25,MATCH('Heat and Mass for AL'!$B17,'FOR AL HMB Only (Dry Gas)'!$C$3:$C$24,0),FALSE)</f>
        <v>#N/A</v>
      </c>
      <c r="U17" s="73" t="e">
        <f>HLOOKUP(U$9,'FOR AL HMB Only (Dry Gas)'!$E$3:$ED$25,MATCH('Heat and Mass for AL'!$B17,'FOR AL HMB Only (Dry Gas)'!$C$3:$C$24,0),FALSE)</f>
        <v>#N/A</v>
      </c>
      <c r="V17" s="73" t="e">
        <f>HLOOKUP(V$9,'FOR AL HMB Only (Dry Gas)'!$E$3:$ED$25,MATCH('Heat and Mass for AL'!$B17,'FOR AL HMB Only (Dry Gas)'!$C$3:$C$24,0),FALSE)</f>
        <v>#N/A</v>
      </c>
      <c r="W17" s="73" t="e">
        <f>HLOOKUP(W$9,'FOR AL HMB Only (Dry Gas)'!$E$3:$ED$25,MATCH('Heat and Mass for AL'!$B17,'FOR AL HMB Only (Dry Gas)'!$C$3:$C$24,0),FALSE)</f>
        <v>#N/A</v>
      </c>
    </row>
    <row r="18" spans="1:23" x14ac:dyDescent="0.35">
      <c r="B18" s="19" t="s">
        <v>20</v>
      </c>
      <c r="C18" s="73" t="s">
        <v>21</v>
      </c>
      <c r="D18" s="76">
        <f>HLOOKUP(D$9,'FOR AL HMB Only (Dry Gas)'!$E$3:$ED$25,MATCH('Heat and Mass for AL'!$B18,'FOR AL HMB Only (Dry Gas)'!$C$3:$C$24,0),FALSE)</f>
        <v>6.6688020679925228E-2</v>
      </c>
      <c r="E18" s="76" t="e">
        <f>HLOOKUP(E$9,'FOR AL HMB Only (Dry Gas)'!$E$3:$ED$25,MATCH('Heat and Mass for AL'!$B18,'FOR AL HMB Only (Dry Gas)'!$C$3:$C$24,0),FALSE)</f>
        <v>#N/A</v>
      </c>
      <c r="F18" s="76" t="e">
        <f>HLOOKUP(F$9,'FOR AL HMB Only (Dry Gas)'!$E$3:$ED$25,MATCH('Heat and Mass for AL'!$B18,'FOR AL HMB Only (Dry Gas)'!$C$3:$C$24,0),FALSE)</f>
        <v>#N/A</v>
      </c>
      <c r="G18" s="76">
        <f>HLOOKUP(G$9,'FOR AL HMB Only (Dry Gas)'!$E$3:$ED$25,MATCH('Heat and Mass for AL'!$B18,'FOR AL HMB Only (Dry Gas)'!$C$3:$C$24,0),FALSE)</f>
        <v>7.7192551660211245E-2</v>
      </c>
      <c r="H18" s="76" t="e">
        <f>HLOOKUP(H$9,'FOR AL HMB Only (Dry Gas)'!$E$3:$ED$25,MATCH('Heat and Mass for AL'!$B18,'FOR AL HMB Only (Dry Gas)'!$C$3:$C$24,0),FALSE)</f>
        <v>#N/A</v>
      </c>
      <c r="I18" s="76">
        <f>HLOOKUP(I$9,'FOR AL HMB Only (Dry Gas)'!$E$3:$ED$25,MATCH('Heat and Mass for AL'!$B18,'FOR AL HMB Only (Dry Gas)'!$C$3:$C$24,0),FALSE)</f>
        <v>7.8469206821564996E-2</v>
      </c>
      <c r="J18" s="76" t="e">
        <f>HLOOKUP(J$9,'FOR AL HMB Only (Dry Gas)'!$E$3:$ED$25,MATCH('Heat and Mass for AL'!$B18,'FOR AL HMB Only (Dry Gas)'!$C$3:$C$24,0),FALSE)</f>
        <v>#N/A</v>
      </c>
      <c r="K18" s="76" t="e">
        <f>HLOOKUP(K$9,'FOR AL HMB Only (Dry Gas)'!$E$3:$ED$25,MATCH('Heat and Mass for AL'!$B18,'FOR AL HMB Only (Dry Gas)'!$C$3:$C$24,0),FALSE)</f>
        <v>#N/A</v>
      </c>
      <c r="L18" s="76">
        <f>HLOOKUP(L$9,'FOR AL HMB Only (Dry Gas)'!$E$3:$ED$25,MATCH('Heat and Mass for AL'!$B18,'FOR AL HMB Only (Dry Gas)'!$C$3:$C$24,0),FALSE)</f>
        <v>0.95368575750531892</v>
      </c>
      <c r="M18" s="76" t="e">
        <f>HLOOKUP(M$9,'FOR AL HMB Only (Dry Gas)'!$E$3:$ED$25,MATCH('Heat and Mass for AL'!$B18,'FOR AL HMB Only (Dry Gas)'!$C$3:$C$24,0),FALSE)</f>
        <v>#N/A</v>
      </c>
      <c r="N18" s="76" t="e">
        <f>HLOOKUP(N$9,'FOR AL HMB Only (Dry Gas)'!$E$3:$ED$25,MATCH('Heat and Mass for AL'!$B18,'FOR AL HMB Only (Dry Gas)'!$C$3:$C$24,0),FALSE)</f>
        <v>#N/A</v>
      </c>
      <c r="O18" s="76" t="e">
        <f>HLOOKUP(O$9,'FOR AL HMB Only (Dry Gas)'!$E$3:$ED$25,MATCH('Heat and Mass for AL'!$B18,'FOR AL HMB Only (Dry Gas)'!$C$3:$C$24,0),FALSE)</f>
        <v>#N/A</v>
      </c>
      <c r="P18" s="76" t="e">
        <f>HLOOKUP(P$9,'FOR AL HMB Only (Dry Gas)'!$E$3:$ED$25,MATCH('Heat and Mass for AL'!$B18,'FOR AL HMB Only (Dry Gas)'!$C$3:$C$24,0),FALSE)</f>
        <v>#N/A</v>
      </c>
      <c r="Q18" s="76">
        <f>HLOOKUP(Q$9,'FOR AL HMB Only (Dry Gas)'!$E$3:$ED$25,MATCH('Heat and Mass for AL'!$B18,'FOR AL HMB Only (Dry Gas)'!$C$3:$C$24,0),FALSE)</f>
        <v>1.0441203535310557</v>
      </c>
      <c r="R18" s="76" t="e">
        <f>HLOOKUP(R$9,'FOR AL HMB Only (Dry Gas)'!$E$3:$ED$25,MATCH('Heat and Mass for AL'!$B18,'FOR AL HMB Only (Dry Gas)'!$C$3:$C$24,0),FALSE)</f>
        <v>#N/A</v>
      </c>
      <c r="S18" s="76" t="e">
        <f>HLOOKUP(S$9,'FOR AL HMB Only (Dry Gas)'!$E$3:$ED$25,MATCH('Heat and Mass for AL'!$B18,'FOR AL HMB Only (Dry Gas)'!$C$3:$C$24,0),FALSE)</f>
        <v>#N/A</v>
      </c>
      <c r="T18" s="76" t="e">
        <f>HLOOKUP(T$9,'FOR AL HMB Only (Dry Gas)'!$E$3:$ED$25,MATCH('Heat and Mass for AL'!$B18,'FOR AL HMB Only (Dry Gas)'!$C$3:$C$24,0),FALSE)</f>
        <v>#N/A</v>
      </c>
      <c r="U18" s="76" t="e">
        <f>HLOOKUP(U$9,'FOR AL HMB Only (Dry Gas)'!$E$3:$ED$25,MATCH('Heat and Mass for AL'!$B18,'FOR AL HMB Only (Dry Gas)'!$C$3:$C$24,0),FALSE)</f>
        <v>#N/A</v>
      </c>
      <c r="V18" s="76" t="e">
        <f>HLOOKUP(V$9,'FOR AL HMB Only (Dry Gas)'!$E$3:$ED$25,MATCH('Heat and Mass for AL'!$B18,'FOR AL HMB Only (Dry Gas)'!$C$3:$C$24,0),FALSE)</f>
        <v>#N/A</v>
      </c>
      <c r="W18" s="76" t="e">
        <f>HLOOKUP(W$9,'FOR AL HMB Only (Dry Gas)'!$E$3:$ED$25,MATCH('Heat and Mass for AL'!$B18,'FOR AL HMB Only (Dry Gas)'!$C$3:$C$24,0),FALSE)</f>
        <v>#N/A</v>
      </c>
    </row>
    <row r="19" spans="1:23" x14ac:dyDescent="0.35">
      <c r="B19" s="11" t="s">
        <v>159</v>
      </c>
      <c r="C19" s="78" t="s">
        <v>3</v>
      </c>
      <c r="D19" s="73">
        <f>HLOOKUP(D$9,'FOR AL HMB Only (Dry Gas)'!$E$3:$ED$25,MATCH('Heat and Mass for AL'!$B19,'FOR AL HMB Only (Dry Gas)'!$C$3:$C$24,0),FALSE)</f>
        <v>0</v>
      </c>
      <c r="E19" s="73" t="e">
        <f>HLOOKUP(E$9,'FOR AL HMB Only (Dry Gas)'!$E$3:$ED$25,MATCH('Heat and Mass for AL'!$B19,'FOR AL HMB Only (Dry Gas)'!$C$3:$C$24,0),FALSE)</f>
        <v>#N/A</v>
      </c>
      <c r="F19" s="73" t="e">
        <f>HLOOKUP(F$9,'FOR AL HMB Only (Dry Gas)'!$E$3:$ED$25,MATCH('Heat and Mass for AL'!$B19,'FOR AL HMB Only (Dry Gas)'!$C$3:$C$24,0),FALSE)</f>
        <v>#N/A</v>
      </c>
      <c r="G19" s="73" t="str">
        <f>HLOOKUP(G$9,'FOR AL HMB Only (Dry Gas)'!$E$3:$ED$25,MATCH('Heat and Mass for AL'!$B19,'FOR AL HMB Only (Dry Gas)'!$C$3:$C$24,0),FALSE)</f>
        <v/>
      </c>
      <c r="H19" s="73" t="e">
        <f>HLOOKUP(H$9,'FOR AL HMB Only (Dry Gas)'!$E$3:$ED$25,MATCH('Heat and Mass for AL'!$B19,'FOR AL HMB Only (Dry Gas)'!$C$3:$C$24,0),FALSE)</f>
        <v>#N/A</v>
      </c>
      <c r="I19" s="73" t="str">
        <f>HLOOKUP(I$9,'FOR AL HMB Only (Dry Gas)'!$E$3:$ED$25,MATCH('Heat and Mass for AL'!$B19,'FOR AL HMB Only (Dry Gas)'!$C$3:$C$24,0),FALSE)</f>
        <v/>
      </c>
      <c r="J19" s="73" t="e">
        <f>HLOOKUP(J$9,'FOR AL HMB Only (Dry Gas)'!$E$3:$ED$25,MATCH('Heat and Mass for AL'!$B19,'FOR AL HMB Only (Dry Gas)'!$C$3:$C$24,0),FALSE)</f>
        <v>#N/A</v>
      </c>
      <c r="K19" s="73" t="e">
        <f>HLOOKUP(K$9,'FOR AL HMB Only (Dry Gas)'!$E$3:$ED$25,MATCH('Heat and Mass for AL'!$B19,'FOR AL HMB Only (Dry Gas)'!$C$3:$C$24,0),FALSE)</f>
        <v>#N/A</v>
      </c>
      <c r="L19" s="73" t="str">
        <f>HLOOKUP(L$9,'FOR AL HMB Only (Dry Gas)'!$E$3:$ED$25,MATCH('Heat and Mass for AL'!$B19,'FOR AL HMB Only (Dry Gas)'!$C$3:$C$24,0),FALSE)</f>
        <v/>
      </c>
      <c r="M19" s="73" t="e">
        <f>HLOOKUP(M$9,'FOR AL HMB Only (Dry Gas)'!$E$3:$ED$25,MATCH('Heat and Mass for AL'!$B19,'FOR AL HMB Only (Dry Gas)'!$C$3:$C$24,0),FALSE)</f>
        <v>#N/A</v>
      </c>
      <c r="N19" s="73" t="e">
        <f>HLOOKUP(N$9,'FOR AL HMB Only (Dry Gas)'!$E$3:$ED$25,MATCH('Heat and Mass for AL'!$B19,'FOR AL HMB Only (Dry Gas)'!$C$3:$C$24,0),FALSE)</f>
        <v>#N/A</v>
      </c>
      <c r="O19" s="73" t="e">
        <f>HLOOKUP(O$9,'FOR AL HMB Only (Dry Gas)'!$E$3:$ED$25,MATCH('Heat and Mass for AL'!$B19,'FOR AL HMB Only (Dry Gas)'!$C$3:$C$24,0),FALSE)</f>
        <v>#N/A</v>
      </c>
      <c r="P19" s="73" t="e">
        <f>HLOOKUP(P$9,'FOR AL HMB Only (Dry Gas)'!$E$3:$ED$25,MATCH('Heat and Mass for AL'!$B19,'FOR AL HMB Only (Dry Gas)'!$C$3:$C$24,0),FALSE)</f>
        <v>#N/A</v>
      </c>
      <c r="Q19" s="73" t="str">
        <f>HLOOKUP(Q$9,'FOR AL HMB Only (Dry Gas)'!$E$3:$ED$25,MATCH('Heat and Mass for AL'!$B19,'FOR AL HMB Only (Dry Gas)'!$C$3:$C$24,0),FALSE)</f>
        <v/>
      </c>
      <c r="R19" s="73" t="e">
        <f>HLOOKUP(R$9,'FOR AL HMB Only (Dry Gas)'!$E$3:$ED$25,MATCH('Heat and Mass for AL'!$B19,'FOR AL HMB Only (Dry Gas)'!$C$3:$C$24,0),FALSE)</f>
        <v>#N/A</v>
      </c>
      <c r="S19" s="73" t="e">
        <f>HLOOKUP(S$9,'FOR AL HMB Only (Dry Gas)'!$E$3:$ED$25,MATCH('Heat and Mass for AL'!$B19,'FOR AL HMB Only (Dry Gas)'!$C$3:$C$24,0),FALSE)</f>
        <v>#N/A</v>
      </c>
      <c r="T19" s="73" t="e">
        <f>HLOOKUP(T$9,'FOR AL HMB Only (Dry Gas)'!$E$3:$ED$25,MATCH('Heat and Mass for AL'!$B19,'FOR AL HMB Only (Dry Gas)'!$C$3:$C$24,0),FALSE)</f>
        <v>#N/A</v>
      </c>
      <c r="U19" s="73" t="e">
        <f>HLOOKUP(U$9,'FOR AL HMB Only (Dry Gas)'!$E$3:$ED$25,MATCH('Heat and Mass for AL'!$B19,'FOR AL HMB Only (Dry Gas)'!$C$3:$C$24,0),FALSE)</f>
        <v>#N/A</v>
      </c>
      <c r="V19" s="73" t="e">
        <f>HLOOKUP(V$9,'FOR AL HMB Only (Dry Gas)'!$E$3:$ED$25,MATCH('Heat and Mass for AL'!$B19,'FOR AL HMB Only (Dry Gas)'!$C$3:$C$24,0),FALSE)</f>
        <v>#N/A</v>
      </c>
      <c r="W19" s="73" t="e">
        <f>HLOOKUP(W$9,'FOR AL HMB Only (Dry Gas)'!$E$3:$ED$25,MATCH('Heat and Mass for AL'!$B19,'FOR AL HMB Only (Dry Gas)'!$C$3:$C$24,0),FALSE)</f>
        <v>#N/A</v>
      </c>
    </row>
    <row r="20" spans="1:23" x14ac:dyDescent="0.35">
      <c r="B20" s="74" t="s">
        <v>169</v>
      </c>
      <c r="C20" s="534"/>
      <c r="D20" s="535"/>
      <c r="E20" s="535"/>
      <c r="F20" s="535"/>
      <c r="G20" s="535"/>
      <c r="H20" s="535"/>
      <c r="I20" s="535"/>
      <c r="J20" s="535"/>
      <c r="K20" s="535"/>
      <c r="L20" s="535"/>
      <c r="M20" s="535"/>
      <c r="N20" s="535"/>
      <c r="O20" s="535"/>
      <c r="P20" s="535"/>
      <c r="Q20" s="535"/>
      <c r="R20" s="535"/>
      <c r="S20" s="535"/>
      <c r="T20" s="535"/>
      <c r="U20" s="535"/>
      <c r="V20" s="535"/>
    </row>
    <row r="21" spans="1:23" x14ac:dyDescent="0.35">
      <c r="A21" s="77">
        <v>1</v>
      </c>
      <c r="B21" s="19" t="str">
        <f>VLOOKUP($A21,'Property Calc_Design Flow'!$B$18:$D$134,2,FALSE)</f>
        <v>Methane (CH4)</v>
      </c>
      <c r="C21" s="73" t="s">
        <v>122</v>
      </c>
      <c r="D21" s="76">
        <f>HLOOKUP(D$9,'FOR AL HMB Only (Dry Gas)'!$E$3:$ED$25,MATCH('Heat and Mass for AL'!$B21,'FOR AL HMB Only (Dry Gas)'!$C$3:$C$24,0),FALSE)</f>
        <v>60.188550526610996</v>
      </c>
      <c r="E21" s="76" t="e">
        <f>HLOOKUP(E$9,'FOR AL HMB Only (Dry Gas)'!$E$3:$ED$25,MATCH('Heat and Mass for AL'!$B21,'FOR AL HMB Only (Dry Gas)'!$C$3:$C$24,0),FALSE)</f>
        <v>#N/A</v>
      </c>
      <c r="F21" s="76" t="e">
        <f>HLOOKUP(F$9,'FOR AL HMB Only (Dry Gas)'!$E$3:$ED$25,MATCH('Heat and Mass for AL'!$B21,'FOR AL HMB Only (Dry Gas)'!$C$3:$C$24,0),FALSE)</f>
        <v>#N/A</v>
      </c>
      <c r="G21" s="76">
        <f>HLOOKUP(G$9,'FOR AL HMB Only (Dry Gas)'!$E$3:$ED$25,MATCH('Heat and Mass for AL'!$B21,'FOR AL HMB Only (Dry Gas)'!$C$3:$C$24,0),FALSE)</f>
        <v>60.191321533716454</v>
      </c>
      <c r="H21" s="76" t="e">
        <f>HLOOKUP(H$9,'FOR AL HMB Only (Dry Gas)'!$E$3:$ED$25,MATCH('Heat and Mass for AL'!$B21,'FOR AL HMB Only (Dry Gas)'!$C$3:$C$24,0),FALSE)</f>
        <v>#N/A</v>
      </c>
      <c r="I21" s="76">
        <f>HLOOKUP(I$9,'FOR AL HMB Only (Dry Gas)'!$E$3:$ED$25,MATCH('Heat and Mass for AL'!$B21,'FOR AL HMB Only (Dry Gas)'!$C$3:$C$24,0),FALSE)</f>
        <v>56.540344226635753</v>
      </c>
      <c r="J21" s="76" t="e">
        <f>HLOOKUP(J$9,'FOR AL HMB Only (Dry Gas)'!$E$3:$ED$25,MATCH('Heat and Mass for AL'!$B21,'FOR AL HMB Only (Dry Gas)'!$C$3:$C$24,0),FALSE)</f>
        <v>#N/A</v>
      </c>
      <c r="K21" s="76" t="e">
        <f>HLOOKUP(K$9,'FOR AL HMB Only (Dry Gas)'!$E$3:$ED$25,MATCH('Heat and Mass for AL'!$B21,'FOR AL HMB Only (Dry Gas)'!$C$3:$C$24,0),FALSE)</f>
        <v>#N/A</v>
      </c>
      <c r="L21" s="76">
        <f>HLOOKUP(L$9,'FOR AL HMB Only (Dry Gas)'!$E$3:$ED$25,MATCH('Heat and Mass for AL'!$B21,'FOR AL HMB Only (Dry Gas)'!$C$3:$C$24,0),FALSE)</f>
        <v>56.540344226635753</v>
      </c>
      <c r="M21" s="76" t="e">
        <f>HLOOKUP(M$9,'FOR AL HMB Only (Dry Gas)'!$E$3:$ED$25,MATCH('Heat and Mass for AL'!$B21,'FOR AL HMB Only (Dry Gas)'!$C$3:$C$24,0),FALSE)</f>
        <v>#N/A</v>
      </c>
      <c r="N21" s="76" t="e">
        <f>HLOOKUP(N$9,'FOR AL HMB Only (Dry Gas)'!$E$3:$ED$25,MATCH('Heat and Mass for AL'!$B21,'FOR AL HMB Only (Dry Gas)'!$C$3:$C$24,0),FALSE)</f>
        <v>#N/A</v>
      </c>
      <c r="O21" s="76" t="e">
        <f>HLOOKUP(O$9,'FOR AL HMB Only (Dry Gas)'!$E$3:$ED$25,MATCH('Heat and Mass for AL'!$B21,'FOR AL HMB Only (Dry Gas)'!$C$3:$C$24,0),FALSE)</f>
        <v>#N/A</v>
      </c>
      <c r="P21" s="76" t="e">
        <f>HLOOKUP(P$9,'FOR AL HMB Only (Dry Gas)'!$E$3:$ED$25,MATCH('Heat and Mass for AL'!$B21,'FOR AL HMB Only (Dry Gas)'!$C$3:$C$24,0),FALSE)</f>
        <v>#N/A</v>
      </c>
      <c r="Q21" s="76">
        <f>HLOOKUP(Q$9,'FOR AL HMB Only (Dry Gas)'!$E$3:$ED$25,MATCH('Heat and Mass for AL'!$B21,'FOR AL HMB Only (Dry Gas)'!$C$3:$C$24,0),FALSE)</f>
        <v>56.540344226635753</v>
      </c>
      <c r="R21" s="76" t="e">
        <f>HLOOKUP(R$9,'FOR AL HMB Only (Dry Gas)'!$E$3:$ED$25,MATCH('Heat and Mass for AL'!$B21,'FOR AL HMB Only (Dry Gas)'!$C$3:$C$24,0),FALSE)</f>
        <v>#N/A</v>
      </c>
      <c r="S21" s="76" t="e">
        <f>HLOOKUP(S$9,'FOR AL HMB Only (Dry Gas)'!$E$3:$ED$25,MATCH('Heat and Mass for AL'!$B21,'FOR AL HMB Only (Dry Gas)'!$C$3:$C$24,0),FALSE)</f>
        <v>#N/A</v>
      </c>
      <c r="T21" s="76" t="e">
        <f>HLOOKUP(T$9,'FOR AL HMB Only (Dry Gas)'!$E$3:$ED$25,MATCH('Heat and Mass for AL'!$B21,'FOR AL HMB Only (Dry Gas)'!$C$3:$C$24,0),FALSE)</f>
        <v>#N/A</v>
      </c>
      <c r="U21" s="76" t="e">
        <f>HLOOKUP(U$9,'FOR AL HMB Only (Dry Gas)'!$E$3:$ED$25,MATCH('Heat and Mass for AL'!$B21,'FOR AL HMB Only (Dry Gas)'!$C$3:$C$24,0),FALSE)</f>
        <v>#N/A</v>
      </c>
      <c r="V21" s="76" t="e">
        <f>HLOOKUP(V$9,'FOR AL HMB Only (Dry Gas)'!$E$3:$ED$25,MATCH('Heat and Mass for AL'!$B21,'FOR AL HMB Only (Dry Gas)'!$C$3:$C$24,0),FALSE)</f>
        <v>#N/A</v>
      </c>
      <c r="W21" s="76" t="e">
        <f>HLOOKUP(W$9,'FOR AL HMB Only (Dry Gas)'!$E$3:$ED$25,MATCH('Heat and Mass for AL'!$B21,'FOR AL HMB Only (Dry Gas)'!$C$3:$C$24,0),FALSE)</f>
        <v>#N/A</v>
      </c>
    </row>
    <row r="22" spans="1:23" x14ac:dyDescent="0.35">
      <c r="A22" s="77">
        <v>2</v>
      </c>
      <c r="B22" s="19" t="str">
        <f>VLOOKUP($A22,'Property Calc_Design Flow'!$B$18:$D$134,2,FALSE)</f>
        <v>Carbon Dioxide (CO2)</v>
      </c>
      <c r="C22" s="73" t="s">
        <v>122</v>
      </c>
      <c r="D22" s="76">
        <f>HLOOKUP(D$9,'FOR AL HMB Only (Dry Gas)'!$E$3:$ED$25,MATCH('Heat and Mass for AL'!$B22,'FOR AL HMB Only (Dry Gas)'!$C$3:$C$24,0),FALSE)</f>
        <v>38.370951566183344</v>
      </c>
      <c r="E22" s="76" t="e">
        <f>HLOOKUP(E$9,'FOR AL HMB Only (Dry Gas)'!$E$3:$ED$25,MATCH('Heat and Mass for AL'!$B22,'FOR AL HMB Only (Dry Gas)'!$C$3:$C$24,0),FALSE)</f>
        <v>#N/A</v>
      </c>
      <c r="F22" s="76" t="e">
        <f>HLOOKUP(F$9,'FOR AL HMB Only (Dry Gas)'!$E$3:$ED$25,MATCH('Heat and Mass for AL'!$B22,'FOR AL HMB Only (Dry Gas)'!$C$3:$C$24,0),FALSE)</f>
        <v>#N/A</v>
      </c>
      <c r="G22" s="76">
        <f>HLOOKUP(G$9,'FOR AL HMB Only (Dry Gas)'!$E$3:$ED$25,MATCH('Heat and Mass for AL'!$B22,'FOR AL HMB Only (Dry Gas)'!$C$3:$C$24,0),FALSE)</f>
        <v>38.37271811777002</v>
      </c>
      <c r="H22" s="76" t="e">
        <f>HLOOKUP(H$9,'FOR AL HMB Only (Dry Gas)'!$E$3:$ED$25,MATCH('Heat and Mass for AL'!$B22,'FOR AL HMB Only (Dry Gas)'!$C$3:$C$24,0),FALSE)</f>
        <v>#N/A</v>
      </c>
      <c r="I22" s="76">
        <f>HLOOKUP(I$9,'FOR AL HMB Only (Dry Gas)'!$E$3:$ED$25,MATCH('Heat and Mass for AL'!$B22,'FOR AL HMB Only (Dry Gas)'!$C$3:$C$24,0),FALSE)</f>
        <v>41.450845743707355</v>
      </c>
      <c r="J22" s="76" t="e">
        <f>HLOOKUP(J$9,'FOR AL HMB Only (Dry Gas)'!$E$3:$ED$25,MATCH('Heat and Mass for AL'!$B22,'FOR AL HMB Only (Dry Gas)'!$C$3:$C$24,0),FALSE)</f>
        <v>#N/A</v>
      </c>
      <c r="K22" s="76" t="e">
        <f>HLOOKUP(K$9,'FOR AL HMB Only (Dry Gas)'!$E$3:$ED$25,MATCH('Heat and Mass for AL'!$B22,'FOR AL HMB Only (Dry Gas)'!$C$3:$C$24,0),FALSE)</f>
        <v>#N/A</v>
      </c>
      <c r="L22" s="76">
        <f>HLOOKUP(L$9,'FOR AL HMB Only (Dry Gas)'!$E$3:$ED$25,MATCH('Heat and Mass for AL'!$B22,'FOR AL HMB Only (Dry Gas)'!$C$3:$C$24,0),FALSE)</f>
        <v>41.450845743707355</v>
      </c>
      <c r="M22" s="76" t="e">
        <f>HLOOKUP(M$9,'FOR AL HMB Only (Dry Gas)'!$E$3:$ED$25,MATCH('Heat and Mass for AL'!$B22,'FOR AL HMB Only (Dry Gas)'!$C$3:$C$24,0),FALSE)</f>
        <v>#N/A</v>
      </c>
      <c r="N22" s="76" t="e">
        <f>HLOOKUP(N$9,'FOR AL HMB Only (Dry Gas)'!$E$3:$ED$25,MATCH('Heat and Mass for AL'!$B22,'FOR AL HMB Only (Dry Gas)'!$C$3:$C$24,0),FALSE)</f>
        <v>#N/A</v>
      </c>
      <c r="O22" s="76" t="e">
        <f>HLOOKUP(O$9,'FOR AL HMB Only (Dry Gas)'!$E$3:$ED$25,MATCH('Heat and Mass for AL'!$B22,'FOR AL HMB Only (Dry Gas)'!$C$3:$C$24,0),FALSE)</f>
        <v>#N/A</v>
      </c>
      <c r="P22" s="76" t="e">
        <f>HLOOKUP(P$9,'FOR AL HMB Only (Dry Gas)'!$E$3:$ED$25,MATCH('Heat and Mass for AL'!$B22,'FOR AL HMB Only (Dry Gas)'!$C$3:$C$24,0),FALSE)</f>
        <v>#N/A</v>
      </c>
      <c r="Q22" s="76">
        <f>HLOOKUP(Q$9,'FOR AL HMB Only (Dry Gas)'!$E$3:$ED$25,MATCH('Heat and Mass for AL'!$B22,'FOR AL HMB Only (Dry Gas)'!$C$3:$C$24,0),FALSE)</f>
        <v>41.450845743707355</v>
      </c>
      <c r="R22" s="76" t="e">
        <f>HLOOKUP(R$9,'FOR AL HMB Only (Dry Gas)'!$E$3:$ED$25,MATCH('Heat and Mass for AL'!$B22,'FOR AL HMB Only (Dry Gas)'!$C$3:$C$24,0),FALSE)</f>
        <v>#N/A</v>
      </c>
      <c r="S22" s="76" t="e">
        <f>HLOOKUP(S$9,'FOR AL HMB Only (Dry Gas)'!$E$3:$ED$25,MATCH('Heat and Mass for AL'!$B22,'FOR AL HMB Only (Dry Gas)'!$C$3:$C$24,0),FALSE)</f>
        <v>#N/A</v>
      </c>
      <c r="T22" s="76" t="e">
        <f>HLOOKUP(T$9,'FOR AL HMB Only (Dry Gas)'!$E$3:$ED$25,MATCH('Heat and Mass for AL'!$B22,'FOR AL HMB Only (Dry Gas)'!$C$3:$C$24,0),FALSE)</f>
        <v>#N/A</v>
      </c>
      <c r="U22" s="76" t="e">
        <f>HLOOKUP(U$9,'FOR AL HMB Only (Dry Gas)'!$E$3:$ED$25,MATCH('Heat and Mass for AL'!$B22,'FOR AL HMB Only (Dry Gas)'!$C$3:$C$24,0),FALSE)</f>
        <v>#N/A</v>
      </c>
      <c r="V22" s="76" t="e">
        <f>HLOOKUP(V$9,'FOR AL HMB Only (Dry Gas)'!$E$3:$ED$25,MATCH('Heat and Mass for AL'!$B22,'FOR AL HMB Only (Dry Gas)'!$C$3:$C$24,0),FALSE)</f>
        <v>#N/A</v>
      </c>
      <c r="W22" s="76" t="e">
        <f>HLOOKUP(W$9,'FOR AL HMB Only (Dry Gas)'!$E$3:$ED$25,MATCH('Heat and Mass for AL'!$B22,'FOR AL HMB Only (Dry Gas)'!$C$3:$C$24,0),FALSE)</f>
        <v>#N/A</v>
      </c>
    </row>
    <row r="23" spans="1:23" x14ac:dyDescent="0.35">
      <c r="A23" s="77">
        <v>3</v>
      </c>
      <c r="B23" s="19" t="str">
        <f>VLOOKUP($A23,'Property Calc_Design Flow'!$B$18:$D$134,2,FALSE)</f>
        <v>Nitrogen (N2)</v>
      </c>
      <c r="C23" s="73" t="s">
        <v>122</v>
      </c>
      <c r="D23" s="76">
        <f>HLOOKUP(D$9,'FOR AL HMB Only (Dry Gas)'!$E$3:$ED$25,MATCH('Heat and Mass for AL'!$B23,'FOR AL HMB Only (Dry Gas)'!$C$3:$C$24,0),FALSE)</f>
        <v>0.9407588542569727</v>
      </c>
      <c r="E23" s="76" t="e">
        <f>HLOOKUP(E$9,'FOR AL HMB Only (Dry Gas)'!$E$3:$ED$25,MATCH('Heat and Mass for AL'!$B23,'FOR AL HMB Only (Dry Gas)'!$C$3:$C$24,0),FALSE)</f>
        <v>#N/A</v>
      </c>
      <c r="F23" s="76" t="e">
        <f>HLOOKUP(F$9,'FOR AL HMB Only (Dry Gas)'!$E$3:$ED$25,MATCH('Heat and Mass for AL'!$B23,'FOR AL HMB Only (Dry Gas)'!$C$3:$C$24,0),FALSE)</f>
        <v>#N/A</v>
      </c>
      <c r="G23" s="76">
        <f>HLOOKUP(G$9,'FOR AL HMB Only (Dry Gas)'!$E$3:$ED$25,MATCH('Heat and Mass for AL'!$B23,'FOR AL HMB Only (Dry Gas)'!$C$3:$C$24,0),FALSE)</f>
        <v>0.94080216564172703</v>
      </c>
      <c r="H23" s="76" t="e">
        <f>HLOOKUP(H$9,'FOR AL HMB Only (Dry Gas)'!$E$3:$ED$25,MATCH('Heat and Mass for AL'!$B23,'FOR AL HMB Only (Dry Gas)'!$C$3:$C$24,0),FALSE)</f>
        <v>#N/A</v>
      </c>
      <c r="I23" s="76">
        <f>HLOOKUP(I$9,'FOR AL HMB Only (Dry Gas)'!$E$3:$ED$25,MATCH('Heat and Mass for AL'!$B23,'FOR AL HMB Only (Dry Gas)'!$C$3:$C$24,0),FALSE)</f>
        <v>1.0624322840507987</v>
      </c>
      <c r="J23" s="76" t="e">
        <f>HLOOKUP(J$9,'FOR AL HMB Only (Dry Gas)'!$E$3:$ED$25,MATCH('Heat and Mass for AL'!$B23,'FOR AL HMB Only (Dry Gas)'!$C$3:$C$24,0),FALSE)</f>
        <v>#N/A</v>
      </c>
      <c r="K23" s="76" t="e">
        <f>HLOOKUP(K$9,'FOR AL HMB Only (Dry Gas)'!$E$3:$ED$25,MATCH('Heat and Mass for AL'!$B23,'FOR AL HMB Only (Dry Gas)'!$C$3:$C$24,0),FALSE)</f>
        <v>#N/A</v>
      </c>
      <c r="L23" s="76">
        <f>HLOOKUP(L$9,'FOR AL HMB Only (Dry Gas)'!$E$3:$ED$25,MATCH('Heat and Mass for AL'!$B23,'FOR AL HMB Only (Dry Gas)'!$C$3:$C$24,0),FALSE)</f>
        <v>1.0624322840507987</v>
      </c>
      <c r="M23" s="76" t="e">
        <f>HLOOKUP(M$9,'FOR AL HMB Only (Dry Gas)'!$E$3:$ED$25,MATCH('Heat and Mass for AL'!$B23,'FOR AL HMB Only (Dry Gas)'!$C$3:$C$24,0),FALSE)</f>
        <v>#N/A</v>
      </c>
      <c r="N23" s="76" t="e">
        <f>HLOOKUP(N$9,'FOR AL HMB Only (Dry Gas)'!$E$3:$ED$25,MATCH('Heat and Mass for AL'!$B23,'FOR AL HMB Only (Dry Gas)'!$C$3:$C$24,0),FALSE)</f>
        <v>#N/A</v>
      </c>
      <c r="O23" s="76" t="e">
        <f>HLOOKUP(O$9,'FOR AL HMB Only (Dry Gas)'!$E$3:$ED$25,MATCH('Heat and Mass for AL'!$B23,'FOR AL HMB Only (Dry Gas)'!$C$3:$C$24,0),FALSE)</f>
        <v>#N/A</v>
      </c>
      <c r="P23" s="76" t="e">
        <f>HLOOKUP(P$9,'FOR AL HMB Only (Dry Gas)'!$E$3:$ED$25,MATCH('Heat and Mass for AL'!$B23,'FOR AL HMB Only (Dry Gas)'!$C$3:$C$24,0),FALSE)</f>
        <v>#N/A</v>
      </c>
      <c r="Q23" s="76">
        <f>HLOOKUP(Q$9,'FOR AL HMB Only (Dry Gas)'!$E$3:$ED$25,MATCH('Heat and Mass for AL'!$B23,'FOR AL HMB Only (Dry Gas)'!$C$3:$C$24,0),FALSE)</f>
        <v>1.0624322840507987</v>
      </c>
      <c r="R23" s="76" t="e">
        <f>HLOOKUP(R$9,'FOR AL HMB Only (Dry Gas)'!$E$3:$ED$25,MATCH('Heat and Mass for AL'!$B23,'FOR AL HMB Only (Dry Gas)'!$C$3:$C$24,0),FALSE)</f>
        <v>#N/A</v>
      </c>
      <c r="S23" s="76" t="e">
        <f>HLOOKUP(S$9,'FOR AL HMB Only (Dry Gas)'!$E$3:$ED$25,MATCH('Heat and Mass for AL'!$B23,'FOR AL HMB Only (Dry Gas)'!$C$3:$C$24,0),FALSE)</f>
        <v>#N/A</v>
      </c>
      <c r="T23" s="76" t="e">
        <f>HLOOKUP(T$9,'FOR AL HMB Only (Dry Gas)'!$E$3:$ED$25,MATCH('Heat and Mass for AL'!$B23,'FOR AL HMB Only (Dry Gas)'!$C$3:$C$24,0),FALSE)</f>
        <v>#N/A</v>
      </c>
      <c r="U23" s="76" t="e">
        <f>HLOOKUP(U$9,'FOR AL HMB Only (Dry Gas)'!$E$3:$ED$25,MATCH('Heat and Mass for AL'!$B23,'FOR AL HMB Only (Dry Gas)'!$C$3:$C$24,0),FALSE)</f>
        <v>#N/A</v>
      </c>
      <c r="V23" s="76" t="e">
        <f>HLOOKUP(V$9,'FOR AL HMB Only (Dry Gas)'!$E$3:$ED$25,MATCH('Heat and Mass for AL'!$B23,'FOR AL HMB Only (Dry Gas)'!$C$3:$C$24,0),FALSE)</f>
        <v>#N/A</v>
      </c>
      <c r="W23" s="76" t="e">
        <f>HLOOKUP(W$9,'FOR AL HMB Only (Dry Gas)'!$E$3:$ED$25,MATCH('Heat and Mass for AL'!$B23,'FOR AL HMB Only (Dry Gas)'!$C$3:$C$24,0),FALSE)</f>
        <v>#N/A</v>
      </c>
    </row>
    <row r="24" spans="1:23" x14ac:dyDescent="0.35">
      <c r="A24" s="77">
        <v>4</v>
      </c>
      <c r="B24" s="19" t="str">
        <f>VLOOKUP($A24,'Property Calc_Design Flow'!$B$18:$D$134,2,FALSE)</f>
        <v>Oxygen (O2)</v>
      </c>
      <c r="C24" s="73" t="s">
        <v>122</v>
      </c>
      <c r="D24" s="76">
        <f>HLOOKUP(D$9,'FOR AL HMB Only (Dry Gas)'!$E$3:$ED$25,MATCH('Heat and Mass for AL'!$B24,'FOR AL HMB Only (Dry Gas)'!$C$3:$C$24,0),FALSE)</f>
        <v>0.46037135421085906</v>
      </c>
      <c r="E24" s="76" t="e">
        <f>HLOOKUP(E$9,'FOR AL HMB Only (Dry Gas)'!$E$3:$ED$25,MATCH('Heat and Mass for AL'!$B24,'FOR AL HMB Only (Dry Gas)'!$C$3:$C$24,0),FALSE)</f>
        <v>#N/A</v>
      </c>
      <c r="F24" s="76" t="e">
        <f>HLOOKUP(F$9,'FOR AL HMB Only (Dry Gas)'!$E$3:$ED$25,MATCH('Heat and Mass for AL'!$B24,'FOR AL HMB Only (Dry Gas)'!$C$3:$C$24,0),FALSE)</f>
        <v>#N/A</v>
      </c>
      <c r="G24" s="76">
        <f>HLOOKUP(G$9,'FOR AL HMB Only (Dry Gas)'!$E$3:$ED$25,MATCH('Heat and Mass for AL'!$B24,'FOR AL HMB Only (Dry Gas)'!$C$3:$C$24,0),FALSE)</f>
        <v>0.46039254914382399</v>
      </c>
      <c r="H24" s="76" t="e">
        <f>HLOOKUP(H$9,'FOR AL HMB Only (Dry Gas)'!$E$3:$ED$25,MATCH('Heat and Mass for AL'!$B24,'FOR AL HMB Only (Dry Gas)'!$C$3:$C$24,0),FALSE)</f>
        <v>#N/A</v>
      </c>
      <c r="I24" s="76">
        <f>HLOOKUP(I$9,'FOR AL HMB Only (Dry Gas)'!$E$3:$ED$25,MATCH('Heat and Mass for AL'!$B24,'FOR AL HMB Only (Dry Gas)'!$C$3:$C$24,0),FALSE)</f>
        <v>0.89599720858423881</v>
      </c>
      <c r="J24" s="76" t="e">
        <f>HLOOKUP(J$9,'FOR AL HMB Only (Dry Gas)'!$E$3:$ED$25,MATCH('Heat and Mass for AL'!$B24,'FOR AL HMB Only (Dry Gas)'!$C$3:$C$24,0),FALSE)</f>
        <v>#N/A</v>
      </c>
      <c r="K24" s="76" t="e">
        <f>HLOOKUP(K$9,'FOR AL HMB Only (Dry Gas)'!$E$3:$ED$25,MATCH('Heat and Mass for AL'!$B24,'FOR AL HMB Only (Dry Gas)'!$C$3:$C$24,0),FALSE)</f>
        <v>#N/A</v>
      </c>
      <c r="L24" s="76">
        <f>HLOOKUP(L$9,'FOR AL HMB Only (Dry Gas)'!$E$3:$ED$25,MATCH('Heat and Mass for AL'!$B24,'FOR AL HMB Only (Dry Gas)'!$C$3:$C$24,0),FALSE)</f>
        <v>0.89599720858423881</v>
      </c>
      <c r="M24" s="76" t="e">
        <f>HLOOKUP(M$9,'FOR AL HMB Only (Dry Gas)'!$E$3:$ED$25,MATCH('Heat and Mass for AL'!$B24,'FOR AL HMB Only (Dry Gas)'!$C$3:$C$24,0),FALSE)</f>
        <v>#N/A</v>
      </c>
      <c r="N24" s="76" t="e">
        <f>HLOOKUP(N$9,'FOR AL HMB Only (Dry Gas)'!$E$3:$ED$25,MATCH('Heat and Mass for AL'!$B24,'FOR AL HMB Only (Dry Gas)'!$C$3:$C$24,0),FALSE)</f>
        <v>#N/A</v>
      </c>
      <c r="O24" s="76" t="e">
        <f>HLOOKUP(O$9,'FOR AL HMB Only (Dry Gas)'!$E$3:$ED$25,MATCH('Heat and Mass for AL'!$B24,'FOR AL HMB Only (Dry Gas)'!$C$3:$C$24,0),FALSE)</f>
        <v>#N/A</v>
      </c>
      <c r="P24" s="76" t="e">
        <f>HLOOKUP(P$9,'FOR AL HMB Only (Dry Gas)'!$E$3:$ED$25,MATCH('Heat and Mass for AL'!$B24,'FOR AL HMB Only (Dry Gas)'!$C$3:$C$24,0),FALSE)</f>
        <v>#N/A</v>
      </c>
      <c r="Q24" s="76">
        <f>HLOOKUP(Q$9,'FOR AL HMB Only (Dry Gas)'!$E$3:$ED$25,MATCH('Heat and Mass for AL'!$B24,'FOR AL HMB Only (Dry Gas)'!$C$3:$C$24,0),FALSE)</f>
        <v>0.89599720858423881</v>
      </c>
      <c r="R24" s="76" t="e">
        <f>HLOOKUP(R$9,'FOR AL HMB Only (Dry Gas)'!$E$3:$ED$25,MATCH('Heat and Mass for AL'!$B24,'FOR AL HMB Only (Dry Gas)'!$C$3:$C$24,0),FALSE)</f>
        <v>#N/A</v>
      </c>
      <c r="S24" s="76" t="e">
        <f>HLOOKUP(S$9,'FOR AL HMB Only (Dry Gas)'!$E$3:$ED$25,MATCH('Heat and Mass for AL'!$B24,'FOR AL HMB Only (Dry Gas)'!$C$3:$C$24,0),FALSE)</f>
        <v>#N/A</v>
      </c>
      <c r="T24" s="76" t="e">
        <f>HLOOKUP(T$9,'FOR AL HMB Only (Dry Gas)'!$E$3:$ED$25,MATCH('Heat and Mass for AL'!$B24,'FOR AL HMB Only (Dry Gas)'!$C$3:$C$24,0),FALSE)</f>
        <v>#N/A</v>
      </c>
      <c r="U24" s="76" t="e">
        <f>HLOOKUP(U$9,'FOR AL HMB Only (Dry Gas)'!$E$3:$ED$25,MATCH('Heat and Mass for AL'!$B24,'FOR AL HMB Only (Dry Gas)'!$C$3:$C$24,0),FALSE)</f>
        <v>#N/A</v>
      </c>
      <c r="V24" s="76" t="e">
        <f>HLOOKUP(V$9,'FOR AL HMB Only (Dry Gas)'!$E$3:$ED$25,MATCH('Heat and Mass for AL'!$B24,'FOR AL HMB Only (Dry Gas)'!$C$3:$C$24,0),FALSE)</f>
        <v>#N/A</v>
      </c>
      <c r="W24" s="76" t="e">
        <f>HLOOKUP(W$9,'FOR AL HMB Only (Dry Gas)'!$E$3:$ED$25,MATCH('Heat and Mass for AL'!$B24,'FOR AL HMB Only (Dry Gas)'!$C$3:$C$24,0),FALSE)</f>
        <v>#N/A</v>
      </c>
    </row>
    <row r="25" spans="1:23" x14ac:dyDescent="0.35">
      <c r="A25" s="77">
        <v>5</v>
      </c>
      <c r="B25" s="19" t="str">
        <f>VLOOKUP($A25,'Property Calc_Design Flow'!$B$18:$D$134,2,FALSE)</f>
        <v>Hydrogen Sulfide (H2S)</v>
      </c>
      <c r="C25" s="73" t="s">
        <v>122</v>
      </c>
      <c r="D25" s="76">
        <f>HLOOKUP(D$9,'FOR AL HMB Only (Dry Gas)'!$E$3:$ED$25,MATCH('Heat and Mass for AL'!$B25,'FOR AL HMB Only (Dry Gas)'!$C$3:$C$24,0),FALSE)</f>
        <v>5.0040364588136857E-3</v>
      </c>
      <c r="E25" s="76" t="e">
        <f>HLOOKUP(E$9,'FOR AL HMB Only (Dry Gas)'!$E$3:$ED$25,MATCH('Heat and Mass for AL'!$B25,'FOR AL HMB Only (Dry Gas)'!$C$3:$C$24,0),FALSE)</f>
        <v>#N/A</v>
      </c>
      <c r="F25" s="76" t="e">
        <f>HLOOKUP(F$9,'FOR AL HMB Only (Dry Gas)'!$E$3:$ED$25,MATCH('Heat and Mass for AL'!$B25,'FOR AL HMB Only (Dry Gas)'!$C$3:$C$24,0),FALSE)</f>
        <v>#N/A</v>
      </c>
      <c r="G25" s="76">
        <f>HLOOKUP(G$9,'FOR AL HMB Only (Dry Gas)'!$E$3:$ED$25,MATCH('Heat and Mass for AL'!$B25,'FOR AL HMB Only (Dry Gas)'!$C$3:$C$24,0),FALSE)</f>
        <v>4.0038938804323575E-4</v>
      </c>
      <c r="H25" s="76" t="e">
        <f>HLOOKUP(H$9,'FOR AL HMB Only (Dry Gas)'!$E$3:$ED$25,MATCH('Heat and Mass for AL'!$B25,'FOR AL HMB Only (Dry Gas)'!$C$3:$C$24,0),FALSE)</f>
        <v>#N/A</v>
      </c>
      <c r="I25" s="76">
        <f>HLOOKUP(I$9,'FOR AL HMB Only (Dry Gas)'!$E$3:$ED$25,MATCH('Heat and Mass for AL'!$B25,'FOR AL HMB Only (Dry Gas)'!$C$3:$C$24,0),FALSE)</f>
        <v>4.8736059787719377E-4</v>
      </c>
      <c r="J25" s="76" t="e">
        <f>HLOOKUP(J$9,'FOR AL HMB Only (Dry Gas)'!$E$3:$ED$25,MATCH('Heat and Mass for AL'!$B25,'FOR AL HMB Only (Dry Gas)'!$C$3:$C$24,0),FALSE)</f>
        <v>#N/A</v>
      </c>
      <c r="K25" s="76" t="e">
        <f>HLOOKUP(K$9,'FOR AL HMB Only (Dry Gas)'!$E$3:$ED$25,MATCH('Heat and Mass for AL'!$B25,'FOR AL HMB Only (Dry Gas)'!$C$3:$C$24,0),FALSE)</f>
        <v>#N/A</v>
      </c>
      <c r="L25" s="76">
        <f>HLOOKUP(L$9,'FOR AL HMB Only (Dry Gas)'!$E$3:$ED$25,MATCH('Heat and Mass for AL'!$B25,'FOR AL HMB Only (Dry Gas)'!$C$3:$C$24,0),FALSE)</f>
        <v>4.8736059787719377E-4</v>
      </c>
      <c r="M25" s="76" t="e">
        <f>HLOOKUP(M$9,'FOR AL HMB Only (Dry Gas)'!$E$3:$ED$25,MATCH('Heat and Mass for AL'!$B25,'FOR AL HMB Only (Dry Gas)'!$C$3:$C$24,0),FALSE)</f>
        <v>#N/A</v>
      </c>
      <c r="N25" s="76" t="e">
        <f>HLOOKUP(N$9,'FOR AL HMB Only (Dry Gas)'!$E$3:$ED$25,MATCH('Heat and Mass for AL'!$B25,'FOR AL HMB Only (Dry Gas)'!$C$3:$C$24,0),FALSE)</f>
        <v>#N/A</v>
      </c>
      <c r="O25" s="76" t="e">
        <f>HLOOKUP(O$9,'FOR AL HMB Only (Dry Gas)'!$E$3:$ED$25,MATCH('Heat and Mass for AL'!$B25,'FOR AL HMB Only (Dry Gas)'!$C$3:$C$24,0),FALSE)</f>
        <v>#N/A</v>
      </c>
      <c r="P25" s="76" t="e">
        <f>HLOOKUP(P$9,'FOR AL HMB Only (Dry Gas)'!$E$3:$ED$25,MATCH('Heat and Mass for AL'!$B25,'FOR AL HMB Only (Dry Gas)'!$C$3:$C$24,0),FALSE)</f>
        <v>#N/A</v>
      </c>
      <c r="Q25" s="76">
        <f>HLOOKUP(Q$9,'FOR AL HMB Only (Dry Gas)'!$E$3:$ED$25,MATCH('Heat and Mass for AL'!$B25,'FOR AL HMB Only (Dry Gas)'!$C$3:$C$24,0),FALSE)</f>
        <v>4.8736059787719377E-4</v>
      </c>
      <c r="R25" s="76" t="e">
        <f>HLOOKUP(R$9,'FOR AL HMB Only (Dry Gas)'!$E$3:$ED$25,MATCH('Heat and Mass for AL'!$B25,'FOR AL HMB Only (Dry Gas)'!$C$3:$C$24,0),FALSE)</f>
        <v>#N/A</v>
      </c>
      <c r="S25" s="76" t="e">
        <f>HLOOKUP(S$9,'FOR AL HMB Only (Dry Gas)'!$E$3:$ED$25,MATCH('Heat and Mass for AL'!$B25,'FOR AL HMB Only (Dry Gas)'!$C$3:$C$24,0),FALSE)</f>
        <v>#N/A</v>
      </c>
      <c r="T25" s="76" t="e">
        <f>HLOOKUP(T$9,'FOR AL HMB Only (Dry Gas)'!$E$3:$ED$25,MATCH('Heat and Mass for AL'!$B25,'FOR AL HMB Only (Dry Gas)'!$C$3:$C$24,0),FALSE)</f>
        <v>#N/A</v>
      </c>
      <c r="U25" s="76" t="e">
        <f>HLOOKUP(U$9,'FOR AL HMB Only (Dry Gas)'!$E$3:$ED$25,MATCH('Heat and Mass for AL'!$B25,'FOR AL HMB Only (Dry Gas)'!$C$3:$C$24,0),FALSE)</f>
        <v>#N/A</v>
      </c>
      <c r="V25" s="76" t="e">
        <f>HLOOKUP(V$9,'FOR AL HMB Only (Dry Gas)'!$E$3:$ED$25,MATCH('Heat and Mass for AL'!$B25,'FOR AL HMB Only (Dry Gas)'!$C$3:$C$24,0),FALSE)</f>
        <v>#N/A</v>
      </c>
      <c r="W25" s="76" t="e">
        <f>HLOOKUP(W$9,'FOR AL HMB Only (Dry Gas)'!$E$3:$ED$25,MATCH('Heat and Mass for AL'!$B25,'FOR AL HMB Only (Dry Gas)'!$C$3:$C$24,0),FALSE)</f>
        <v>#N/A</v>
      </c>
    </row>
    <row r="26" spans="1:23" x14ac:dyDescent="0.35">
      <c r="A26" s="77">
        <v>6</v>
      </c>
      <c r="B26" s="19" t="str">
        <f>VLOOKUP($A26,'Property Calc_Design Flow'!$B$18:$D$134,2,FALSE)</f>
        <v>Water (H2O)</v>
      </c>
      <c r="C26" s="73" t="s">
        <v>122</v>
      </c>
      <c r="D26" s="76">
        <f>HLOOKUP(D$9,'FOR AL HMB Only (Dry Gas)'!$E$3:$ED$25,MATCH('Heat and Mass for AL'!$B26,'FOR AL HMB Only (Dry Gas)'!$C$3:$C$24,0),FALSE)</f>
        <v>3.4363662279023405E-2</v>
      </c>
      <c r="E26" s="76" t="e">
        <f>HLOOKUP(E$9,'FOR AL HMB Only (Dry Gas)'!$E$3:$ED$25,MATCH('Heat and Mass for AL'!$B26,'FOR AL HMB Only (Dry Gas)'!$C$3:$C$24,0),FALSE)</f>
        <v>#N/A</v>
      </c>
      <c r="F26" s="76" t="e">
        <f>HLOOKUP(F$9,'FOR AL HMB Only (Dry Gas)'!$E$3:$ED$25,MATCH('Heat and Mass for AL'!$B26,'FOR AL HMB Only (Dry Gas)'!$C$3:$C$24,0),FALSE)</f>
        <v>#N/A</v>
      </c>
      <c r="G26" s="76">
        <f>HLOOKUP(G$9,'FOR AL HMB Only (Dry Gas)'!$E$3:$ED$25,MATCH('Heat and Mass for AL'!$B26,'FOR AL HMB Only (Dry Gas)'!$C$3:$C$24,0),FALSE)</f>
        <v>3.4365244339922218E-2</v>
      </c>
      <c r="H26" s="76" t="e">
        <f>HLOOKUP(H$9,'FOR AL HMB Only (Dry Gas)'!$E$3:$ED$25,MATCH('Heat and Mass for AL'!$B26,'FOR AL HMB Only (Dry Gas)'!$C$3:$C$24,0),FALSE)</f>
        <v>#N/A</v>
      </c>
      <c r="I26" s="76">
        <f>HLOOKUP(I$9,'FOR AL HMB Only (Dry Gas)'!$E$3:$ED$25,MATCH('Heat and Mass for AL'!$B26,'FOR AL HMB Only (Dry Gas)'!$C$3:$C$24,0),FALSE)</f>
        <v>4.9893176423987592E-2</v>
      </c>
      <c r="J26" s="76" t="e">
        <f>HLOOKUP(J$9,'FOR AL HMB Only (Dry Gas)'!$E$3:$ED$25,MATCH('Heat and Mass for AL'!$B26,'FOR AL HMB Only (Dry Gas)'!$C$3:$C$24,0),FALSE)</f>
        <v>#N/A</v>
      </c>
      <c r="K26" s="76" t="e">
        <f>HLOOKUP(K$9,'FOR AL HMB Only (Dry Gas)'!$E$3:$ED$25,MATCH('Heat and Mass for AL'!$B26,'FOR AL HMB Only (Dry Gas)'!$C$3:$C$24,0),FALSE)</f>
        <v>#N/A</v>
      </c>
      <c r="L26" s="76">
        <f>HLOOKUP(L$9,'FOR AL HMB Only (Dry Gas)'!$E$3:$ED$25,MATCH('Heat and Mass for AL'!$B26,'FOR AL HMB Only (Dry Gas)'!$C$3:$C$24,0),FALSE)</f>
        <v>4.9893176423987592E-2</v>
      </c>
      <c r="M26" s="76" t="e">
        <f>HLOOKUP(M$9,'FOR AL HMB Only (Dry Gas)'!$E$3:$ED$25,MATCH('Heat and Mass for AL'!$B26,'FOR AL HMB Only (Dry Gas)'!$C$3:$C$24,0),FALSE)</f>
        <v>#N/A</v>
      </c>
      <c r="N26" s="76" t="e">
        <f>HLOOKUP(N$9,'FOR AL HMB Only (Dry Gas)'!$E$3:$ED$25,MATCH('Heat and Mass for AL'!$B26,'FOR AL HMB Only (Dry Gas)'!$C$3:$C$24,0),FALSE)</f>
        <v>#N/A</v>
      </c>
      <c r="O26" s="76" t="e">
        <f>HLOOKUP(O$9,'FOR AL HMB Only (Dry Gas)'!$E$3:$ED$25,MATCH('Heat and Mass for AL'!$B26,'FOR AL HMB Only (Dry Gas)'!$C$3:$C$24,0),FALSE)</f>
        <v>#N/A</v>
      </c>
      <c r="P26" s="76" t="e">
        <f>HLOOKUP(P$9,'FOR AL HMB Only (Dry Gas)'!$E$3:$ED$25,MATCH('Heat and Mass for AL'!$B26,'FOR AL HMB Only (Dry Gas)'!$C$3:$C$24,0),FALSE)</f>
        <v>#N/A</v>
      </c>
      <c r="Q26" s="76">
        <f>HLOOKUP(Q$9,'FOR AL HMB Only (Dry Gas)'!$E$3:$ED$25,MATCH('Heat and Mass for AL'!$B26,'FOR AL HMB Only (Dry Gas)'!$C$3:$C$24,0),FALSE)</f>
        <v>4.9893176423987592E-2</v>
      </c>
      <c r="R26" s="76" t="e">
        <f>HLOOKUP(R$9,'FOR AL HMB Only (Dry Gas)'!$E$3:$ED$25,MATCH('Heat and Mass for AL'!$B26,'FOR AL HMB Only (Dry Gas)'!$C$3:$C$24,0),FALSE)</f>
        <v>#N/A</v>
      </c>
      <c r="S26" s="76" t="e">
        <f>HLOOKUP(S$9,'FOR AL HMB Only (Dry Gas)'!$E$3:$ED$25,MATCH('Heat and Mass for AL'!$B26,'FOR AL HMB Only (Dry Gas)'!$C$3:$C$24,0),FALSE)</f>
        <v>#N/A</v>
      </c>
      <c r="T26" s="76" t="e">
        <f>HLOOKUP(T$9,'FOR AL HMB Only (Dry Gas)'!$E$3:$ED$25,MATCH('Heat and Mass for AL'!$B26,'FOR AL HMB Only (Dry Gas)'!$C$3:$C$24,0),FALSE)</f>
        <v>#N/A</v>
      </c>
      <c r="U26" s="76" t="e">
        <f>HLOOKUP(U$9,'FOR AL HMB Only (Dry Gas)'!$E$3:$ED$25,MATCH('Heat and Mass for AL'!$B26,'FOR AL HMB Only (Dry Gas)'!$C$3:$C$24,0),FALSE)</f>
        <v>#N/A</v>
      </c>
      <c r="V26" s="76" t="e">
        <f>HLOOKUP(V$9,'FOR AL HMB Only (Dry Gas)'!$E$3:$ED$25,MATCH('Heat and Mass for AL'!$B26,'FOR AL HMB Only (Dry Gas)'!$C$3:$C$24,0),FALSE)</f>
        <v>#N/A</v>
      </c>
      <c r="W26" s="76" t="e">
        <f>HLOOKUP(W$9,'FOR AL HMB Only (Dry Gas)'!$E$3:$ED$25,MATCH('Heat and Mass for AL'!$B26,'FOR AL HMB Only (Dry Gas)'!$C$3:$C$24,0),FALSE)</f>
        <v>#N/A</v>
      </c>
    </row>
    <row r="27" spans="1:23" x14ac:dyDescent="0.35">
      <c r="A27" s="77">
        <v>7</v>
      </c>
      <c r="B27" s="19" t="str">
        <f>VLOOKUP($A27,'Property Calc_Design Flow'!$B$18:$D$134,2,FALSE)</f>
        <v>Hydrogen (H2)</v>
      </c>
      <c r="C27" s="73" t="s">
        <v>122</v>
      </c>
      <c r="D27" s="76">
        <f>HLOOKUP(D$9,'FOR AL HMB Only (Dry Gas)'!$E$3:$ED$25,MATCH('Heat and Mass for AL'!$B27,'FOR AL HMB Only (Dry Gas)'!$C$3:$C$24,0),FALSE)</f>
        <v>0</v>
      </c>
      <c r="E27" s="76" t="e">
        <f>HLOOKUP(E$9,'FOR AL HMB Only (Dry Gas)'!$E$3:$ED$25,MATCH('Heat and Mass for AL'!$B27,'FOR AL HMB Only (Dry Gas)'!$C$3:$C$24,0),FALSE)</f>
        <v>#N/A</v>
      </c>
      <c r="F27" s="76" t="e">
        <f>HLOOKUP(F$9,'FOR AL HMB Only (Dry Gas)'!$E$3:$ED$25,MATCH('Heat and Mass for AL'!$B27,'FOR AL HMB Only (Dry Gas)'!$C$3:$C$24,0),FALSE)</f>
        <v>#N/A</v>
      </c>
      <c r="G27" s="76">
        <f>HLOOKUP(G$9,'FOR AL HMB Only (Dry Gas)'!$E$3:$ED$25,MATCH('Heat and Mass for AL'!$B27,'FOR AL HMB Only (Dry Gas)'!$C$3:$C$24,0),FALSE)</f>
        <v>0</v>
      </c>
      <c r="H27" s="76" t="e">
        <f>HLOOKUP(H$9,'FOR AL HMB Only (Dry Gas)'!$E$3:$ED$25,MATCH('Heat and Mass for AL'!$B27,'FOR AL HMB Only (Dry Gas)'!$C$3:$C$24,0),FALSE)</f>
        <v>#N/A</v>
      </c>
      <c r="I27" s="76">
        <f>HLOOKUP(I$9,'FOR AL HMB Only (Dry Gas)'!$E$3:$ED$25,MATCH('Heat and Mass for AL'!$B27,'FOR AL HMB Only (Dry Gas)'!$C$3:$C$24,0),FALSE)</f>
        <v>0</v>
      </c>
      <c r="J27" s="76" t="e">
        <f>HLOOKUP(J$9,'FOR AL HMB Only (Dry Gas)'!$E$3:$ED$25,MATCH('Heat and Mass for AL'!$B27,'FOR AL HMB Only (Dry Gas)'!$C$3:$C$24,0),FALSE)</f>
        <v>#N/A</v>
      </c>
      <c r="K27" s="76" t="e">
        <f>HLOOKUP(K$9,'FOR AL HMB Only (Dry Gas)'!$E$3:$ED$25,MATCH('Heat and Mass for AL'!$B27,'FOR AL HMB Only (Dry Gas)'!$C$3:$C$24,0),FALSE)</f>
        <v>#N/A</v>
      </c>
      <c r="L27" s="76">
        <f>HLOOKUP(L$9,'FOR AL HMB Only (Dry Gas)'!$E$3:$ED$25,MATCH('Heat and Mass for AL'!$B27,'FOR AL HMB Only (Dry Gas)'!$C$3:$C$24,0),FALSE)</f>
        <v>0</v>
      </c>
      <c r="M27" s="76" t="e">
        <f>HLOOKUP(M$9,'FOR AL HMB Only (Dry Gas)'!$E$3:$ED$25,MATCH('Heat and Mass for AL'!$B27,'FOR AL HMB Only (Dry Gas)'!$C$3:$C$24,0),FALSE)</f>
        <v>#N/A</v>
      </c>
      <c r="N27" s="76" t="e">
        <f>HLOOKUP(N$9,'FOR AL HMB Only (Dry Gas)'!$E$3:$ED$25,MATCH('Heat and Mass for AL'!$B27,'FOR AL HMB Only (Dry Gas)'!$C$3:$C$24,0),FALSE)</f>
        <v>#N/A</v>
      </c>
      <c r="O27" s="76" t="e">
        <f>HLOOKUP(O$9,'FOR AL HMB Only (Dry Gas)'!$E$3:$ED$25,MATCH('Heat and Mass for AL'!$B27,'FOR AL HMB Only (Dry Gas)'!$C$3:$C$24,0),FALSE)</f>
        <v>#N/A</v>
      </c>
      <c r="P27" s="76" t="e">
        <f>HLOOKUP(P$9,'FOR AL HMB Only (Dry Gas)'!$E$3:$ED$25,MATCH('Heat and Mass for AL'!$B27,'FOR AL HMB Only (Dry Gas)'!$C$3:$C$24,0),FALSE)</f>
        <v>#N/A</v>
      </c>
      <c r="Q27" s="76">
        <f>HLOOKUP(Q$9,'FOR AL HMB Only (Dry Gas)'!$E$3:$ED$25,MATCH('Heat and Mass for AL'!$B27,'FOR AL HMB Only (Dry Gas)'!$C$3:$C$24,0),FALSE)</f>
        <v>0</v>
      </c>
      <c r="R27" s="76" t="e">
        <f>HLOOKUP(R$9,'FOR AL HMB Only (Dry Gas)'!$E$3:$ED$25,MATCH('Heat and Mass for AL'!$B27,'FOR AL HMB Only (Dry Gas)'!$C$3:$C$24,0),FALSE)</f>
        <v>#N/A</v>
      </c>
      <c r="S27" s="76" t="e">
        <f>HLOOKUP(S$9,'FOR AL HMB Only (Dry Gas)'!$E$3:$ED$25,MATCH('Heat and Mass for AL'!$B27,'FOR AL HMB Only (Dry Gas)'!$C$3:$C$24,0),FALSE)</f>
        <v>#N/A</v>
      </c>
      <c r="T27" s="76" t="e">
        <f>HLOOKUP(T$9,'FOR AL HMB Only (Dry Gas)'!$E$3:$ED$25,MATCH('Heat and Mass for AL'!$B27,'FOR AL HMB Only (Dry Gas)'!$C$3:$C$24,0),FALSE)</f>
        <v>#N/A</v>
      </c>
      <c r="U27" s="76" t="e">
        <f>HLOOKUP(U$9,'FOR AL HMB Only (Dry Gas)'!$E$3:$ED$25,MATCH('Heat and Mass for AL'!$B27,'FOR AL HMB Only (Dry Gas)'!$C$3:$C$24,0),FALSE)</f>
        <v>#N/A</v>
      </c>
      <c r="V27" s="76" t="e">
        <f>HLOOKUP(V$9,'FOR AL HMB Only (Dry Gas)'!$E$3:$ED$25,MATCH('Heat and Mass for AL'!$B27,'FOR AL HMB Only (Dry Gas)'!$C$3:$C$24,0),FALSE)</f>
        <v>#N/A</v>
      </c>
      <c r="W27" s="76" t="e">
        <f>HLOOKUP(W$9,'FOR AL HMB Only (Dry Gas)'!$E$3:$ED$25,MATCH('Heat and Mass for AL'!$B27,'FOR AL HMB Only (Dry Gas)'!$C$3:$C$24,0),FALSE)</f>
        <v>#N/A</v>
      </c>
    </row>
    <row r="28" spans="1:23" x14ac:dyDescent="0.35">
      <c r="A28" s="85"/>
      <c r="D28" s="8"/>
    </row>
    <row r="29" spans="1:23" x14ac:dyDescent="0.35">
      <c r="A29" s="85"/>
      <c r="B29" s="13" t="s">
        <v>167</v>
      </c>
      <c r="C29" s="76">
        <v>1.61</v>
      </c>
      <c r="D29"/>
    </row>
    <row r="30" spans="1:23" x14ac:dyDescent="0.35">
      <c r="A30" s="85"/>
      <c r="B30" s="13" t="s">
        <v>41</v>
      </c>
      <c r="C30" s="91">
        <v>0.97599999999999998</v>
      </c>
      <c r="D30"/>
    </row>
    <row r="31" spans="1:23" x14ac:dyDescent="0.35">
      <c r="A31" s="85"/>
      <c r="B31" s="13"/>
      <c r="C31" s="30"/>
      <c r="D31" s="28"/>
    </row>
    <row r="32" spans="1:23" x14ac:dyDescent="0.35">
      <c r="A32" s="85"/>
      <c r="B32" s="13"/>
      <c r="C32" s="30"/>
      <c r="D32" s="28"/>
    </row>
    <row r="33" spans="1:4" x14ac:dyDescent="0.35">
      <c r="A33" s="85"/>
      <c r="B33" s="13"/>
      <c r="C33" s="30"/>
      <c r="D33" s="28"/>
    </row>
    <row r="34" spans="1:4" x14ac:dyDescent="0.35">
      <c r="A34" s="85"/>
      <c r="B34" s="13"/>
      <c r="C34" s="30"/>
      <c r="D34" s="28"/>
    </row>
    <row r="35" spans="1:4" x14ac:dyDescent="0.35">
      <c r="A35" s="85"/>
      <c r="B35" s="13"/>
      <c r="C35" s="30"/>
      <c r="D35" s="29"/>
    </row>
    <row r="36" spans="1:4" x14ac:dyDescent="0.35">
      <c r="A36" s="85"/>
      <c r="B36" s="13"/>
      <c r="C36" s="30"/>
      <c r="D36" s="28"/>
    </row>
    <row r="37" spans="1:4" x14ac:dyDescent="0.35">
      <c r="A37" s="85"/>
      <c r="B37" s="13"/>
      <c r="C37" s="30"/>
      <c r="D37" s="28"/>
    </row>
    <row r="38" spans="1:4" x14ac:dyDescent="0.35">
      <c r="A38" s="86"/>
      <c r="D38" s="26"/>
    </row>
    <row r="39" spans="1:4" x14ac:dyDescent="0.35">
      <c r="A39" s="86"/>
      <c r="D39" s="8"/>
    </row>
    <row r="40" spans="1:4" x14ac:dyDescent="0.35">
      <c r="A40" s="86"/>
      <c r="D40" s="8"/>
    </row>
    <row r="41" spans="1:4" x14ac:dyDescent="0.35">
      <c r="A41" s="86"/>
      <c r="D41" s="8"/>
    </row>
    <row r="42" spans="1:4" x14ac:dyDescent="0.35">
      <c r="A42" s="86"/>
      <c r="D42" s="8"/>
    </row>
    <row r="43" spans="1:4" x14ac:dyDescent="0.35">
      <c r="A43" s="86"/>
      <c r="D43" s="8"/>
    </row>
    <row r="44" spans="1:4" x14ac:dyDescent="0.35">
      <c r="A44" s="86"/>
    </row>
    <row r="45" spans="1:4" x14ac:dyDescent="0.35">
      <c r="A45" s="86"/>
    </row>
    <row r="46" spans="1:4" x14ac:dyDescent="0.35">
      <c r="A46" s="86"/>
    </row>
    <row r="47" spans="1:4" x14ac:dyDescent="0.35">
      <c r="A47" s="86"/>
    </row>
    <row r="48" spans="1:4" x14ac:dyDescent="0.35">
      <c r="A48" s="86"/>
    </row>
    <row r="49" spans="1:1" x14ac:dyDescent="0.35">
      <c r="A49" s="86"/>
    </row>
    <row r="50" spans="1:1" x14ac:dyDescent="0.35">
      <c r="A50" s="86"/>
    </row>
    <row r="51" spans="1:1" x14ac:dyDescent="0.35">
      <c r="A51" s="86"/>
    </row>
    <row r="52" spans="1:1" x14ac:dyDescent="0.35">
      <c r="A52" s="86"/>
    </row>
    <row r="53" spans="1:1" x14ac:dyDescent="0.35">
      <c r="A53" s="86"/>
    </row>
    <row r="54" spans="1:1" x14ac:dyDescent="0.35">
      <c r="A54" s="86"/>
    </row>
    <row r="55" spans="1:1" x14ac:dyDescent="0.35">
      <c r="A55" s="86"/>
    </row>
    <row r="56" spans="1:1" x14ac:dyDescent="0.35">
      <c r="A56" s="86"/>
    </row>
    <row r="57" spans="1:1" x14ac:dyDescent="0.35">
      <c r="A57" s="86"/>
    </row>
    <row r="58" spans="1:1" x14ac:dyDescent="0.35">
      <c r="A58" s="86"/>
    </row>
    <row r="59" spans="1:1" x14ac:dyDescent="0.35">
      <c r="A59" s="86"/>
    </row>
    <row r="60" spans="1:1" x14ac:dyDescent="0.35">
      <c r="A60" s="86"/>
    </row>
    <row r="61" spans="1:1" x14ac:dyDescent="0.35">
      <c r="A61" s="86"/>
    </row>
    <row r="62" spans="1:1" x14ac:dyDescent="0.35">
      <c r="A62" s="86"/>
    </row>
    <row r="63" spans="1:1" x14ac:dyDescent="0.35">
      <c r="A63" s="86"/>
    </row>
    <row r="64" spans="1:1" x14ac:dyDescent="0.35">
      <c r="A64" s="86"/>
    </row>
    <row r="65" spans="1:1" x14ac:dyDescent="0.35">
      <c r="A65" s="86"/>
    </row>
    <row r="66" spans="1:1" x14ac:dyDescent="0.35">
      <c r="A66" s="86"/>
    </row>
    <row r="67" spans="1:1" x14ac:dyDescent="0.35">
      <c r="A67" s="86"/>
    </row>
    <row r="68" spans="1:1" x14ac:dyDescent="0.35">
      <c r="A68" s="86"/>
    </row>
    <row r="69" spans="1:1" x14ac:dyDescent="0.35">
      <c r="A69" s="86"/>
    </row>
    <row r="70" spans="1:1" x14ac:dyDescent="0.35">
      <c r="A70" s="86"/>
    </row>
    <row r="71" spans="1:1" x14ac:dyDescent="0.35">
      <c r="A71" s="86"/>
    </row>
    <row r="72" spans="1:1" x14ac:dyDescent="0.35">
      <c r="A72" s="86"/>
    </row>
    <row r="73" spans="1:1" x14ac:dyDescent="0.35">
      <c r="A73" s="86"/>
    </row>
    <row r="74" spans="1:1" x14ac:dyDescent="0.35">
      <c r="A74" s="86"/>
    </row>
    <row r="75" spans="1:1" x14ac:dyDescent="0.35">
      <c r="A75" s="86"/>
    </row>
    <row r="76" spans="1:1" x14ac:dyDescent="0.35">
      <c r="A76" s="86"/>
    </row>
    <row r="77" spans="1:1" x14ac:dyDescent="0.35">
      <c r="A77" s="86"/>
    </row>
    <row r="78" spans="1:1" x14ac:dyDescent="0.35">
      <c r="A78" s="86"/>
    </row>
    <row r="79" spans="1:1" x14ac:dyDescent="0.35">
      <c r="A79" s="86"/>
    </row>
    <row r="80" spans="1:1" x14ac:dyDescent="0.35">
      <c r="A80" s="86"/>
    </row>
    <row r="81" spans="1:1" x14ac:dyDescent="0.35">
      <c r="A81" s="86"/>
    </row>
    <row r="82" spans="1:1" x14ac:dyDescent="0.35">
      <c r="A82" s="86"/>
    </row>
    <row r="83" spans="1:1" x14ac:dyDescent="0.35">
      <c r="A83" s="86"/>
    </row>
    <row r="84" spans="1:1" x14ac:dyDescent="0.35">
      <c r="A84" s="86"/>
    </row>
    <row r="85" spans="1:1" x14ac:dyDescent="0.35">
      <c r="A85" s="86"/>
    </row>
    <row r="86" spans="1:1" x14ac:dyDescent="0.35">
      <c r="A86" s="86"/>
    </row>
    <row r="87" spans="1:1" x14ac:dyDescent="0.35">
      <c r="A87" s="86"/>
    </row>
    <row r="88" spans="1:1" x14ac:dyDescent="0.35">
      <c r="A88" s="86"/>
    </row>
    <row r="89" spans="1:1" x14ac:dyDescent="0.35">
      <c r="A89" s="86"/>
    </row>
    <row r="90" spans="1:1" x14ac:dyDescent="0.35">
      <c r="A90" s="86"/>
    </row>
    <row r="91" spans="1:1" x14ac:dyDescent="0.35">
      <c r="A91" s="86"/>
    </row>
    <row r="92" spans="1:1" x14ac:dyDescent="0.35">
      <c r="A92" s="86"/>
    </row>
    <row r="93" spans="1:1" x14ac:dyDescent="0.35">
      <c r="A93" s="86"/>
    </row>
    <row r="94" spans="1:1" x14ac:dyDescent="0.35">
      <c r="A94" s="86"/>
    </row>
    <row r="95" spans="1:1" x14ac:dyDescent="0.35">
      <c r="A95" s="86"/>
    </row>
    <row r="96" spans="1:1" x14ac:dyDescent="0.35">
      <c r="A96" s="86"/>
    </row>
    <row r="97" spans="1:1" x14ac:dyDescent="0.35">
      <c r="A97" s="86"/>
    </row>
    <row r="98" spans="1:1" x14ac:dyDescent="0.35">
      <c r="A98" s="86"/>
    </row>
    <row r="99" spans="1:1" x14ac:dyDescent="0.35">
      <c r="A99" s="86"/>
    </row>
    <row r="100" spans="1:1" x14ac:dyDescent="0.35">
      <c r="A100" s="86"/>
    </row>
    <row r="101" spans="1:1" x14ac:dyDescent="0.35">
      <c r="A101" s="86"/>
    </row>
    <row r="102" spans="1:1" x14ac:dyDescent="0.35">
      <c r="A102" s="86"/>
    </row>
    <row r="103" spans="1:1" x14ac:dyDescent="0.35">
      <c r="A103" s="86"/>
    </row>
    <row r="104" spans="1:1" x14ac:dyDescent="0.35">
      <c r="A104" s="86"/>
    </row>
    <row r="105" spans="1:1" x14ac:dyDescent="0.35">
      <c r="A105" s="86"/>
    </row>
    <row r="106" spans="1:1" x14ac:dyDescent="0.35">
      <c r="A106" s="86"/>
    </row>
    <row r="107" spans="1:1" x14ac:dyDescent="0.35">
      <c r="A107" s="86"/>
    </row>
    <row r="108" spans="1:1" x14ac:dyDescent="0.35">
      <c r="A108" s="86"/>
    </row>
    <row r="109" spans="1:1" x14ac:dyDescent="0.35">
      <c r="A109" s="86"/>
    </row>
    <row r="110" spans="1:1" x14ac:dyDescent="0.35">
      <c r="A110" s="86"/>
    </row>
    <row r="111" spans="1:1" x14ac:dyDescent="0.35">
      <c r="A111" s="86"/>
    </row>
    <row r="112" spans="1:1" x14ac:dyDescent="0.35">
      <c r="A112" s="86"/>
    </row>
    <row r="113" spans="1:1" x14ac:dyDescent="0.35">
      <c r="A113" s="86"/>
    </row>
    <row r="114" spans="1:1" x14ac:dyDescent="0.35">
      <c r="A114" s="86"/>
    </row>
    <row r="115" spans="1:1" x14ac:dyDescent="0.35">
      <c r="A115" s="86"/>
    </row>
    <row r="116" spans="1:1" x14ac:dyDescent="0.35">
      <c r="A116" s="86"/>
    </row>
    <row r="117" spans="1:1" x14ac:dyDescent="0.35">
      <c r="A117" s="86"/>
    </row>
  </sheetData>
  <mergeCells count="1">
    <mergeCell ref="C20:V20"/>
  </mergeCells>
  <pageMargins left="0.70866141732283505" right="0.70866141732283505" top="0.74803149606299202" bottom="0.74803149606299202" header="0.31496062992126" footer="0.31496062992126"/>
  <pageSetup paperSize="3" scale="79" orientation="landscape" horizontalDpi="4294967293" verticalDpi="1200" r:id="rId1"/>
  <headerFooter>
    <oddHeader>&amp;CPRELIMINARY HEAT AND MASS BALANCE&amp;R&amp;"Calibri,Regular"&amp;K000000Revision: A
Date: &amp;D</oddHeader>
    <oddFooter>&amp;R&amp;P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8B08-2918-4BDB-AAE0-2C4DC15C1B22}">
  <sheetPr codeName="Sheet7"/>
  <dimension ref="B2:AB51"/>
  <sheetViews>
    <sheetView topLeftCell="B8" zoomScale="55" zoomScaleNormal="55" workbookViewId="0">
      <selection activeCell="Z44" sqref="Y44:Z44"/>
    </sheetView>
  </sheetViews>
  <sheetFormatPr defaultColWidth="8.81640625" defaultRowHeight="14.5" x14ac:dyDescent="0.35"/>
  <cols>
    <col min="6" max="6" width="15.1796875" bestFit="1" customWidth="1"/>
    <col min="23" max="23" width="11.54296875" bestFit="1" customWidth="1"/>
    <col min="24" max="24" width="40.453125" bestFit="1" customWidth="1"/>
    <col min="25" max="25" width="14.81640625" bestFit="1" customWidth="1"/>
    <col min="26" max="26" width="14.81640625" customWidth="1"/>
    <col min="27" max="27" width="11.453125" customWidth="1"/>
    <col min="28" max="28" width="12.81640625" customWidth="1"/>
  </cols>
  <sheetData>
    <row r="2" spans="2:28" x14ac:dyDescent="0.35">
      <c r="B2" s="5"/>
      <c r="C2" s="5"/>
      <c r="D2" s="5"/>
      <c r="E2" s="5"/>
      <c r="F2" s="5"/>
      <c r="G2" s="612" t="s">
        <v>69</v>
      </c>
      <c r="H2" s="612"/>
      <c r="I2" s="612"/>
      <c r="J2" s="612"/>
      <c r="K2" s="612"/>
      <c r="L2" s="612"/>
      <c r="M2" s="612"/>
      <c r="N2" s="5"/>
      <c r="O2" s="5"/>
      <c r="P2" s="5"/>
      <c r="Q2" s="5"/>
      <c r="R2" s="5"/>
      <c r="S2" s="5"/>
      <c r="T2" s="5"/>
      <c r="U2" s="5"/>
    </row>
    <row r="3" spans="2:28" x14ac:dyDescent="0.35">
      <c r="B3" s="5"/>
      <c r="C3" s="35" t="s">
        <v>70</v>
      </c>
      <c r="D3" s="5"/>
      <c r="E3" s="34"/>
      <c r="F3" s="36" t="s">
        <v>71</v>
      </c>
      <c r="G3" s="34">
        <v>0.375</v>
      </c>
      <c r="H3" s="34">
        <v>0.5</v>
      </c>
      <c r="I3" s="34">
        <v>1</v>
      </c>
      <c r="J3" s="34">
        <v>10</v>
      </c>
      <c r="K3" s="34">
        <v>20</v>
      </c>
      <c r="L3" s="34">
        <v>30</v>
      </c>
      <c r="M3" s="34">
        <v>40</v>
      </c>
      <c r="N3" s="34">
        <v>60</v>
      </c>
      <c r="O3" s="34">
        <v>80</v>
      </c>
      <c r="P3" s="34">
        <v>100</v>
      </c>
      <c r="Q3" s="34">
        <v>120</v>
      </c>
      <c r="R3" s="34">
        <v>140</v>
      </c>
      <c r="S3" s="34">
        <v>160</v>
      </c>
      <c r="T3" s="34" t="s">
        <v>72</v>
      </c>
      <c r="U3" s="5"/>
      <c r="X3" t="s">
        <v>75</v>
      </c>
      <c r="Y3" t="s">
        <v>76</v>
      </c>
    </row>
    <row r="4" spans="2:28" x14ac:dyDescent="0.35">
      <c r="B4" s="37">
        <v>1</v>
      </c>
      <c r="C4" s="34">
        <v>0.375</v>
      </c>
      <c r="D4" s="37">
        <v>1</v>
      </c>
      <c r="E4" s="34">
        <v>1</v>
      </c>
      <c r="F4" s="34">
        <v>0.5</v>
      </c>
      <c r="G4" s="34"/>
      <c r="H4" s="34"/>
      <c r="I4" s="34"/>
      <c r="J4" s="34"/>
      <c r="K4" s="34"/>
      <c r="L4" s="34"/>
      <c r="M4" s="34">
        <v>0.622</v>
      </c>
      <c r="N4" s="34"/>
      <c r="O4" s="34">
        <v>0.54600000000000004</v>
      </c>
      <c r="P4" s="34"/>
      <c r="Q4" s="34"/>
      <c r="R4" s="34"/>
      <c r="S4" s="34">
        <v>0.46600000000000003</v>
      </c>
      <c r="T4" s="34">
        <v>0.84</v>
      </c>
      <c r="U4" s="34">
        <v>1</v>
      </c>
      <c r="X4" s="11" t="s">
        <v>77</v>
      </c>
      <c r="Y4">
        <v>0.12</v>
      </c>
    </row>
    <row r="5" spans="2:28" x14ac:dyDescent="0.35">
      <c r="B5" s="37">
        <v>2</v>
      </c>
      <c r="C5" s="34">
        <v>0.5</v>
      </c>
      <c r="D5" s="37">
        <v>2</v>
      </c>
      <c r="E5" s="34">
        <v>2</v>
      </c>
      <c r="F5" s="34">
        <v>0.75</v>
      </c>
      <c r="G5" s="34"/>
      <c r="H5" s="34"/>
      <c r="I5" s="34"/>
      <c r="J5" s="34"/>
      <c r="K5" s="34"/>
      <c r="L5" s="34"/>
      <c r="M5" s="34">
        <v>0.82399999999999995</v>
      </c>
      <c r="N5" s="34"/>
      <c r="O5" s="34">
        <v>0.74199999999999999</v>
      </c>
      <c r="P5" s="34"/>
      <c r="Q5" s="34"/>
      <c r="R5" s="34"/>
      <c r="S5" s="34">
        <v>0.61199999999999999</v>
      </c>
      <c r="T5" s="34">
        <v>1.05</v>
      </c>
      <c r="U5" s="34">
        <v>2</v>
      </c>
      <c r="X5" s="11" t="s">
        <v>78</v>
      </c>
      <c r="Y5">
        <v>0.01</v>
      </c>
    </row>
    <row r="6" spans="2:28" x14ac:dyDescent="0.35">
      <c r="B6" s="37">
        <v>3</v>
      </c>
      <c r="C6" s="34">
        <v>1</v>
      </c>
      <c r="D6" s="37">
        <v>3</v>
      </c>
      <c r="E6" s="34">
        <v>3</v>
      </c>
      <c r="F6" s="34">
        <v>1</v>
      </c>
      <c r="G6" s="34">
        <v>0.56499999999999995</v>
      </c>
      <c r="H6" s="34"/>
      <c r="I6" s="34"/>
      <c r="J6" s="34"/>
      <c r="K6" s="34"/>
      <c r="L6" s="34"/>
      <c r="M6" s="34">
        <v>1.0489999999999999</v>
      </c>
      <c r="N6" s="34"/>
      <c r="O6" s="34">
        <v>0.95699999999999996</v>
      </c>
      <c r="P6" s="34"/>
      <c r="Q6" s="34"/>
      <c r="R6" s="34"/>
      <c r="S6" s="34">
        <v>0.81499999999999995</v>
      </c>
      <c r="T6" s="34">
        <v>1.3149999999999999</v>
      </c>
      <c r="U6" s="34">
        <v>3</v>
      </c>
      <c r="X6" s="11" t="s">
        <v>79</v>
      </c>
      <c r="Y6">
        <v>6.0000000000000001E-3</v>
      </c>
    </row>
    <row r="7" spans="2:28" x14ac:dyDescent="0.35">
      <c r="B7" s="37">
        <v>4</v>
      </c>
      <c r="C7" s="34">
        <v>10</v>
      </c>
      <c r="D7" s="37">
        <v>4</v>
      </c>
      <c r="E7" s="34">
        <v>4</v>
      </c>
      <c r="F7" s="34">
        <v>1.5</v>
      </c>
      <c r="G7" s="34">
        <v>1.1499999999999999</v>
      </c>
      <c r="H7" s="34"/>
      <c r="I7" s="34"/>
      <c r="J7" s="34"/>
      <c r="K7" s="34"/>
      <c r="L7" s="34"/>
      <c r="M7" s="34">
        <v>1.61</v>
      </c>
      <c r="N7" s="34"/>
      <c r="O7" s="34">
        <v>1.5</v>
      </c>
      <c r="P7" s="34"/>
      <c r="Q7" s="34"/>
      <c r="R7" s="34"/>
      <c r="S7" s="34">
        <v>1.3380000000000001</v>
      </c>
      <c r="T7" s="34">
        <v>1.9</v>
      </c>
      <c r="U7" s="34">
        <v>4</v>
      </c>
      <c r="X7" s="11" t="s">
        <v>80</v>
      </c>
      <c r="Y7">
        <v>4.7999999999999996E-3</v>
      </c>
    </row>
    <row r="8" spans="2:28" x14ac:dyDescent="0.35">
      <c r="B8" s="37">
        <v>5</v>
      </c>
      <c r="C8" s="34">
        <v>20</v>
      </c>
      <c r="D8" s="37">
        <v>5</v>
      </c>
      <c r="E8" s="34">
        <v>5</v>
      </c>
      <c r="F8" s="34">
        <v>2</v>
      </c>
      <c r="G8" s="34">
        <v>1.625</v>
      </c>
      <c r="H8" s="34"/>
      <c r="I8" s="34"/>
      <c r="J8" s="34"/>
      <c r="K8" s="34"/>
      <c r="L8" s="34"/>
      <c r="M8" s="34">
        <v>2.0670000000000002</v>
      </c>
      <c r="N8" s="34"/>
      <c r="O8" s="34">
        <v>1.9390000000000001</v>
      </c>
      <c r="P8" s="34"/>
      <c r="Q8" s="34"/>
      <c r="R8" s="34"/>
      <c r="S8" s="34">
        <v>1.6870000000000001</v>
      </c>
      <c r="T8" s="34">
        <v>2.375</v>
      </c>
      <c r="U8" s="34">
        <v>5</v>
      </c>
      <c r="X8" s="11" t="s">
        <v>82</v>
      </c>
      <c r="Y8">
        <v>1.8E-3</v>
      </c>
    </row>
    <row r="9" spans="2:28" x14ac:dyDescent="0.35">
      <c r="B9" s="37">
        <v>6</v>
      </c>
      <c r="C9" s="34">
        <v>30</v>
      </c>
      <c r="D9" s="37">
        <v>6</v>
      </c>
      <c r="E9" s="34">
        <v>6</v>
      </c>
      <c r="F9" s="34">
        <v>3</v>
      </c>
      <c r="G9" s="34">
        <v>2.75</v>
      </c>
      <c r="H9" s="34"/>
      <c r="I9" s="34"/>
      <c r="J9" s="34"/>
      <c r="K9" s="34"/>
      <c r="L9" s="34"/>
      <c r="M9" s="34">
        <v>3.0680000000000001</v>
      </c>
      <c r="N9" s="34"/>
      <c r="O9" s="34">
        <v>2.9</v>
      </c>
      <c r="P9" s="34"/>
      <c r="Q9" s="34"/>
      <c r="R9" s="34"/>
      <c r="S9" s="34">
        <v>2.6240000000000001</v>
      </c>
      <c r="T9" s="34">
        <v>3.5</v>
      </c>
      <c r="U9" s="34">
        <v>6</v>
      </c>
      <c r="X9" s="11" t="s">
        <v>81</v>
      </c>
      <c r="Y9">
        <v>6.0000000000000002E-5</v>
      </c>
      <c r="AA9" s="34"/>
      <c r="AB9" s="34"/>
    </row>
    <row r="10" spans="2:28" x14ac:dyDescent="0.35">
      <c r="B10" s="37">
        <v>7</v>
      </c>
      <c r="C10" s="34">
        <v>40</v>
      </c>
      <c r="D10" s="37">
        <v>7</v>
      </c>
      <c r="E10" s="34">
        <v>7</v>
      </c>
      <c r="F10" s="34">
        <v>4</v>
      </c>
      <c r="G10" s="34">
        <v>3.75</v>
      </c>
      <c r="H10" s="34"/>
      <c r="I10" s="34"/>
      <c r="J10" s="34"/>
      <c r="K10" s="34"/>
      <c r="L10" s="34"/>
      <c r="M10" s="34">
        <v>4.0259999999999998</v>
      </c>
      <c r="N10" s="34"/>
      <c r="O10" s="34">
        <v>3.8260000000000001</v>
      </c>
      <c r="P10" s="34"/>
      <c r="Q10" s="34">
        <v>3.6240000000000001</v>
      </c>
      <c r="R10" s="34"/>
      <c r="S10" s="34">
        <v>3.4380000000000002</v>
      </c>
      <c r="T10" s="34">
        <v>4.5</v>
      </c>
      <c r="U10" s="34">
        <v>7</v>
      </c>
      <c r="X10" s="34"/>
      <c r="Y10" s="34"/>
      <c r="Z10" s="34"/>
      <c r="AA10" s="34"/>
      <c r="AB10" s="34"/>
    </row>
    <row r="11" spans="2:28" x14ac:dyDescent="0.35">
      <c r="B11" s="37">
        <v>8</v>
      </c>
      <c r="C11" s="34">
        <v>60</v>
      </c>
      <c r="D11" s="37">
        <v>8</v>
      </c>
      <c r="E11" s="34">
        <v>8</v>
      </c>
      <c r="F11" s="34">
        <v>6</v>
      </c>
      <c r="G11" s="34">
        <v>5.875</v>
      </c>
      <c r="H11" s="34"/>
      <c r="I11" s="34"/>
      <c r="J11" s="34"/>
      <c r="K11" s="34"/>
      <c r="L11" s="34"/>
      <c r="M11" s="34">
        <v>6.0650000000000004</v>
      </c>
      <c r="N11" s="34"/>
      <c r="O11" s="34">
        <v>5.7610000000000001</v>
      </c>
      <c r="P11" s="34"/>
      <c r="Q11" s="34">
        <v>5.5010000000000003</v>
      </c>
      <c r="R11" s="34"/>
      <c r="S11" s="34">
        <v>5.1870000000000003</v>
      </c>
      <c r="T11" s="34">
        <v>6.625</v>
      </c>
      <c r="U11" s="34">
        <v>8</v>
      </c>
    </row>
    <row r="12" spans="2:28" ht="14.5" customHeight="1" x14ac:dyDescent="0.35">
      <c r="B12" s="37">
        <v>9</v>
      </c>
      <c r="C12" s="34">
        <v>80</v>
      </c>
      <c r="D12" s="37">
        <v>9</v>
      </c>
      <c r="E12" s="34">
        <v>9</v>
      </c>
      <c r="F12" s="34">
        <v>8</v>
      </c>
      <c r="G12" s="34">
        <v>7.875</v>
      </c>
      <c r="H12" s="34">
        <v>7.625</v>
      </c>
      <c r="I12" s="34"/>
      <c r="J12" s="34"/>
      <c r="K12" s="34">
        <v>8.125</v>
      </c>
      <c r="L12" s="34">
        <v>8.0709999999999997</v>
      </c>
      <c r="M12" s="34">
        <v>7.9809999999999999</v>
      </c>
      <c r="N12" s="34">
        <v>7.8129999999999997</v>
      </c>
      <c r="O12" s="34">
        <v>7.625</v>
      </c>
      <c r="P12" s="34">
        <v>7.4370000000000003</v>
      </c>
      <c r="Q12" s="34">
        <v>7.1870000000000003</v>
      </c>
      <c r="R12" s="34">
        <v>7.0010000000000003</v>
      </c>
      <c r="S12" s="34">
        <v>6.8712999999999997</v>
      </c>
      <c r="T12" s="34">
        <v>8.625</v>
      </c>
      <c r="U12" s="34">
        <v>9</v>
      </c>
    </row>
    <row r="13" spans="2:28" x14ac:dyDescent="0.35">
      <c r="B13" s="37">
        <v>10</v>
      </c>
      <c r="C13" s="34">
        <v>100</v>
      </c>
      <c r="D13" s="37">
        <v>10</v>
      </c>
      <c r="E13" s="34">
        <v>10</v>
      </c>
      <c r="F13" s="34">
        <v>10</v>
      </c>
      <c r="G13" s="34">
        <v>10</v>
      </c>
      <c r="H13" s="34">
        <v>9.75</v>
      </c>
      <c r="I13" s="34"/>
      <c r="J13" s="34"/>
      <c r="K13" s="34">
        <v>10.25</v>
      </c>
      <c r="L13" s="34">
        <v>10.135999999999999</v>
      </c>
      <c r="M13" s="34">
        <v>10.02</v>
      </c>
      <c r="N13" s="34">
        <v>9.75</v>
      </c>
      <c r="O13" s="34">
        <v>9.5619999999999994</v>
      </c>
      <c r="P13" s="34">
        <v>9.3119999999999994</v>
      </c>
      <c r="Q13" s="34">
        <v>9.0619999999999994</v>
      </c>
      <c r="R13" s="34">
        <v>8.75</v>
      </c>
      <c r="S13" s="34">
        <v>8.5</v>
      </c>
      <c r="T13" s="34">
        <v>10.75</v>
      </c>
      <c r="U13" s="34">
        <v>10</v>
      </c>
      <c r="X13" t="s">
        <v>92</v>
      </c>
    </row>
    <row r="14" spans="2:28" x14ac:dyDescent="0.35">
      <c r="B14" s="37">
        <v>11</v>
      </c>
      <c r="C14" s="34">
        <v>120</v>
      </c>
      <c r="D14" s="37">
        <v>11</v>
      </c>
      <c r="E14" s="34">
        <v>11</v>
      </c>
      <c r="F14" s="34">
        <v>12</v>
      </c>
      <c r="G14" s="34">
        <v>12</v>
      </c>
      <c r="H14" s="34">
        <v>11.75</v>
      </c>
      <c r="I14" s="34"/>
      <c r="J14" s="34"/>
      <c r="K14" s="34">
        <v>12.25</v>
      </c>
      <c r="L14" s="34">
        <v>12.06</v>
      </c>
      <c r="M14" s="34">
        <v>11.938000000000001</v>
      </c>
      <c r="N14" s="34">
        <v>11.625999999999999</v>
      </c>
      <c r="O14" s="34">
        <v>11.374000000000001</v>
      </c>
      <c r="P14" s="34">
        <v>11.061999999999999</v>
      </c>
      <c r="Q14" s="34">
        <v>10.75</v>
      </c>
      <c r="R14" s="34">
        <v>10.5</v>
      </c>
      <c r="S14" s="34">
        <v>10.125999999999999</v>
      </c>
      <c r="T14" s="34">
        <v>12.75</v>
      </c>
      <c r="U14" s="34">
        <v>11</v>
      </c>
      <c r="X14" t="s">
        <v>95</v>
      </c>
      <c r="Y14" s="612"/>
      <c r="Z14" s="612"/>
      <c r="AA14" s="612"/>
      <c r="AB14" s="612"/>
    </row>
    <row r="15" spans="2:28" x14ac:dyDescent="0.35">
      <c r="B15" s="37">
        <v>12</v>
      </c>
      <c r="C15" s="34">
        <v>140</v>
      </c>
      <c r="D15" s="37">
        <v>12</v>
      </c>
      <c r="E15" s="34">
        <v>12</v>
      </c>
      <c r="F15" s="34">
        <v>14</v>
      </c>
      <c r="G15" s="34">
        <v>13.25</v>
      </c>
      <c r="H15" s="34">
        <v>13</v>
      </c>
      <c r="I15" s="34"/>
      <c r="J15" s="34">
        <v>13.5</v>
      </c>
      <c r="K15" s="34">
        <v>13.375999999999999</v>
      </c>
      <c r="L15" s="34">
        <v>13.25</v>
      </c>
      <c r="M15" s="34">
        <v>13.124000000000001</v>
      </c>
      <c r="N15" s="34">
        <v>12.811999999999999</v>
      </c>
      <c r="O15" s="34">
        <v>12.5</v>
      </c>
      <c r="P15" s="34">
        <v>12.124000000000001</v>
      </c>
      <c r="Q15" s="34">
        <v>11.811999999999999</v>
      </c>
      <c r="R15" s="34">
        <v>11.5</v>
      </c>
      <c r="S15" s="34">
        <v>11.188000000000001</v>
      </c>
      <c r="T15" s="34">
        <v>14</v>
      </c>
      <c r="U15" s="34">
        <v>12</v>
      </c>
      <c r="X15" t="s">
        <v>100</v>
      </c>
      <c r="Y15" s="612" t="s">
        <v>91</v>
      </c>
      <c r="Z15" s="612"/>
      <c r="AA15" s="612" t="s">
        <v>90</v>
      </c>
      <c r="AB15" s="612"/>
    </row>
    <row r="16" spans="2:28" x14ac:dyDescent="0.35">
      <c r="B16" s="37">
        <v>13</v>
      </c>
      <c r="C16" s="34">
        <v>160</v>
      </c>
      <c r="D16" s="37">
        <v>13</v>
      </c>
      <c r="E16" s="34">
        <v>13</v>
      </c>
      <c r="F16" s="34">
        <v>16</v>
      </c>
      <c r="G16" s="34">
        <v>15.25</v>
      </c>
      <c r="H16" s="34">
        <v>15</v>
      </c>
      <c r="I16" s="34"/>
      <c r="J16" s="34">
        <v>15.5</v>
      </c>
      <c r="K16" s="34">
        <v>15.375999999999999</v>
      </c>
      <c r="L16" s="34">
        <v>15.25</v>
      </c>
      <c r="M16" s="34">
        <v>15</v>
      </c>
      <c r="N16" s="34">
        <v>14.688000000000001</v>
      </c>
      <c r="O16" s="34">
        <v>14.311999999999999</v>
      </c>
      <c r="P16" s="34">
        <v>13.938000000000001</v>
      </c>
      <c r="Q16" s="34">
        <v>13.561999999999999</v>
      </c>
      <c r="R16" s="34">
        <v>13.124000000000001</v>
      </c>
      <c r="S16" s="34">
        <v>12.811999999999999</v>
      </c>
      <c r="T16" s="34">
        <v>16</v>
      </c>
      <c r="U16" s="34">
        <v>13</v>
      </c>
      <c r="X16" t="s">
        <v>104</v>
      </c>
      <c r="Y16" s="561" t="s">
        <v>89</v>
      </c>
      <c r="Z16" s="561"/>
      <c r="AA16" s="561" t="s">
        <v>64</v>
      </c>
      <c r="AB16" s="561"/>
    </row>
    <row r="17" spans="2:28" x14ac:dyDescent="0.35">
      <c r="B17" s="5"/>
      <c r="C17" s="5"/>
      <c r="D17" s="5"/>
      <c r="E17" s="34">
        <v>14</v>
      </c>
      <c r="F17" s="34">
        <v>18</v>
      </c>
      <c r="G17" s="34">
        <v>17.25</v>
      </c>
      <c r="H17" s="34">
        <v>17</v>
      </c>
      <c r="I17" s="34"/>
      <c r="J17" s="34">
        <v>17.5</v>
      </c>
      <c r="K17" s="34">
        <v>17.376000000000001</v>
      </c>
      <c r="L17" s="34">
        <v>17.123999999999999</v>
      </c>
      <c r="M17" s="34">
        <v>16.876000000000001</v>
      </c>
      <c r="N17" s="34">
        <v>16.5</v>
      </c>
      <c r="O17" s="34">
        <v>16.123999999999999</v>
      </c>
      <c r="P17" s="34">
        <v>15.688000000000001</v>
      </c>
      <c r="Q17" s="34">
        <v>15.25</v>
      </c>
      <c r="R17" s="34">
        <v>14.875999999999999</v>
      </c>
      <c r="S17" s="34">
        <v>14.438000000000001</v>
      </c>
      <c r="T17" s="34">
        <v>18</v>
      </c>
      <c r="U17" s="34">
        <v>14</v>
      </c>
      <c r="Y17" s="34" t="s">
        <v>93</v>
      </c>
      <c r="Z17" s="34" t="s">
        <v>94</v>
      </c>
      <c r="AA17" s="34" t="s">
        <v>93</v>
      </c>
      <c r="AB17" s="34" t="s">
        <v>94</v>
      </c>
    </row>
    <row r="18" spans="2:28" x14ac:dyDescent="0.35">
      <c r="B18" s="5"/>
      <c r="C18" s="5"/>
      <c r="D18" s="5"/>
      <c r="E18" s="34">
        <v>15</v>
      </c>
      <c r="F18" s="34">
        <v>20</v>
      </c>
      <c r="G18" s="34">
        <v>19.25</v>
      </c>
      <c r="H18" s="34">
        <v>19</v>
      </c>
      <c r="I18" s="34"/>
      <c r="J18" s="34">
        <v>19.5</v>
      </c>
      <c r="K18" s="34">
        <v>19.25</v>
      </c>
      <c r="L18" s="34">
        <v>19</v>
      </c>
      <c r="M18" s="34">
        <v>18.812000000000001</v>
      </c>
      <c r="N18" s="34">
        <v>18.376000000000001</v>
      </c>
      <c r="O18" s="34">
        <v>17.937999999999999</v>
      </c>
      <c r="P18" s="34">
        <v>17.437999999999999</v>
      </c>
      <c r="Q18" s="34">
        <v>17</v>
      </c>
      <c r="R18" s="34">
        <v>16.5</v>
      </c>
      <c r="S18" s="34">
        <v>16.062000000000001</v>
      </c>
      <c r="T18" s="34">
        <v>20</v>
      </c>
      <c r="U18" s="34">
        <v>15</v>
      </c>
      <c r="X18" t="s">
        <v>118</v>
      </c>
    </row>
    <row r="19" spans="2:28" x14ac:dyDescent="0.35">
      <c r="B19" s="5"/>
      <c r="C19" s="5"/>
      <c r="D19" s="5"/>
      <c r="E19" s="34">
        <v>16</v>
      </c>
      <c r="F19" s="34">
        <v>24</v>
      </c>
      <c r="G19" s="34">
        <v>23.25</v>
      </c>
      <c r="H19" s="34">
        <v>23</v>
      </c>
      <c r="I19" s="34"/>
      <c r="J19" s="34">
        <v>23.5</v>
      </c>
      <c r="K19" s="34">
        <v>23.25</v>
      </c>
      <c r="L19" s="34">
        <v>22.876000000000001</v>
      </c>
      <c r="M19" s="34">
        <v>22.623999999999999</v>
      </c>
      <c r="N19" s="34">
        <v>22.062000000000001</v>
      </c>
      <c r="O19" s="34">
        <v>21.562000000000001</v>
      </c>
      <c r="P19" s="34">
        <v>20.937999999999999</v>
      </c>
      <c r="Q19" s="34">
        <v>20.376000000000001</v>
      </c>
      <c r="R19" s="34">
        <v>19.876000000000001</v>
      </c>
      <c r="S19" s="34">
        <v>19.312000000000001</v>
      </c>
      <c r="T19" s="34">
        <v>24</v>
      </c>
      <c r="U19" s="34">
        <v>16</v>
      </c>
      <c r="X19" t="s">
        <v>96</v>
      </c>
      <c r="Y19" s="45">
        <v>0.05</v>
      </c>
      <c r="Z19" s="45">
        <v>0.25</v>
      </c>
      <c r="AA19" s="7">
        <v>1</v>
      </c>
      <c r="AB19" s="7">
        <v>4</v>
      </c>
    </row>
    <row r="20" spans="2:28" x14ac:dyDescent="0.35">
      <c r="B20" s="5"/>
      <c r="C20" s="5"/>
      <c r="D20" s="5"/>
      <c r="E20" s="34">
        <v>17</v>
      </c>
      <c r="F20" s="34">
        <v>26</v>
      </c>
      <c r="G20" s="34">
        <v>25.25</v>
      </c>
      <c r="H20" s="34">
        <v>25</v>
      </c>
      <c r="I20" s="34"/>
      <c r="J20" s="34">
        <v>25.376000000000001</v>
      </c>
      <c r="K20" s="34">
        <v>25</v>
      </c>
      <c r="L20" s="34"/>
      <c r="M20" s="34"/>
      <c r="N20" s="34"/>
      <c r="O20" s="34"/>
      <c r="P20" s="34"/>
      <c r="Q20" s="34"/>
      <c r="R20" s="34"/>
      <c r="S20" s="34"/>
      <c r="T20" s="34">
        <v>26</v>
      </c>
      <c r="U20" s="34">
        <v>17</v>
      </c>
      <c r="X20" t="s">
        <v>112</v>
      </c>
      <c r="Y20" s="7">
        <v>0.2</v>
      </c>
      <c r="Z20" s="7">
        <v>1</v>
      </c>
      <c r="AA20" s="7">
        <v>1</v>
      </c>
      <c r="AB20" s="7">
        <v>8</v>
      </c>
    </row>
    <row r="21" spans="2:28" x14ac:dyDescent="0.35">
      <c r="B21" s="5"/>
      <c r="C21" s="5"/>
      <c r="D21" s="5"/>
      <c r="E21" s="34">
        <v>18</v>
      </c>
      <c r="F21" s="34">
        <v>28</v>
      </c>
      <c r="G21" s="34">
        <v>27.25</v>
      </c>
      <c r="H21" s="34">
        <v>27</v>
      </c>
      <c r="I21" s="34"/>
      <c r="J21" s="34">
        <v>27.376000000000001</v>
      </c>
      <c r="K21" s="34">
        <v>27</v>
      </c>
      <c r="L21" s="34">
        <v>26.75</v>
      </c>
      <c r="M21" s="34"/>
      <c r="N21" s="34"/>
      <c r="O21" s="34"/>
      <c r="P21" s="34"/>
      <c r="Q21" s="34"/>
      <c r="R21" s="34"/>
      <c r="S21" s="34"/>
      <c r="T21" s="34">
        <v>28</v>
      </c>
      <c r="U21" s="34">
        <v>18</v>
      </c>
      <c r="X21" t="s">
        <v>97</v>
      </c>
      <c r="Y21" s="7">
        <v>0.2</v>
      </c>
      <c r="Z21" s="7">
        <v>1</v>
      </c>
      <c r="AA21" s="7">
        <v>1</v>
      </c>
      <c r="AB21" s="7">
        <v>8</v>
      </c>
    </row>
    <row r="22" spans="2:28" x14ac:dyDescent="0.35">
      <c r="B22" s="5"/>
      <c r="C22" s="5"/>
      <c r="D22" s="5"/>
      <c r="E22" s="34">
        <v>19</v>
      </c>
      <c r="F22" s="34">
        <v>30</v>
      </c>
      <c r="G22" s="34">
        <v>29.25</v>
      </c>
      <c r="H22" s="34">
        <v>29</v>
      </c>
      <c r="I22" s="34"/>
      <c r="J22" s="34">
        <v>29.376000000000001</v>
      </c>
      <c r="K22" s="34">
        <v>29</v>
      </c>
      <c r="L22" s="34">
        <v>28.75</v>
      </c>
      <c r="M22" s="34"/>
      <c r="N22" s="34"/>
      <c r="O22" s="34"/>
      <c r="P22" s="34"/>
      <c r="Q22" s="34"/>
      <c r="R22" s="34"/>
      <c r="S22" s="34"/>
      <c r="T22" s="34">
        <v>30</v>
      </c>
      <c r="U22" s="34">
        <v>19</v>
      </c>
      <c r="X22" t="s">
        <v>111</v>
      </c>
      <c r="Y22" s="7">
        <v>1</v>
      </c>
      <c r="Z22" s="7">
        <v>4</v>
      </c>
      <c r="AA22" s="7">
        <v>5</v>
      </c>
      <c r="AB22" s="7">
        <v>15</v>
      </c>
    </row>
    <row r="23" spans="2:28" x14ac:dyDescent="0.35">
      <c r="B23" s="5"/>
      <c r="C23" s="5"/>
      <c r="D23" s="5"/>
      <c r="E23" s="34">
        <v>20</v>
      </c>
      <c r="F23" s="34">
        <v>32</v>
      </c>
      <c r="G23" s="34">
        <v>31.25</v>
      </c>
      <c r="H23" s="34">
        <v>31</v>
      </c>
      <c r="I23" s="34"/>
      <c r="J23" s="34">
        <v>31.376000000000001</v>
      </c>
      <c r="K23" s="34">
        <v>31</v>
      </c>
      <c r="L23" s="34">
        <v>30.75</v>
      </c>
      <c r="M23" s="34">
        <v>30.623999999999999</v>
      </c>
      <c r="N23" s="34"/>
      <c r="O23" s="34"/>
      <c r="P23" s="34"/>
      <c r="Q23" s="34"/>
      <c r="R23" s="34"/>
      <c r="S23" s="34"/>
      <c r="T23" s="34">
        <v>32</v>
      </c>
      <c r="U23" s="34">
        <v>20</v>
      </c>
      <c r="X23" t="s">
        <v>113</v>
      </c>
      <c r="Y23" s="7">
        <v>1</v>
      </c>
      <c r="Z23" s="7">
        <v>4</v>
      </c>
      <c r="AA23" s="7">
        <v>5</v>
      </c>
      <c r="AB23" s="7">
        <v>15</v>
      </c>
    </row>
    <row r="24" spans="2:28" x14ac:dyDescent="0.35">
      <c r="B24" s="5"/>
      <c r="C24" s="5"/>
      <c r="D24" s="5"/>
      <c r="E24" s="34">
        <v>21</v>
      </c>
      <c r="F24" s="34">
        <v>34</v>
      </c>
      <c r="G24" s="34">
        <v>33.25</v>
      </c>
      <c r="H24" s="34">
        <v>33</v>
      </c>
      <c r="I24" s="34"/>
      <c r="J24" s="34">
        <v>33.311999999999998</v>
      </c>
      <c r="K24" s="34">
        <v>33</v>
      </c>
      <c r="L24" s="34">
        <v>32.75</v>
      </c>
      <c r="M24" s="34">
        <v>32.624000000000002</v>
      </c>
      <c r="N24" s="34"/>
      <c r="O24" s="34"/>
      <c r="P24" s="34"/>
      <c r="Q24" s="34"/>
      <c r="R24" s="34"/>
      <c r="S24" s="34"/>
      <c r="T24" s="34">
        <v>34</v>
      </c>
      <c r="U24" s="34">
        <v>21</v>
      </c>
      <c r="X24" t="s">
        <v>98</v>
      </c>
      <c r="Y24" s="7">
        <v>0.5</v>
      </c>
      <c r="Z24" s="7">
        <v>2</v>
      </c>
      <c r="AA24" s="7">
        <v>5</v>
      </c>
      <c r="AB24" s="7">
        <v>15</v>
      </c>
    </row>
    <row r="25" spans="2:28" x14ac:dyDescent="0.35">
      <c r="B25" s="5"/>
      <c r="C25" s="5"/>
      <c r="D25" s="5"/>
      <c r="E25" s="34">
        <v>22</v>
      </c>
      <c r="F25" s="34">
        <v>36</v>
      </c>
      <c r="G25" s="34">
        <v>35.25</v>
      </c>
      <c r="H25" s="34">
        <v>35</v>
      </c>
      <c r="I25" s="34"/>
      <c r="J25" s="34">
        <v>35.375999999999998</v>
      </c>
      <c r="K25" s="34">
        <v>35</v>
      </c>
      <c r="L25" s="34">
        <v>34.75</v>
      </c>
      <c r="M25" s="34">
        <v>34.5</v>
      </c>
      <c r="N25" s="34"/>
      <c r="O25" s="34"/>
      <c r="P25" s="34"/>
      <c r="Q25" s="34"/>
      <c r="R25" s="34"/>
      <c r="S25" s="34"/>
      <c r="T25" s="34">
        <v>36</v>
      </c>
      <c r="U25" s="34">
        <v>22</v>
      </c>
      <c r="X25" t="s">
        <v>99</v>
      </c>
      <c r="Y25" s="7"/>
      <c r="Z25" s="7"/>
      <c r="AA25" s="7"/>
      <c r="AB25" s="7">
        <v>25</v>
      </c>
    </row>
    <row r="26" spans="2:28" x14ac:dyDescent="0.35">
      <c r="B26" s="5"/>
      <c r="C26" s="5"/>
      <c r="D26" s="5"/>
      <c r="E26" s="34">
        <v>23</v>
      </c>
      <c r="F26" s="34">
        <v>38</v>
      </c>
      <c r="G26" s="34">
        <v>37.25</v>
      </c>
      <c r="H26" s="34">
        <v>37</v>
      </c>
      <c r="I26" s="34"/>
      <c r="J26" s="34"/>
      <c r="K26" s="34"/>
      <c r="L26" s="34"/>
      <c r="M26" s="34"/>
      <c r="N26" s="34"/>
      <c r="O26" s="34"/>
      <c r="P26" s="34"/>
      <c r="Q26" s="34"/>
      <c r="R26" s="34"/>
      <c r="S26" s="34"/>
      <c r="T26" s="34">
        <v>38</v>
      </c>
      <c r="U26" s="34">
        <v>23</v>
      </c>
      <c r="X26" t="s">
        <v>119</v>
      </c>
    </row>
    <row r="27" spans="2:28" x14ac:dyDescent="0.35">
      <c r="B27" s="5"/>
      <c r="C27" s="5"/>
      <c r="D27" s="5"/>
      <c r="E27" s="34">
        <v>24</v>
      </c>
      <c r="F27" s="34">
        <v>40</v>
      </c>
      <c r="G27" s="34">
        <v>39.25</v>
      </c>
      <c r="H27" s="34">
        <v>39</v>
      </c>
      <c r="I27" s="34"/>
      <c r="J27" s="34"/>
      <c r="K27" s="34"/>
      <c r="L27" s="34"/>
      <c r="M27" s="34"/>
      <c r="N27" s="34"/>
      <c r="O27" s="34"/>
      <c r="P27" s="34"/>
      <c r="Q27" s="34"/>
      <c r="R27" s="34"/>
      <c r="S27" s="34"/>
      <c r="T27" s="34">
        <v>40</v>
      </c>
      <c r="U27" s="34">
        <v>24</v>
      </c>
      <c r="X27" t="s">
        <v>101</v>
      </c>
      <c r="Y27" s="7">
        <v>0.05</v>
      </c>
      <c r="Z27" s="7">
        <v>0.1</v>
      </c>
      <c r="AA27" s="7"/>
      <c r="AB27" s="7"/>
    </row>
    <row r="28" spans="2:28" x14ac:dyDescent="0.35">
      <c r="B28" s="5"/>
      <c r="C28" s="5"/>
      <c r="D28" s="5"/>
      <c r="E28" s="34">
        <v>25</v>
      </c>
      <c r="F28" s="34">
        <v>42</v>
      </c>
      <c r="G28" s="34">
        <v>41.25</v>
      </c>
      <c r="H28" s="34">
        <v>41</v>
      </c>
      <c r="I28" s="34"/>
      <c r="J28" s="34"/>
      <c r="K28" s="34"/>
      <c r="L28" s="34"/>
      <c r="M28" s="34"/>
      <c r="N28" s="34"/>
      <c r="O28" s="34"/>
      <c r="P28" s="34"/>
      <c r="Q28" s="34"/>
      <c r="R28" s="34"/>
      <c r="S28" s="34"/>
      <c r="T28" s="34">
        <v>42</v>
      </c>
      <c r="U28" s="34">
        <v>25</v>
      </c>
      <c r="X28" t="s">
        <v>109</v>
      </c>
      <c r="Y28" s="7">
        <v>0.1</v>
      </c>
      <c r="Z28" s="7">
        <v>2</v>
      </c>
      <c r="AA28" s="7"/>
      <c r="AB28" s="7"/>
    </row>
    <row r="29" spans="2:28" x14ac:dyDescent="0.35">
      <c r="B29" s="5"/>
      <c r="C29" s="5"/>
      <c r="D29" s="5"/>
      <c r="E29" s="34">
        <v>26</v>
      </c>
      <c r="F29" s="34">
        <v>44</v>
      </c>
      <c r="G29" s="34">
        <v>43.25</v>
      </c>
      <c r="H29" s="34">
        <v>43</v>
      </c>
      <c r="I29" s="34"/>
      <c r="J29" s="34"/>
      <c r="K29" s="34"/>
      <c r="L29" s="34"/>
      <c r="M29" s="34"/>
      <c r="N29" s="34"/>
      <c r="O29" s="34"/>
      <c r="P29" s="34"/>
      <c r="Q29" s="34"/>
      <c r="R29" s="34"/>
      <c r="S29" s="34"/>
      <c r="T29" s="34">
        <v>44</v>
      </c>
      <c r="U29" s="34">
        <v>26</v>
      </c>
      <c r="X29" t="s">
        <v>102</v>
      </c>
      <c r="Y29" s="7"/>
      <c r="Z29" s="7"/>
      <c r="AA29" s="7"/>
      <c r="AB29" s="7">
        <v>250</v>
      </c>
    </row>
    <row r="30" spans="2:28" x14ac:dyDescent="0.35">
      <c r="B30" s="5"/>
      <c r="C30" s="5"/>
      <c r="D30" s="5"/>
      <c r="E30" s="34">
        <v>27</v>
      </c>
      <c r="F30" s="34">
        <v>46</v>
      </c>
      <c r="G30" s="34">
        <v>45.25</v>
      </c>
      <c r="H30" s="34">
        <v>45</v>
      </c>
      <c r="I30" s="34"/>
      <c r="J30" s="34"/>
      <c r="K30" s="34"/>
      <c r="L30" s="34"/>
      <c r="M30" s="34"/>
      <c r="N30" s="34"/>
      <c r="O30" s="34"/>
      <c r="P30" s="34"/>
      <c r="Q30" s="34"/>
      <c r="R30" s="34"/>
      <c r="S30" s="34"/>
      <c r="T30" s="34">
        <v>46</v>
      </c>
      <c r="U30" s="34">
        <v>27</v>
      </c>
      <c r="X30" t="s">
        <v>103</v>
      </c>
      <c r="Y30" s="7">
        <v>0.02</v>
      </c>
      <c r="Z30" s="7">
        <v>0.5</v>
      </c>
      <c r="AA30" s="7"/>
      <c r="AB30" s="7"/>
    </row>
    <row r="31" spans="2:28" x14ac:dyDescent="0.35">
      <c r="B31" s="5"/>
      <c r="C31" s="5"/>
      <c r="D31" s="5"/>
      <c r="E31" s="34">
        <v>28</v>
      </c>
      <c r="F31" s="34">
        <v>48</v>
      </c>
      <c r="G31" s="34">
        <v>47.25</v>
      </c>
      <c r="H31" s="34">
        <v>47</v>
      </c>
      <c r="I31" s="34"/>
      <c r="J31" s="34"/>
      <c r="K31" s="34"/>
      <c r="L31" s="34"/>
      <c r="M31" s="34"/>
      <c r="N31" s="34"/>
      <c r="O31" s="34"/>
      <c r="P31" s="34"/>
      <c r="Q31" s="34"/>
      <c r="R31" s="34"/>
      <c r="S31" s="34"/>
      <c r="T31" s="34">
        <v>48</v>
      </c>
      <c r="U31" s="34">
        <v>28</v>
      </c>
      <c r="X31" t="s">
        <v>120</v>
      </c>
    </row>
    <row r="32" spans="2:28" x14ac:dyDescent="0.35">
      <c r="B32" s="5"/>
      <c r="C32" s="5"/>
      <c r="D32" s="5"/>
      <c r="E32" s="34">
        <v>29</v>
      </c>
      <c r="F32" s="34">
        <v>50</v>
      </c>
      <c r="G32" s="34">
        <v>49.25</v>
      </c>
      <c r="H32" s="34">
        <v>49</v>
      </c>
      <c r="I32" s="34"/>
      <c r="J32" s="34"/>
      <c r="K32" s="34"/>
      <c r="L32" s="34"/>
      <c r="M32" s="34"/>
      <c r="N32" s="34"/>
      <c r="O32" s="34"/>
      <c r="P32" s="34"/>
      <c r="Q32" s="34"/>
      <c r="R32" s="34"/>
      <c r="S32" s="34"/>
      <c r="T32" s="34">
        <v>50</v>
      </c>
      <c r="U32" s="34">
        <v>29</v>
      </c>
      <c r="X32" t="s">
        <v>105</v>
      </c>
      <c r="Y32" s="7">
        <v>0.5</v>
      </c>
      <c r="Z32" s="7">
        <v>1.5</v>
      </c>
    </row>
    <row r="33" spans="2:28" x14ac:dyDescent="0.35">
      <c r="B33" s="5"/>
      <c r="C33" s="5"/>
      <c r="D33" s="5"/>
      <c r="E33" s="34">
        <v>30</v>
      </c>
      <c r="F33" s="34">
        <v>52</v>
      </c>
      <c r="G33" s="34">
        <v>51.25</v>
      </c>
      <c r="H33" s="34">
        <v>51</v>
      </c>
      <c r="I33" s="34"/>
      <c r="J33" s="34"/>
      <c r="K33" s="34"/>
      <c r="L33" s="34"/>
      <c r="M33" s="34"/>
      <c r="N33" s="34"/>
      <c r="O33" s="34"/>
      <c r="P33" s="34"/>
      <c r="Q33" s="34"/>
      <c r="R33" s="34"/>
      <c r="S33" s="34"/>
      <c r="T33" s="34">
        <v>52</v>
      </c>
      <c r="U33" s="34">
        <v>30</v>
      </c>
      <c r="X33" t="s">
        <v>106</v>
      </c>
      <c r="Y33" s="7">
        <v>1.5</v>
      </c>
      <c r="Z33" s="7">
        <v>5</v>
      </c>
    </row>
    <row r="34" spans="2:28" x14ac:dyDescent="0.35">
      <c r="B34" s="5"/>
      <c r="C34" s="5"/>
      <c r="D34" s="5"/>
      <c r="E34" s="34">
        <v>31</v>
      </c>
      <c r="F34" s="34">
        <v>54</v>
      </c>
      <c r="G34" s="34">
        <v>53.25</v>
      </c>
      <c r="H34" s="34">
        <v>53</v>
      </c>
      <c r="I34" s="34"/>
      <c r="J34" s="34"/>
      <c r="K34" s="34"/>
      <c r="L34" s="34"/>
      <c r="M34" s="34"/>
      <c r="N34" s="34"/>
      <c r="O34" s="34"/>
      <c r="P34" s="34"/>
      <c r="Q34" s="34"/>
      <c r="R34" s="34"/>
      <c r="S34" s="34"/>
      <c r="T34" s="34">
        <v>54</v>
      </c>
      <c r="U34" s="34">
        <v>31</v>
      </c>
      <c r="X34" t="s">
        <v>107</v>
      </c>
      <c r="Y34" s="7">
        <v>0.25</v>
      </c>
      <c r="Z34" s="7">
        <v>0.5</v>
      </c>
    </row>
    <row r="35" spans="2:28" x14ac:dyDescent="0.35">
      <c r="B35" s="5"/>
      <c r="C35" s="5"/>
      <c r="D35" s="5"/>
      <c r="E35" s="34">
        <v>32</v>
      </c>
      <c r="F35" s="34">
        <v>56</v>
      </c>
      <c r="G35" s="34">
        <v>55.25</v>
      </c>
      <c r="H35" s="34">
        <v>55</v>
      </c>
      <c r="I35" s="34"/>
      <c r="J35" s="34"/>
      <c r="K35" s="34"/>
      <c r="L35" s="34"/>
      <c r="M35" s="34"/>
      <c r="N35" s="34"/>
      <c r="O35" s="34"/>
      <c r="P35" s="34"/>
      <c r="Q35" s="34"/>
      <c r="R35" s="34"/>
      <c r="S35" s="34"/>
      <c r="T35" s="34">
        <v>56</v>
      </c>
      <c r="U35" s="34">
        <v>32</v>
      </c>
      <c r="X35" t="s">
        <v>108</v>
      </c>
      <c r="Y35" s="7">
        <v>0.5</v>
      </c>
      <c r="Z35" s="7">
        <v>1.5</v>
      </c>
    </row>
    <row r="36" spans="2:28" x14ac:dyDescent="0.35">
      <c r="B36" s="5"/>
      <c r="C36" s="5"/>
      <c r="D36" s="5"/>
      <c r="E36" s="34">
        <v>33</v>
      </c>
      <c r="F36" s="34">
        <v>58</v>
      </c>
      <c r="G36" s="34">
        <v>57.25</v>
      </c>
      <c r="H36" s="34">
        <v>57</v>
      </c>
      <c r="I36" s="34"/>
      <c r="J36" s="34"/>
      <c r="K36" s="34"/>
      <c r="L36" s="34"/>
      <c r="M36" s="34"/>
      <c r="N36" s="34"/>
      <c r="O36" s="34"/>
      <c r="P36" s="34"/>
      <c r="Q36" s="34"/>
      <c r="R36" s="34"/>
      <c r="S36" s="34"/>
      <c r="T36" s="34">
        <v>58</v>
      </c>
      <c r="U36" s="34">
        <v>33</v>
      </c>
    </row>
    <row r="37" spans="2:28" x14ac:dyDescent="0.35">
      <c r="B37" s="5"/>
      <c r="C37" s="5"/>
      <c r="D37" s="5"/>
      <c r="E37" s="34">
        <v>34</v>
      </c>
      <c r="F37" s="34">
        <v>60</v>
      </c>
      <c r="G37" s="34">
        <v>59.25</v>
      </c>
      <c r="H37" s="34">
        <v>59</v>
      </c>
      <c r="I37" s="34">
        <v>58</v>
      </c>
      <c r="J37" s="34"/>
      <c r="K37" s="34"/>
      <c r="L37" s="34"/>
      <c r="M37" s="34"/>
      <c r="N37" s="34"/>
      <c r="O37" s="34"/>
      <c r="P37" s="34"/>
      <c r="Q37" s="34"/>
      <c r="R37" s="34"/>
      <c r="S37" s="34"/>
      <c r="T37" s="34">
        <v>60</v>
      </c>
      <c r="U37" s="34">
        <v>34</v>
      </c>
      <c r="X37" s="46" t="s">
        <v>96</v>
      </c>
      <c r="Y37" s="47">
        <v>0.05</v>
      </c>
      <c r="Z37" s="47">
        <v>0.25</v>
      </c>
      <c r="AA37" s="48">
        <v>1</v>
      </c>
      <c r="AB37" s="48">
        <v>4</v>
      </c>
    </row>
    <row r="38" spans="2:28" x14ac:dyDescent="0.35">
      <c r="B38" s="5"/>
      <c r="C38" s="5"/>
      <c r="D38" s="5"/>
      <c r="E38" s="34">
        <v>35</v>
      </c>
      <c r="F38" s="34">
        <v>66</v>
      </c>
      <c r="G38" s="34">
        <v>65.25</v>
      </c>
      <c r="H38" s="34">
        <v>65</v>
      </c>
      <c r="I38" s="34">
        <v>64</v>
      </c>
      <c r="J38" s="34"/>
      <c r="K38" s="34"/>
      <c r="L38" s="34"/>
      <c r="M38" s="34"/>
      <c r="N38" s="34"/>
      <c r="O38" s="34"/>
      <c r="P38" s="34"/>
      <c r="Q38" s="34"/>
      <c r="R38" s="34"/>
      <c r="S38" s="34"/>
      <c r="T38" s="34">
        <v>66</v>
      </c>
      <c r="U38" s="34">
        <v>35</v>
      </c>
      <c r="X38" s="46" t="s">
        <v>112</v>
      </c>
      <c r="Y38" s="48">
        <v>0.2</v>
      </c>
      <c r="Z38" s="48">
        <v>1</v>
      </c>
      <c r="AA38" s="48">
        <v>1</v>
      </c>
      <c r="AB38" s="48">
        <v>8</v>
      </c>
    </row>
    <row r="39" spans="2:28" x14ac:dyDescent="0.35">
      <c r="B39" s="5"/>
      <c r="C39" s="5"/>
      <c r="D39" s="5"/>
      <c r="E39" s="34">
        <v>36</v>
      </c>
      <c r="F39" s="34">
        <v>72</v>
      </c>
      <c r="G39" s="34">
        <v>71.25</v>
      </c>
      <c r="H39" s="34">
        <v>71</v>
      </c>
      <c r="I39" s="34">
        <v>70</v>
      </c>
      <c r="J39" s="34"/>
      <c r="K39" s="34"/>
      <c r="L39" s="34"/>
      <c r="M39" s="34"/>
      <c r="N39" s="34"/>
      <c r="O39" s="34"/>
      <c r="P39" s="34"/>
      <c r="Q39" s="34"/>
      <c r="R39" s="34"/>
      <c r="S39" s="34"/>
      <c r="T39" s="34">
        <v>72</v>
      </c>
      <c r="U39" s="34">
        <v>36</v>
      </c>
      <c r="X39" s="46" t="s">
        <v>97</v>
      </c>
      <c r="Y39" s="48">
        <v>0.2</v>
      </c>
      <c r="Z39" s="48">
        <v>1</v>
      </c>
      <c r="AA39" s="48">
        <v>1</v>
      </c>
      <c r="AB39" s="48">
        <v>8</v>
      </c>
    </row>
    <row r="40" spans="2:28" x14ac:dyDescent="0.35">
      <c r="B40" s="5"/>
      <c r="C40" s="5"/>
      <c r="D40" s="5"/>
      <c r="E40" s="34">
        <v>37</v>
      </c>
      <c r="F40" s="34">
        <v>78</v>
      </c>
      <c r="G40" s="34">
        <v>77.25</v>
      </c>
      <c r="H40" s="34">
        <v>77</v>
      </c>
      <c r="I40" s="34">
        <v>76</v>
      </c>
      <c r="J40" s="34"/>
      <c r="K40" s="34"/>
      <c r="L40" s="34"/>
      <c r="M40" s="34"/>
      <c r="N40" s="34"/>
      <c r="O40" s="34"/>
      <c r="P40" s="34"/>
      <c r="Q40" s="34"/>
      <c r="R40" s="34"/>
      <c r="S40" s="34"/>
      <c r="T40" s="34">
        <v>78</v>
      </c>
      <c r="U40" s="34">
        <v>37</v>
      </c>
      <c r="X40" s="46" t="s">
        <v>111</v>
      </c>
      <c r="Y40" s="48">
        <v>1</v>
      </c>
      <c r="Z40" s="48">
        <v>4</v>
      </c>
      <c r="AA40" s="48">
        <v>5</v>
      </c>
      <c r="AB40" s="48">
        <v>15</v>
      </c>
    </row>
    <row r="41" spans="2:28" x14ac:dyDescent="0.35">
      <c r="B41" s="5"/>
      <c r="C41" s="5"/>
      <c r="D41" s="5"/>
      <c r="E41" s="34">
        <v>38</v>
      </c>
      <c r="F41" s="34">
        <v>84</v>
      </c>
      <c r="G41" s="34">
        <v>83.25</v>
      </c>
      <c r="H41" s="34">
        <v>83</v>
      </c>
      <c r="I41" s="34">
        <v>82</v>
      </c>
      <c r="J41" s="34"/>
      <c r="K41" s="34"/>
      <c r="L41" s="34"/>
      <c r="M41" s="34"/>
      <c r="N41" s="34"/>
      <c r="O41" s="34"/>
      <c r="P41" s="34"/>
      <c r="Q41" s="34"/>
      <c r="R41" s="34"/>
      <c r="S41" s="34"/>
      <c r="T41" s="34">
        <v>84</v>
      </c>
      <c r="U41" s="34">
        <v>38</v>
      </c>
      <c r="X41" s="46" t="s">
        <v>113</v>
      </c>
      <c r="Y41" s="48">
        <v>1</v>
      </c>
      <c r="Z41" s="48">
        <v>4</v>
      </c>
      <c r="AA41" s="48">
        <v>5</v>
      </c>
      <c r="AB41" s="48">
        <v>15</v>
      </c>
    </row>
    <row r="42" spans="2:28" x14ac:dyDescent="0.35">
      <c r="B42" s="5"/>
      <c r="C42" s="5"/>
      <c r="D42" s="5"/>
      <c r="E42" s="34">
        <v>39</v>
      </c>
      <c r="F42" s="34">
        <v>90</v>
      </c>
      <c r="G42" s="34">
        <v>89.25</v>
      </c>
      <c r="H42" s="34">
        <v>89</v>
      </c>
      <c r="I42" s="34">
        <v>88</v>
      </c>
      <c r="J42" s="34"/>
      <c r="K42" s="34"/>
      <c r="L42" s="34"/>
      <c r="M42" s="34"/>
      <c r="N42" s="34"/>
      <c r="O42" s="34"/>
      <c r="P42" s="34"/>
      <c r="Q42" s="34"/>
      <c r="R42" s="34"/>
      <c r="S42" s="34"/>
      <c r="T42" s="34">
        <v>90</v>
      </c>
      <c r="U42" s="34">
        <v>39</v>
      </c>
      <c r="X42" s="46" t="s">
        <v>98</v>
      </c>
      <c r="Y42" s="48">
        <v>0.5</v>
      </c>
      <c r="Z42" s="48">
        <v>2</v>
      </c>
      <c r="AA42" s="48">
        <v>5</v>
      </c>
      <c r="AB42" s="48">
        <v>15</v>
      </c>
    </row>
    <row r="43" spans="2:28" x14ac:dyDescent="0.35">
      <c r="B43" s="5"/>
      <c r="C43" s="5"/>
      <c r="D43" s="5"/>
      <c r="E43" s="34">
        <v>40</v>
      </c>
      <c r="F43" s="34">
        <v>96</v>
      </c>
      <c r="G43" s="34">
        <v>95.25</v>
      </c>
      <c r="H43" s="34">
        <v>95</v>
      </c>
      <c r="I43" s="34">
        <v>94</v>
      </c>
      <c r="J43" s="34"/>
      <c r="K43" s="34"/>
      <c r="L43" s="34"/>
      <c r="M43" s="34"/>
      <c r="N43" s="34"/>
      <c r="O43" s="34"/>
      <c r="P43" s="34"/>
      <c r="Q43" s="34"/>
      <c r="R43" s="34"/>
      <c r="S43" s="34"/>
      <c r="T43" s="34">
        <v>96</v>
      </c>
      <c r="U43" s="34">
        <v>40</v>
      </c>
      <c r="X43" s="46" t="s">
        <v>99</v>
      </c>
      <c r="Y43" s="48"/>
      <c r="Z43" s="48"/>
      <c r="AA43" s="48"/>
      <c r="AB43" s="48">
        <v>25</v>
      </c>
    </row>
    <row r="44" spans="2:28" x14ac:dyDescent="0.35">
      <c r="B44" s="5"/>
      <c r="C44" s="5"/>
      <c r="D44" s="5"/>
      <c r="E44" s="34">
        <v>41</v>
      </c>
      <c r="F44" s="34">
        <v>102</v>
      </c>
      <c r="G44" s="34">
        <v>101.25</v>
      </c>
      <c r="H44" s="34">
        <v>101</v>
      </c>
      <c r="I44" s="34">
        <v>100</v>
      </c>
      <c r="J44" s="34"/>
      <c r="K44" s="34"/>
      <c r="L44" s="34"/>
      <c r="M44" s="34"/>
      <c r="N44" s="34"/>
      <c r="O44" s="34"/>
      <c r="P44" s="34"/>
      <c r="Q44" s="34"/>
      <c r="R44" s="34"/>
      <c r="S44" s="34"/>
      <c r="T44" s="34">
        <v>102</v>
      </c>
      <c r="U44" s="34">
        <v>41</v>
      </c>
      <c r="X44" s="46" t="s">
        <v>101</v>
      </c>
      <c r="Y44" s="48">
        <v>0.05</v>
      </c>
      <c r="Z44" s="48">
        <v>0.1</v>
      </c>
      <c r="AA44" s="48"/>
      <c r="AB44" s="48"/>
    </row>
    <row r="45" spans="2:28" x14ac:dyDescent="0.35">
      <c r="B45" s="5"/>
      <c r="C45" s="5"/>
      <c r="D45" s="5"/>
      <c r="E45" s="34">
        <v>42</v>
      </c>
      <c r="F45" s="34">
        <v>108</v>
      </c>
      <c r="G45" s="34">
        <v>107.25</v>
      </c>
      <c r="H45" s="34">
        <v>107</v>
      </c>
      <c r="I45" s="34">
        <v>106</v>
      </c>
      <c r="J45" s="34"/>
      <c r="K45" s="34"/>
      <c r="L45" s="34"/>
      <c r="M45" s="34"/>
      <c r="N45" s="34"/>
      <c r="O45" s="34"/>
      <c r="P45" s="34"/>
      <c r="Q45" s="34"/>
      <c r="R45" s="34"/>
      <c r="S45" s="34"/>
      <c r="T45" s="34">
        <v>108</v>
      </c>
      <c r="U45" s="34">
        <v>42</v>
      </c>
      <c r="X45" s="46" t="s">
        <v>109</v>
      </c>
      <c r="Y45" s="48">
        <v>0.1</v>
      </c>
      <c r="Z45" s="48">
        <v>2</v>
      </c>
      <c r="AA45" s="48"/>
      <c r="AB45" s="48"/>
    </row>
    <row r="46" spans="2:28" x14ac:dyDescent="0.35">
      <c r="B46" s="5"/>
      <c r="C46" s="5"/>
      <c r="D46" s="5"/>
      <c r="E46" s="34">
        <v>43</v>
      </c>
      <c r="F46" s="34">
        <v>114</v>
      </c>
      <c r="G46" s="34">
        <v>113.25</v>
      </c>
      <c r="H46" s="34">
        <v>113</v>
      </c>
      <c r="I46" s="34">
        <v>112</v>
      </c>
      <c r="J46" s="34"/>
      <c r="K46" s="34"/>
      <c r="L46" s="34"/>
      <c r="M46" s="34"/>
      <c r="N46" s="34"/>
      <c r="O46" s="34"/>
      <c r="P46" s="34"/>
      <c r="Q46" s="34"/>
      <c r="R46" s="34"/>
      <c r="S46" s="34"/>
      <c r="T46" s="34">
        <v>114</v>
      </c>
      <c r="U46" s="34">
        <v>43</v>
      </c>
      <c r="X46" s="46" t="s">
        <v>102</v>
      </c>
      <c r="Y46" s="48">
        <v>2</v>
      </c>
      <c r="Z46" s="48">
        <v>3</v>
      </c>
      <c r="AA46" s="48"/>
      <c r="AB46" s="48">
        <v>250</v>
      </c>
    </row>
    <row r="47" spans="2:28" x14ac:dyDescent="0.35">
      <c r="B47" s="5"/>
      <c r="C47" s="5"/>
      <c r="D47" s="5"/>
      <c r="E47" s="34">
        <v>44</v>
      </c>
      <c r="F47" s="34">
        <v>120</v>
      </c>
      <c r="G47" s="34">
        <v>119.25</v>
      </c>
      <c r="H47" s="34">
        <v>119</v>
      </c>
      <c r="I47" s="34">
        <v>118</v>
      </c>
      <c r="J47" s="34"/>
      <c r="K47" s="34"/>
      <c r="L47" s="34"/>
      <c r="M47" s="34"/>
      <c r="N47" s="34"/>
      <c r="O47" s="34"/>
      <c r="P47" s="34"/>
      <c r="Q47" s="34"/>
      <c r="R47" s="34"/>
      <c r="S47" s="34"/>
      <c r="T47" s="34">
        <v>120</v>
      </c>
      <c r="U47" s="34">
        <v>44</v>
      </c>
      <c r="X47" s="46" t="s">
        <v>103</v>
      </c>
      <c r="Y47" s="48">
        <v>0.02</v>
      </c>
      <c r="Z47" s="48">
        <v>0.5</v>
      </c>
      <c r="AA47" s="48"/>
      <c r="AB47" s="48"/>
    </row>
    <row r="48" spans="2:28" x14ac:dyDescent="0.35">
      <c r="X48" s="46" t="s">
        <v>105</v>
      </c>
      <c r="Y48" s="48">
        <v>0.5</v>
      </c>
      <c r="Z48" s="48">
        <v>1.5</v>
      </c>
      <c r="AA48" s="49"/>
      <c r="AB48" s="49"/>
    </row>
    <row r="49" spans="24:28" x14ac:dyDescent="0.35">
      <c r="X49" s="46" t="s">
        <v>106</v>
      </c>
      <c r="Y49" s="48">
        <v>1.5</v>
      </c>
      <c r="Z49" s="48">
        <v>5</v>
      </c>
      <c r="AA49" s="49"/>
      <c r="AB49" s="49"/>
    </row>
    <row r="50" spans="24:28" x14ac:dyDescent="0.35">
      <c r="X50" s="46" t="s">
        <v>107</v>
      </c>
      <c r="Y50" s="48">
        <v>0.25</v>
      </c>
      <c r="Z50" s="48">
        <v>0.5</v>
      </c>
      <c r="AA50" s="49"/>
      <c r="AB50" s="49"/>
    </row>
    <row r="51" spans="24:28" x14ac:dyDescent="0.35">
      <c r="X51" s="46" t="s">
        <v>108</v>
      </c>
      <c r="Y51" s="48">
        <v>0.5</v>
      </c>
      <c r="Z51" s="48">
        <v>1.5</v>
      </c>
      <c r="AA51" s="49"/>
      <c r="AB51" s="49"/>
    </row>
  </sheetData>
  <mergeCells count="7">
    <mergeCell ref="G2:M2"/>
    <mergeCell ref="Y16:Z16"/>
    <mergeCell ref="AA16:AB16"/>
    <mergeCell ref="Y14:Z14"/>
    <mergeCell ref="AA14:AB14"/>
    <mergeCell ref="Y15:Z15"/>
    <mergeCell ref="AA15:AB15"/>
  </mergeCells>
  <pageMargins left="0.7" right="0.7" top="0.75" bottom="0.75" header="0.3" footer="0.3"/>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4686D-C840-4239-8ACE-50845A345841}">
  <sheetPr codeName="Sheet8"/>
  <dimension ref="B1:H8"/>
  <sheetViews>
    <sheetView workbookViewId="0">
      <selection activeCell="C4" sqref="C4:C7"/>
    </sheetView>
  </sheetViews>
  <sheetFormatPr defaultColWidth="8.81640625" defaultRowHeight="14.5" x14ac:dyDescent="0.35"/>
  <cols>
    <col min="2" max="2" width="10.1796875" customWidth="1"/>
    <col min="3" max="3" width="10.453125" bestFit="1" customWidth="1"/>
  </cols>
  <sheetData>
    <row r="1" spans="2:8" x14ac:dyDescent="0.35">
      <c r="B1" t="s">
        <v>125</v>
      </c>
      <c r="C1" t="s">
        <v>140</v>
      </c>
    </row>
    <row r="2" spans="2:8" x14ac:dyDescent="0.35">
      <c r="E2" s="4"/>
      <c r="F2" s="4"/>
      <c r="G2" s="4"/>
      <c r="H2" s="5"/>
    </row>
    <row r="3" spans="2:8" ht="29" x14ac:dyDescent="0.35">
      <c r="B3" t="s">
        <v>122</v>
      </c>
      <c r="C3" s="4" t="s">
        <v>15</v>
      </c>
    </row>
    <row r="4" spans="2:8" ht="29" x14ac:dyDescent="0.35">
      <c r="B4" t="s">
        <v>27</v>
      </c>
      <c r="C4" s="4" t="s">
        <v>16</v>
      </c>
    </row>
    <row r="5" spans="2:8" ht="29" x14ac:dyDescent="0.35">
      <c r="B5" t="s">
        <v>3</v>
      </c>
      <c r="C5" s="4" t="s">
        <v>17</v>
      </c>
    </row>
    <row r="6" spans="2:8" ht="29" x14ac:dyDescent="0.35">
      <c r="B6" t="s">
        <v>123</v>
      </c>
      <c r="C6" s="5" t="s">
        <v>19</v>
      </c>
    </row>
    <row r="7" spans="2:8" x14ac:dyDescent="0.35">
      <c r="B7" t="s">
        <v>124</v>
      </c>
    </row>
    <row r="8" spans="2:8" x14ac:dyDescent="0.35">
      <c r="B8" t="s">
        <v>126</v>
      </c>
    </row>
  </sheetData>
  <phoneticPr fontId="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65</vt:i4>
      </vt:variant>
    </vt:vector>
  </HeadingPairs>
  <TitlesOfParts>
    <vt:vector size="89" baseType="lpstr">
      <vt:lpstr>Input Sheet</vt:lpstr>
      <vt:lpstr>Property Calc_Design Flow</vt:lpstr>
      <vt:lpstr>FOR AL HMB Only (Dry Gas)</vt:lpstr>
      <vt:lpstr>HMB_Design Case</vt:lpstr>
      <vt:lpstr>Property Calc_Min. Flow</vt:lpstr>
      <vt:lpstr>HMB_Min Op. Case</vt:lpstr>
      <vt:lpstr>Heat and Mass for AL</vt:lpstr>
      <vt:lpstr>Calculation Basis</vt:lpstr>
      <vt:lpstr>Sheet1</vt:lpstr>
      <vt:lpstr>AL Datasheet</vt:lpstr>
      <vt:lpstr>Feed Compress_Delete</vt:lpstr>
      <vt:lpstr>API Datasheet Format</vt:lpstr>
      <vt:lpstr>Feed Gas Compressor Datasheet</vt:lpstr>
      <vt:lpstr>Recycle Gas_Delete</vt:lpstr>
      <vt:lpstr>Recycle Gas Comp Datasheet</vt:lpstr>
      <vt:lpstr>Product Gas_Delete</vt:lpstr>
      <vt:lpstr>Product Gas Comp Datasheet</vt:lpstr>
      <vt:lpstr>Blower Datasheet</vt:lpstr>
      <vt:lpstr>H2S Vessel Media Datasheet</vt:lpstr>
      <vt:lpstr>H2S Vessel Datasheet</vt:lpstr>
      <vt:lpstr>Polishing_Carbon Bed</vt:lpstr>
      <vt:lpstr>Polishing_Silica Bed</vt:lpstr>
      <vt:lpstr>Polishing Vessel Datasheet</vt:lpstr>
      <vt:lpstr>Sheet2</vt:lpstr>
      <vt:lpstr>'Blower Datasheet'!Fluid</vt:lpstr>
      <vt:lpstr>'Feed Compress_Delete'!Fluid</vt:lpstr>
      <vt:lpstr>'FOR AL HMB Only (Dry Gas)'!Fluid</vt:lpstr>
      <vt:lpstr>'Heat and Mass for AL'!Fluid</vt:lpstr>
      <vt:lpstr>'HMB_Min Op. Case'!Fluid</vt:lpstr>
      <vt:lpstr>'Product Gas_Delete'!Fluid</vt:lpstr>
      <vt:lpstr>'Property Calc_Min. Flow'!Fluid</vt:lpstr>
      <vt:lpstr>'Recycle Gas_Delete'!Fluid</vt:lpstr>
      <vt:lpstr>Fluid</vt:lpstr>
      <vt:lpstr>'Blower Datasheet'!Gas</vt:lpstr>
      <vt:lpstr>'Feed Compress_Delete'!Gas</vt:lpstr>
      <vt:lpstr>'FOR AL HMB Only (Dry Gas)'!Gas</vt:lpstr>
      <vt:lpstr>'Heat and Mass for AL'!Gas</vt:lpstr>
      <vt:lpstr>'HMB_Min Op. Case'!Gas</vt:lpstr>
      <vt:lpstr>'Product Gas_Delete'!Gas</vt:lpstr>
      <vt:lpstr>'Property Calc_Min. Flow'!Gas</vt:lpstr>
      <vt:lpstr>'Recycle Gas_Delete'!Gas</vt:lpstr>
      <vt:lpstr>Gas</vt:lpstr>
      <vt:lpstr>'Blower Datasheet'!Liquid</vt:lpstr>
      <vt:lpstr>'Feed Compress_Delete'!Liquid</vt:lpstr>
      <vt:lpstr>'FOR AL HMB Only (Dry Gas)'!Liquid</vt:lpstr>
      <vt:lpstr>'Heat and Mass for AL'!Liquid</vt:lpstr>
      <vt:lpstr>'HMB_Min Op. Case'!Liquid</vt:lpstr>
      <vt:lpstr>'Product Gas_Delete'!Liquid</vt:lpstr>
      <vt:lpstr>'Property Calc_Min. Flow'!Liquid</vt:lpstr>
      <vt:lpstr>'Recycle Gas_Delete'!Liquid</vt:lpstr>
      <vt:lpstr>Liquid</vt:lpstr>
      <vt:lpstr>'AL Datasheet'!Print_Area</vt:lpstr>
      <vt:lpstr>'Blower Datasheet'!Print_Area</vt:lpstr>
      <vt:lpstr>'Feed Compress_Delete'!Print_Area</vt:lpstr>
      <vt:lpstr>'Feed Gas Compressor Datasheet'!Print_Area</vt:lpstr>
      <vt:lpstr>'H2S Vessel Datasheet'!Print_Area</vt:lpstr>
      <vt:lpstr>'H2S Vessel Media Datasheet'!Print_Area</vt:lpstr>
      <vt:lpstr>'Heat and Mass for AL'!Print_Area</vt:lpstr>
      <vt:lpstr>'HMB_Design Case'!Print_Area</vt:lpstr>
      <vt:lpstr>'HMB_Min Op. Case'!Print_Area</vt:lpstr>
      <vt:lpstr>'Polishing Vessel Datasheet'!Print_Area</vt:lpstr>
      <vt:lpstr>'Polishing_Carbon Bed'!Print_Area</vt:lpstr>
      <vt:lpstr>'Polishing_Silica Bed'!Print_Area</vt:lpstr>
      <vt:lpstr>'Product Gas Comp Datasheet'!Print_Area</vt:lpstr>
      <vt:lpstr>'Product Gas_Delete'!Print_Area</vt:lpstr>
      <vt:lpstr>'Recycle Gas Comp Datasheet'!Print_Area</vt:lpstr>
      <vt:lpstr>'Recycle Gas_Delete'!Print_Area</vt:lpstr>
      <vt:lpstr>'AL Datasheet'!Print_Titles</vt:lpstr>
      <vt:lpstr>'Blower Datasheet'!Print_Titles</vt:lpstr>
      <vt:lpstr>'Feed Compress_Delete'!Print_Titles</vt:lpstr>
      <vt:lpstr>'Feed Gas Compressor Datasheet'!Print_Titles</vt:lpstr>
      <vt:lpstr>'H2S Vessel Datasheet'!Print_Titles</vt:lpstr>
      <vt:lpstr>'H2S Vessel Media Datasheet'!Print_Titles</vt:lpstr>
      <vt:lpstr>'Polishing Vessel Datasheet'!Print_Titles</vt:lpstr>
      <vt:lpstr>'Polishing_Carbon Bed'!Print_Titles</vt:lpstr>
      <vt:lpstr>'Polishing_Silica Bed'!Print_Titles</vt:lpstr>
      <vt:lpstr>'Product Gas Comp Datasheet'!Print_Titles</vt:lpstr>
      <vt:lpstr>'Product Gas_Delete'!Print_Titles</vt:lpstr>
      <vt:lpstr>'Recycle Gas Comp Datasheet'!Print_Titles</vt:lpstr>
      <vt:lpstr>'Recycle Gas_Delete'!Print_Titles</vt:lpstr>
      <vt:lpstr>'Blower Datasheet'!Steam</vt:lpstr>
      <vt:lpstr>'Feed Compress_Delete'!Steam</vt:lpstr>
      <vt:lpstr>'FOR AL HMB Only (Dry Gas)'!Steam</vt:lpstr>
      <vt:lpstr>'Heat and Mass for AL'!Steam</vt:lpstr>
      <vt:lpstr>'HMB_Min Op. Case'!Steam</vt:lpstr>
      <vt:lpstr>'Product Gas_Delete'!Steam</vt:lpstr>
      <vt:lpstr>'Property Calc_Min. Flow'!Steam</vt:lpstr>
      <vt:lpstr>'Recycle Gas_Delete'!Steam</vt:lpstr>
      <vt:lpstr>Steam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2019-11-18T18:36:17Z</cp:lastPrinted>
  <dcterms:created xsi:type="dcterms:W3CDTF">2006-09-16T00:00:00Z</dcterms:created>
  <dcterms:modified xsi:type="dcterms:W3CDTF">2020-08-12T05:41:12Z</dcterms:modified>
</cp:coreProperties>
</file>